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267E3A6-C7A8-45A4-B926-EB6347FB82A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<sst xmlns="http://schemas.openxmlformats.org/spreadsheetml/2006/main" count="2406" uniqueCount="887">
  <si>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</si>
  <si>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</si>
  <si>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</si>
  <si>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</si>
  <si>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</si>
  <si>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</si>
  <si>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</si>
  <si>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</si>
  <si>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</si>
  <si>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</si>
  <si>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</si>
  <si>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</si>
  <si>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</si>
  <si>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</si>
  <si>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</si>
  <si>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</si>
  <si>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</si>
  <si>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</si>
  <si>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</si>
  <si>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</si>
  <si>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</si>
  <si>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</si>
  <si>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</si>
  <si>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</si>
  <si>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</si>
  <si>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</si>
  <si>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</si>
  <si>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</si>
  <si>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</si>
  <si>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</si>
  <si>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</si>
  <si>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</si>
  <si>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</si>
  <si>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</si>
  <si>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</si>
  <si>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</si>
  <si>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</si>
  <si>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</si>
  <si>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</si>
  <si>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</si>
  <si>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</si>
  <si>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</si>
  <si>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</si>
  <si>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</si>
  <si>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</si>
  <si>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</si>
  <si>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</si>
  <si>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</si>
  <si>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</si>
  <si>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</si>
  <si>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</si>
  <si>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</si>
  <si>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</si>
  <si>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</si>
  <si>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</si>
  <si>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</si>
  <si>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</si>
  <si>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</si>
  <si>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</si>
  <si>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</si>
  <si>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</si>
  <si>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</si>
  <si>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</si>
  <si>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</si>
  <si>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</si>
  <si>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</si>
  <si>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</si>
  <si>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</si>
  <si>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</si>
  <si>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</si>
  <si>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</si>
  <si>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</si>
  <si>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</si>
  <si>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</si>
  <si>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</si>
  <si>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</si>
  <si>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</si>
  <si>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</si>
  <si>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</si>
  <si>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</si>
  <si>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</si>
  <si>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</si>
  <si>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</si>
  <si>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</si>
  <si>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</si>
  <si>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</si>
  <si>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</si>
  <si>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</si>
  <si>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</si>
  <si>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</si>
  <si>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</si>
  <si>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</si>
  <si>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</si>
  <si>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</si>
  <si>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</si>
  <si>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</si>
  <si>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</si>
  <si>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</si>
  <si>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</si>
  <si>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</si>
  <si>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</si>
  <si>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</si>
  <si>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</si>
  <si>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</si>
  <si>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</si>
  <si>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</si>
  <si>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</si>
  <si>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</si>
  <si>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</si>
  <si>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</si>
  <si>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</si>
  <si>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</si>
  <si>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</si>
  <si>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</si>
  <si>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</si>
  <si>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</si>
  <si>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</si>
  <si>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</si>
  <si>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</si>
  <si>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</si>
  <si>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</si>
  <si>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</si>
  <si>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</si>
  <si>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</si>
  <si>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</si>
  <si>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</si>
  <si>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</si>
  <si>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</si>
  <si>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</si>
  <si>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</si>
  <si>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</si>
  <si>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</si>
  <si>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</si>
  <si>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</si>
  <si>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</si>
  <si>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</si>
  <si>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</si>
  <si>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</si>
  <si>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</si>
  <si>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</si>
  <si>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</si>
  <si>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</si>
  <si>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</si>
  <si>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</si>
  <si>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</si>
  <si>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</si>
  <si>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</si>
  <si>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</si>
  <si>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</si>
  <si>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</si>
  <si>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</si>
  <si>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</si>
  <si>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</si>
  <si>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</si>
  <si>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</si>
  <si>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</si>
  <si>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</si>
  <si>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</si>
  <si>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</si>
  <si>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</si>
  <si>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</si>
  <si>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</si>
  <si>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</si>
  <si>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</si>
  <si>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</si>
  <si>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</si>
  <si>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</si>
  <si>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</si>
  <si>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</si>
  <si>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</si>
  <si>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</si>
  <si>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</si>
  <si>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</si>
  <si>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</si>
  <si>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</si>
  <si>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</si>
  <si>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</si>
  <si>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</si>
  <si>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</si>
  <si>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</si>
  <si>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</si>
  <si>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</si>
  <si>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</si>
  <si>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</si>
  <si>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</si>
  <si>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</si>
  <si>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</si>
  <si>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</si>
  <si>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</si>
  <si>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</si>
  <si>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</si>
  <si>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</si>
  <si>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</si>
  <si>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</si>
  <si>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</si>
  <si>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</si>
  <si>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</si>
  <si>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</si>
  <si>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</si>
  <si>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</si>
  <si>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</si>
  <si>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</si>
  <si>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</si>
  <si>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</si>
  <si>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</si>
  <si>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</si>
  <si>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</si>
  <si>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</si>
  <si>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</si>
  <si>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</si>
  <si>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</si>
  <si>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</si>
  <si>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</si>
  <si>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</si>
  <si>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</si>
  <si>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</si>
  <si>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</si>
  <si>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</si>
  <si>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</si>
  <si>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</si>
  <si>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</si>
  <si>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</si>
  <si>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</si>
  <si>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</si>
  <si>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</si>
  <si>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</si>
  <si>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</si>
  <si>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</si>
  <si>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</si>
  <si>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</si>
  <si>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</si>
  <si>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</si>
  <si>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</si>
  <si>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</si>
  <si>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</si>
  <si>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</si>
  <si>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</si>
  <si>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</si>
  <si>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</si>
  <si>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</si>
  <si>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</si>
  <si>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</si>
  <si>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</si>
  <si>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</si>
  <si>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</si>
  <si>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</si>
  <si>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</si>
  <si>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</si>
  <si>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</si>
  <si>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</si>
  <si>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</si>
  <si>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</si>
  <si>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</si>
  <si>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</si>
  <si>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</si>
  <si>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</si>
  <si>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</si>
  <si>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</si>
  <si>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</si>
  <si>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</si>
  <si>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</si>
  <si>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</si>
  <si>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</si>
  <si>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</si>
  <si>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</si>
  <si>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</si>
  <si>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</si>
  <si>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</si>
  <si>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</si>
  <si>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</si>
  <si>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</si>
  <si>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</si>
  <si>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</si>
  <si>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</si>
  <si>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</si>
  <si>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</si>
  <si>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</si>
  <si>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</si>
  <si>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</si>
  <si>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</si>
  <si>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</si>
  <si>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</si>
  <si>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</si>
  <si>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</si>
  <si>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</si>
  <si>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</si>
  <si>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</si>
  <si>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</si>
  <si>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</si>
  <si>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</si>
  <si>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</si>
  <si>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</si>
  <si>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</si>
  <si>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</si>
  <si>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</si>
  <si>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</si>
  <si>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</si>
  <si>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</si>
  <si>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</si>
  <si>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</si>
  <si>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</si>
  <si>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</si>
  <si>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</si>
  <si>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</si>
  <si>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</si>
  <si>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</si>
  <si>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</si>
  <si>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</si>
  <si>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</si>
  <si>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</si>
  <si>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</si>
  <si>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</si>
  <si>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</si>
  <si>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</si>
  <si>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</si>
  <si>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</si>
  <si>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</si>
  <si>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</si>
  <si>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</si>
  <si>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</si>
  <si>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</si>
  <si>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</si>
  <si>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</si>
  <si>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</si>
  <si>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</si>
  <si>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</si>
  <si>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</si>
  <si>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</si>
  <si>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</si>
  <si>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</si>
  <si>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</si>
  <si>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</si>
  <si>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</si>
  <si>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</si>
  <si>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</si>
  <si>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</si>
  <si>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</si>
  <si>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</si>
  <si>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</si>
  <si>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</si>
  <si>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</si>
  <si>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</si>
  <si>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</si>
  <si>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</si>
  <si>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</si>
  <si>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</si>
  <si>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</si>
  <si>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</si>
  <si>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</si>
  <si>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</si>
  <si>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</si>
  <si>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</si>
  <si>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</si>
  <si>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</si>
  <si>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</si>
  <si>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</si>
  <si>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</si>
  <si>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</si>
  <si>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</si>
  <si>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</si>
  <si>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</si>
  <si>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</si>
  <si>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</si>
  <si>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</si>
  <si>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</si>
  <si>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</si>
  <si>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</si>
  <si>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</si>
  <si>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</si>
  <si>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</si>
  <si>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</si>
  <si>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</si>
  <si>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</si>
  <si>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</si>
  <si>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</si>
  <si>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</si>
  <si>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</si>
  <si>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</si>
  <si>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</si>
  <si>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</si>
  <si>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</si>
  <si>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</si>
  <si>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</si>
  <si>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</si>
  <si>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</si>
  <si>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</si>
  <si>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</si>
  <si>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</si>
  <si>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</si>
  <si>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</si>
  <si>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</si>
  <si>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</si>
  <si>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</si>
  <si>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</si>
  <si>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</si>
  <si>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</si>
  <si>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</si>
  <si>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</si>
  <si>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</si>
  <si>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</si>
  <si>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</si>
  <si>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</si>
  <si>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</si>
  <si>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</si>
  <si>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</si>
  <si>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</si>
  <si>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</si>
  <si>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</si>
  <si>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</si>
  <si>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</si>
  <si>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</si>
  <si>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</si>
  <si>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</si>
  <si>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</si>
  <si>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</si>
  <si>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</si>
  <si>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</si>
  <si>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</si>
  <si>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</si>
  <si>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</si>
  <si>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</si>
  <si>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</si>
  <si>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</si>
  <si>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</si>
  <si>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</si>
  <si>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</si>
  <si>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</si>
  <si>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</si>
  <si>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</si>
  <si>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</si>
  <si>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</si>
  <si>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</si>
  <si>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</si>
  <si>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</si>
  <si>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</si>
  <si>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</si>
  <si>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</si>
  <si>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</si>
  <si>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</si>
  <si>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</si>
  <si>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</si>
  <si>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</si>
  <si>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</si>
  <si>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</si>
  <si>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</si>
  <si>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</si>
  <si>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</si>
  <si>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</si>
  <si>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</si>
  <si>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</si>
  <si>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</si>
  <si>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</si>
  <si>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</si>
  <si>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</si>
  <si>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</si>
  <si>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</si>
  <si>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</si>
  <si>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</si>
  <si>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</si>
  <si>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</si>
  <si>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</si>
  <si>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</si>
  <si>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</si>
  <si>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</si>
  <si>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</si>
  <si>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</si>
  <si>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</si>
  <si>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</si>
  <si>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</si>
  <si>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</si>
  <si>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</si>
  <si>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</si>
  <si>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</si>
  <si>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</si>
  <si>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</si>
  <si>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</si>
  <si>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</si>
  <si>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</si>
  <si>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</si>
  <si>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</si>
  <si>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</si>
  <si>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</si>
  <si>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</si>
  <si>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</si>
  <si>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</si>
  <si>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</si>
  <si>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</si>
  <si>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</si>
  <si>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</si>
  <si>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</si>
  <si>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</si>
  <si>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</si>
  <si>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</si>
  <si>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</si>
  <si>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</si>
  <si>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</si>
  <si>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</si>
  <si>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</si>
  <si>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</si>
  <si>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</si>
  <si>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</si>
  <si>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</si>
  <si>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</si>
  <si>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</si>
  <si>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</si>
  <si>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</si>
  <si>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</si>
  <si>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</si>
  <si>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</si>
  <si>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</si>
  <si>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</si>
  <si>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</si>
  <si>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</si>
  <si>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</si>
  <si>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</si>
  <si>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</si>
  <si>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</si>
  <si>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</si>
  <si>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</si>
  <si>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</si>
  <si>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</si>
  <si>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</si>
  <si>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</si>
  <si>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</si>
  <si>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</si>
  <si>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</si>
  <si>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</si>
  <si>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</si>
  <si>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</si>
  <si>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</si>
  <si>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</si>
  <si>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</si>
  <si>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</si>
  <si>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</si>
  <si>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</si>
  <si>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</si>
  <si>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</si>
  <si>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</si>
  <si>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</si>
  <si>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</si>
  <si>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</si>
  <si>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</si>
  <si>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</si>
  <si>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</si>
  <si>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</si>
  <si>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</si>
  <si>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</si>
  <si>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</si>
  <si>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</si>
  <si>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</si>
  <si>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</si>
  <si>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</si>
  <si>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</si>
  <si>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</si>
  <si>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</si>
  <si>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</si>
  <si>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</si>
  <si>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</si>
  <si>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</si>
  <si>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</si>
  <si>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</si>
  <si>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</si>
  <si>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</si>
  <si>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</si>
  <si>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</si>
  <si>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</si>
  <si>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</si>
  <si>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</si>
  <si>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</si>
  <si>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</si>
  <si>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</si>
  <si>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</si>
  <si>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</si>
  <si>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</si>
  <si>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</si>
  <si>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</si>
  <si>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</si>
  <si>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</si>
  <si>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</si>
  <si>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</si>
  <si>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</si>
  <si>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</si>
  <si>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</si>
  <si>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</si>
  <si>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</si>
  <si>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</si>
  <si>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</si>
  <si>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</si>
  <si>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</si>
  <si>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</si>
  <si>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</si>
  <si>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</si>
  <si>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</si>
  <si>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</si>
  <si>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</si>
  <si>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</si>
  <si>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</si>
  <si>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</si>
  <si>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</si>
  <si>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</si>
  <si>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</si>
  <si>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</si>
  <si>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</si>
  <si>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</si>
  <si>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</si>
  <si>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</si>
  <si>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</si>
  <si>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</si>
  <si>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</si>
  <si>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</si>
  <si>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</si>
  <si>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</si>
  <si>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</si>
  <si>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</si>
  <si>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</si>
  <si>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</si>
  <si>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</si>
  <si>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</si>
  <si>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</si>
  <si>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</si>
  <si>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</si>
  <si>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</si>
  <si>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</si>
  <si>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</si>
  <si>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</si>
  <si>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</si>
  <si>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</si>
  <si>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</si>
  <si>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</si>
  <si>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</si>
  <si>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</si>
  <si>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</si>
  <si>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</si>
  <si>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</si>
  <si>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</si>
  <si>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</si>
  <si>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</si>
  <si>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</si>
  <si>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</si>
  <si>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</si>
  <si>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</si>
  <si>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</si>
  <si>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</si>
  <si>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</si>
  <si>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</si>
  <si>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</si>
  <si>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</si>
  <si>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</si>
  <si>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</si>
  <si>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</si>
  <si>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</si>
  <si>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</si>
  <si>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</si>
  <si>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</si>
  <si>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</si>
  <si>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</si>
  <si>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</si>
  <si>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</si>
  <si>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</si>
  <si>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</si>
  <si>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</si>
  <si>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</si>
  <si>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</si>
  <si>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</si>
  <si>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</si>
  <si>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</si>
  <si>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</si>
  <si>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</si>
  <si>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</si>
  <si>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</si>
  <si>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</si>
  <si>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</si>
  <si>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</si>
  <si>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</si>
  <si>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</si>
  <si>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</si>
  <si>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</si>
  <si>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</si>
  <si>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</si>
  <si>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</si>
  <si>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</si>
  <si>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</si>
  <si>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</si>
  <si>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</si>
  <si>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</si>
  <si>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</si>
  <si>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</si>
  <si>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</si>
  <si>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</si>
  <si>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</si>
  <si>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</si>
  <si>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</si>
  <si>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</si>
  <si>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</si>
  <si>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</si>
  <si>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</si>
  <si>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</si>
  <si>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</si>
  <si>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</si>
  <si>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</si>
  <si>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</si>
  <si>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</si>
  <si>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</si>
  <si>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</si>
  <si>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</si>
  <si>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</si>
  <si>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</si>
  <si>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</si>
  <si>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</si>
  <si>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</si>
  <si>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</si>
  <si>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</si>
  <si>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</si>
  <si>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</si>
  <si>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</si>
  <si>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</si>
  <si>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</si>
  <si>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</si>
  <si>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</si>
  <si>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</si>
  <si>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</si>
  <si>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</si>
  <si>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</si>
  <si>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</si>
  <si>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</si>
  <si>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</si>
  <si>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</si>
  <si>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</si>
  <si>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</si>
  <si>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</si>
  <si>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</si>
  <si>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</si>
  <si>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</si>
  <si>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</si>
  <si>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</si>
  <si>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</si>
  <si>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</si>
  <si>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</si>
  <si>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</si>
  <si>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</si>
  <si>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</si>
  <si>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</si>
  <si>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</si>
  <si>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</si>
  <si>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</si>
  <si>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</si>
  <si>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</si>
  <si>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</si>
  <si>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</si>
  <si>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</si>
  <si>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</si>
  <si>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</si>
  <si>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</si>
  <si>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</si>
  <si>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</si>
  <si>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</si>
  <si>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</si>
  <si>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</si>
  <si>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</si>
  <si>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</si>
  <si>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</si>
  <si>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</si>
  <si>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</si>
  <si>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</si>
  <si>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</si>
  <si>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</si>
  <si>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</si>
  <si>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</si>
  <si>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</si>
  <si>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</si>
  <si>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</si>
  <si>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</si>
  <si>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</si>
  <si>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</si>
  <si>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</si>
  <si>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</si>
  <si>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</si>
  <si>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</si>
  <si>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</si>
  <si>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</si>
  <si>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</si>
  <si>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</si>
  <si>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</si>
  <si>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</si>
  <si>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</si>
  <si>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</si>
  <si>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</si>
  <si>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</si>
  <si>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</si>
  <si>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</si>
  <si>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</si>
  <si>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</si>
  <si>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</si>
  <si>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</si>
  <si>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</si>
  <si>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</si>
  <si>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</si>
  <si>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</si>
  <si>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</si>
  <si>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</si>
  <si>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</si>
  <si>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</si>
  <si>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</si>
  <si>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</si>
  <si>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</si>
  <si>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</si>
  <si>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</si>
  <si>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</si>
  <si>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</si>
  <si>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</si>
  <si>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</si>
  <si>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</si>
  <si>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</si>
  <si>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</si>
  <si>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</si>
  <si>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</si>
  <si>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</si>
  <si>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</si>
  <si>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</si>
  <si>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</si>
  <si>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</si>
  <si>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</si>
  <si>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</si>
  <si>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</si>
  <si>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</si>
  <si>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</si>
  <si>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</si>
  <si>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</si>
  <si>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</si>
  <si>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</si>
  <si>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</si>
  <si>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</si>
  <si>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</si>
  <si>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</si>
  <si>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</si>
  <si>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</si>
  <si>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</si>
  <si>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</si>
  <si>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</si>
  <si>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</si>
  <si>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</si>
  <si>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</si>
  <si>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</si>
  <si>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</si>
  <si>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</si>
  <si>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</si>
  <si>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</si>
  <si>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</si>
  <si>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</si>
  <si>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</si>
  <si>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</si>
  <si>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</si>
  <si>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</si>
  <si>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</si>
  <si>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</si>
  <si>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</si>
  <si>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</si>
  <si>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</si>
  <si>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</si>
  <si>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</si>
  <si>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</si>
  <si>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</si>
  <si>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</si>
  <si>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</si>
  <si>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</si>
  <si>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</si>
  <si>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</si>
  <si>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</si>
  <si>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</si>
  <si>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</si>
  <si>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</si>
  <si>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</si>
  <si>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</si>
  <si>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</si>
  <si>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</si>
  <si>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</si>
  <si>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</si>
  <si>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</si>
  <si>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</si>
  <si>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</si>
  <si>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</si>
  <si>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</si>
  <si>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12025</t>
  </si>
  <si>
    <t>MECHELEN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</si>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</sst>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113F6E9-632F-42DD-8370-84D5C89F01A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636554.05425271217</c:v>
                </c:pt>
                <c:pt idx="1">
                  <c:v>451731.40896219644</c:v>
                </c:pt>
                <c:pt idx="2">
                  <c:v>4214.7460000000001</c:v>
                </c:pt>
                <c:pt idx="3">
                  <c:v>5516.8724873509436</c:v>
                </c:pt>
                <c:pt idx="4">
                  <c:v>531487.45678826328</c:v>
                </c:pt>
                <c:pt idx="5">
                  <c:v>675326.18192100839</c:v>
                </c:pt>
                <c:pt idx="6">
                  <c:v>11089.161542899821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636554.05425271217</c:v>
                </c:pt>
                <c:pt idx="1">
                  <c:v>451731.40896219644</c:v>
                </c:pt>
                <c:pt idx="2">
                  <c:v>4214.7460000000001</c:v>
                </c:pt>
                <c:pt idx="3">
                  <c:v>5516.8724873509436</c:v>
                </c:pt>
                <c:pt idx="4">
                  <c:v>531487.45678826328</c:v>
                </c:pt>
                <c:pt idx="5">
                  <c:v>675326.18192100839</c:v>
                </c:pt>
                <c:pt idx="6">
                  <c:v>11089.161542899821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128302.91849571295</c:v>
                </c:pt>
                <c:pt idx="2">
                  <c:v>94813.425542878569</c:v>
                </c:pt>
                <c:pt idx="3">
                  <c:v>906.31783854370053</c:v>
                </c:pt>
                <c:pt idx="4">
                  <c:v>1370.3305904460055</c:v>
                </c:pt>
                <c:pt idx="5">
                  <c:v>110915.38877755027</c:v>
                </c:pt>
                <c:pt idx="6">
                  <c:v>172890.40306456439</c:v>
                </c:pt>
                <c:pt idx="7">
                  <c:v>2868.5467831882306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128302.91849571295</c:v>
                </c:pt>
                <c:pt idx="2">
                  <c:v>94813.425542878569</c:v>
                </c:pt>
                <c:pt idx="3">
                  <c:v>906.31783854370053</c:v>
                </c:pt>
                <c:pt idx="4">
                  <c:v>1370.3305904460055</c:v>
                </c:pt>
                <c:pt idx="5">
                  <c:v>110915.38877755027</c:v>
                </c:pt>
                <c:pt idx="6">
                  <c:v>172890.40306456439</c:v>
                </c:pt>
                <c:pt idx="7">
                  <c:v>2868.5467831882306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12025</v>
      </c>
      <c r="B6" s="380"/>
      <c r="C6" s="381"/>
    </row>
    <row r="7" spans="1:7" s="378" customFormat="1" ht="15.75" customHeight="1">
      <c r="A7" s="382" t="str">
        <f>txtMunicipality</f>
        <v>MECHELEN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0.21503498396906967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0.21503498396906967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35490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1927.89</v>
      </c>
      <c r="C14" s="322"/>
      <c r="D14" s="322"/>
      <c r="E14" s="322"/>
      <c r="F14" s="322"/>
    </row>
    <row r="15" spans="1:6">
      <c r="A15" s="1248" t="s">
        <v>177</v>
      </c>
      <c r="B15" s="1249">
        <v>3</v>
      </c>
      <c r="C15" s="322"/>
      <c r="D15" s="322"/>
      <c r="E15" s="322"/>
      <c r="F15" s="322"/>
    </row>
    <row r="16" spans="1:6">
      <c r="A16" s="1248" t="s">
        <v>6</v>
      </c>
      <c r="B16" s="1249">
        <v>262</v>
      </c>
      <c r="C16" s="322"/>
      <c r="D16" s="322"/>
      <c r="E16" s="322"/>
      <c r="F16" s="322"/>
    </row>
    <row r="17" spans="1:6">
      <c r="A17" s="1248" t="s">
        <v>7</v>
      </c>
      <c r="B17" s="1249">
        <v>298</v>
      </c>
      <c r="C17" s="322"/>
      <c r="D17" s="322"/>
      <c r="E17" s="322"/>
      <c r="F17" s="322"/>
    </row>
    <row r="18" spans="1:6">
      <c r="A18" s="1248" t="s">
        <v>8</v>
      </c>
      <c r="B18" s="1249">
        <v>464</v>
      </c>
      <c r="C18" s="322"/>
      <c r="D18" s="322"/>
      <c r="E18" s="322"/>
      <c r="F18" s="322"/>
    </row>
    <row r="19" spans="1:6">
      <c r="A19" s="1248" t="s">
        <v>9</v>
      </c>
      <c r="B19" s="1249">
        <v>424</v>
      </c>
      <c r="C19" s="322"/>
      <c r="D19" s="322"/>
      <c r="E19" s="322"/>
      <c r="F19" s="322"/>
    </row>
    <row r="20" spans="1:6">
      <c r="A20" s="1248" t="s">
        <v>10</v>
      </c>
      <c r="B20" s="1249">
        <v>485</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294</v>
      </c>
      <c r="C26" s="322"/>
      <c r="D26" s="322"/>
      <c r="E26" s="322"/>
      <c r="F26" s="322"/>
    </row>
    <row r="27" spans="1:6">
      <c r="A27" s="1248" t="s">
        <v>17</v>
      </c>
      <c r="B27" s="1249">
        <v>4</v>
      </c>
      <c r="C27" s="322"/>
      <c r="D27" s="322"/>
      <c r="E27" s="322"/>
      <c r="F27" s="322"/>
    </row>
    <row r="28" spans="1:6">
      <c r="A28" s="1248" t="s">
        <v>18</v>
      </c>
      <c r="B28" s="1250">
        <v>5</v>
      </c>
      <c r="C28" s="322"/>
      <c r="D28" s="322"/>
      <c r="E28" s="322"/>
      <c r="F28" s="322"/>
    </row>
    <row r="29" spans="1:6">
      <c r="A29" s="1248" t="s">
        <v>884</v>
      </c>
      <c r="B29" s="1250">
        <v>362</v>
      </c>
      <c r="C29" s="322"/>
      <c r="D29" s="322"/>
      <c r="E29" s="322"/>
      <c r="F29" s="322"/>
    </row>
    <row r="30" spans="1:6">
      <c r="A30" s="1243" t="s">
        <v>885</v>
      </c>
      <c r="B30" s="1251">
        <v>89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14</v>
      </c>
      <c r="D36" s="1249">
        <v>4932815.9000000004</v>
      </c>
      <c r="E36" s="1249">
        <v>14</v>
      </c>
      <c r="F36" s="1249">
        <v>2826276.8552000001</v>
      </c>
    </row>
    <row r="37" spans="1:6">
      <c r="A37" s="1248" t="s">
        <v>24</v>
      </c>
      <c r="B37" s="1248" t="s">
        <v>27</v>
      </c>
      <c r="C37" s="1249">
        <v>0</v>
      </c>
      <c r="D37" s="1249">
        <v>0</v>
      </c>
      <c r="E37" s="1249">
        <v>0</v>
      </c>
      <c r="F37" s="1249">
        <v>0</v>
      </c>
    </row>
    <row r="38" spans="1:6">
      <c r="A38" s="1248" t="s">
        <v>24</v>
      </c>
      <c r="B38" s="1248" t="s">
        <v>28</v>
      </c>
      <c r="C38" s="1249">
        <v>1</v>
      </c>
      <c r="D38" s="1249">
        <v>5798.3404622999997</v>
      </c>
      <c r="E38" s="1249">
        <v>3</v>
      </c>
      <c r="F38" s="1249">
        <v>17180.970443999999</v>
      </c>
    </row>
    <row r="39" spans="1:6">
      <c r="A39" s="1248" t="s">
        <v>29</v>
      </c>
      <c r="B39" s="1248" t="s">
        <v>30</v>
      </c>
      <c r="C39" s="1249">
        <v>29179</v>
      </c>
      <c r="D39" s="1249">
        <v>400070072.36000001</v>
      </c>
      <c r="E39" s="1249">
        <v>36007</v>
      </c>
      <c r="F39" s="1249">
        <v>106665837.39</v>
      </c>
    </row>
    <row r="40" spans="1:6">
      <c r="A40" s="1248" t="s">
        <v>29</v>
      </c>
      <c r="B40" s="1248" t="s">
        <v>28</v>
      </c>
      <c r="C40" s="1249">
        <v>0</v>
      </c>
      <c r="D40" s="1249">
        <v>0</v>
      </c>
      <c r="E40" s="1249">
        <v>0</v>
      </c>
      <c r="F40" s="1249">
        <v>0</v>
      </c>
    </row>
    <row r="41" spans="1:6">
      <c r="A41" s="1248" t="s">
        <v>31</v>
      </c>
      <c r="B41" s="1248" t="s">
        <v>32</v>
      </c>
      <c r="C41" s="1249">
        <v>211</v>
      </c>
      <c r="D41" s="1249">
        <v>9902050.3423999995</v>
      </c>
      <c r="E41" s="1249">
        <v>427</v>
      </c>
      <c r="F41" s="1249">
        <v>10506270.025</v>
      </c>
    </row>
    <row r="42" spans="1:6">
      <c r="A42" s="1248" t="s">
        <v>31</v>
      </c>
      <c r="B42" s="1248" t="s">
        <v>33</v>
      </c>
      <c r="C42" s="1249">
        <v>3</v>
      </c>
      <c r="D42" s="1249">
        <v>37611981.362999998</v>
      </c>
      <c r="E42" s="1249">
        <v>4</v>
      </c>
      <c r="F42" s="1249">
        <v>40265665.252999999</v>
      </c>
    </row>
    <row r="43" spans="1:6">
      <c r="A43" s="1248" t="s">
        <v>31</v>
      </c>
      <c r="B43" s="1248" t="s">
        <v>34</v>
      </c>
      <c r="C43" s="1249">
        <v>0</v>
      </c>
      <c r="D43" s="1249">
        <v>0</v>
      </c>
      <c r="E43" s="1249">
        <v>0</v>
      </c>
      <c r="F43" s="1249">
        <v>0</v>
      </c>
    </row>
    <row r="44" spans="1:6">
      <c r="A44" s="1248" t="s">
        <v>31</v>
      </c>
      <c r="B44" s="1248" t="s">
        <v>35</v>
      </c>
      <c r="C44" s="1249">
        <v>13</v>
      </c>
      <c r="D44" s="1249">
        <v>11497980.6</v>
      </c>
      <c r="E44" s="1249">
        <v>58</v>
      </c>
      <c r="F44" s="1249">
        <v>9430607.1917000003</v>
      </c>
    </row>
    <row r="45" spans="1:6">
      <c r="A45" s="1248" t="s">
        <v>31</v>
      </c>
      <c r="B45" s="1248" t="s">
        <v>36</v>
      </c>
      <c r="C45" s="1249">
        <v>0</v>
      </c>
      <c r="D45" s="1249">
        <v>0</v>
      </c>
      <c r="E45" s="1249">
        <v>8</v>
      </c>
      <c r="F45" s="1249">
        <v>108705.24033</v>
      </c>
    </row>
    <row r="46" spans="1:6">
      <c r="A46" s="1248" t="s">
        <v>31</v>
      </c>
      <c r="B46" s="1248" t="s">
        <v>37</v>
      </c>
      <c r="C46" s="1249">
        <v>0</v>
      </c>
      <c r="D46" s="1249">
        <v>0</v>
      </c>
      <c r="E46" s="1249">
        <v>0</v>
      </c>
      <c r="F46" s="1249">
        <v>0</v>
      </c>
    </row>
    <row r="47" spans="1:6">
      <c r="A47" s="1248" t="s">
        <v>31</v>
      </c>
      <c r="B47" s="1248" t="s">
        <v>38</v>
      </c>
      <c r="C47" s="1249">
        <v>16</v>
      </c>
      <c r="D47" s="1249">
        <v>5489448.3569</v>
      </c>
      <c r="E47" s="1249">
        <v>24</v>
      </c>
      <c r="F47" s="1249">
        <v>4638070.1771999998</v>
      </c>
    </row>
    <row r="48" spans="1:6">
      <c r="A48" s="1248" t="s">
        <v>31</v>
      </c>
      <c r="B48" s="1248" t="s">
        <v>28</v>
      </c>
      <c r="C48" s="1249">
        <v>100</v>
      </c>
      <c r="D48" s="1249">
        <v>224951839.69</v>
      </c>
      <c r="E48" s="1249">
        <v>104</v>
      </c>
      <c r="F48" s="1249">
        <v>133843882.81</v>
      </c>
    </row>
    <row r="49" spans="1:6">
      <c r="A49" s="1248" t="s">
        <v>31</v>
      </c>
      <c r="B49" s="1248" t="s">
        <v>39</v>
      </c>
      <c r="C49" s="1249">
        <v>0</v>
      </c>
      <c r="D49" s="1249">
        <v>0</v>
      </c>
      <c r="E49" s="1249">
        <v>4</v>
      </c>
      <c r="F49" s="1249">
        <v>34096.145444000002</v>
      </c>
    </row>
    <row r="50" spans="1:6">
      <c r="A50" s="1248" t="s">
        <v>31</v>
      </c>
      <c r="B50" s="1248" t="s">
        <v>40</v>
      </c>
      <c r="C50" s="1249">
        <v>35</v>
      </c>
      <c r="D50" s="1249">
        <v>2537174.4966000002</v>
      </c>
      <c r="E50" s="1249">
        <v>72</v>
      </c>
      <c r="F50" s="1249">
        <v>2407595.5994000002</v>
      </c>
    </row>
    <row r="51" spans="1:6">
      <c r="A51" s="1248" t="s">
        <v>41</v>
      </c>
      <c r="B51" s="1248" t="s">
        <v>42</v>
      </c>
      <c r="C51" s="1249">
        <v>13</v>
      </c>
      <c r="D51" s="1249">
        <v>266723.82812000002</v>
      </c>
      <c r="E51" s="1249">
        <v>77</v>
      </c>
      <c r="F51" s="1249">
        <v>664574.84296000004</v>
      </c>
    </row>
    <row r="52" spans="1:6">
      <c r="A52" s="1248" t="s">
        <v>41</v>
      </c>
      <c r="B52" s="1248" t="s">
        <v>28</v>
      </c>
      <c r="C52" s="1249">
        <v>10</v>
      </c>
      <c r="D52" s="1249">
        <v>995701.56744999997</v>
      </c>
      <c r="E52" s="1249">
        <v>21</v>
      </c>
      <c r="F52" s="1249">
        <v>228205.00224</v>
      </c>
    </row>
    <row r="53" spans="1:6">
      <c r="A53" s="1248" t="s">
        <v>43</v>
      </c>
      <c r="B53" s="1248" t="s">
        <v>44</v>
      </c>
      <c r="C53" s="1249">
        <v>837</v>
      </c>
      <c r="D53" s="1249">
        <v>22608570.234999999</v>
      </c>
      <c r="E53" s="1249">
        <v>1503</v>
      </c>
      <c r="F53" s="1249">
        <v>4977046.8125</v>
      </c>
    </row>
    <row r="54" spans="1:6">
      <c r="A54" s="1248" t="s">
        <v>45</v>
      </c>
      <c r="B54" s="1248" t="s">
        <v>46</v>
      </c>
      <c r="C54" s="1249">
        <v>0</v>
      </c>
      <c r="D54" s="1249">
        <v>0</v>
      </c>
      <c r="E54" s="1249">
        <v>1</v>
      </c>
      <c r="F54" s="1249">
        <v>4214746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347</v>
      </c>
      <c r="D57" s="1249">
        <v>31571204.295000002</v>
      </c>
      <c r="E57" s="1249">
        <v>423</v>
      </c>
      <c r="F57" s="1249">
        <v>14453070.195</v>
      </c>
    </row>
    <row r="58" spans="1:6">
      <c r="A58" s="1248" t="s">
        <v>48</v>
      </c>
      <c r="B58" s="1248" t="s">
        <v>50</v>
      </c>
      <c r="C58" s="1249">
        <v>237</v>
      </c>
      <c r="D58" s="1249">
        <v>22110113.285</v>
      </c>
      <c r="E58" s="1249">
        <v>369</v>
      </c>
      <c r="F58" s="1249">
        <v>10086725.072000001</v>
      </c>
    </row>
    <row r="59" spans="1:6">
      <c r="A59" s="1248" t="s">
        <v>48</v>
      </c>
      <c r="B59" s="1248" t="s">
        <v>51</v>
      </c>
      <c r="C59" s="1249">
        <v>682</v>
      </c>
      <c r="D59" s="1249">
        <v>35884441.794</v>
      </c>
      <c r="E59" s="1249">
        <v>1080</v>
      </c>
      <c r="F59" s="1249">
        <v>44252582.818000004</v>
      </c>
    </row>
    <row r="60" spans="1:6">
      <c r="A60" s="1248" t="s">
        <v>48</v>
      </c>
      <c r="B60" s="1248" t="s">
        <v>52</v>
      </c>
      <c r="C60" s="1249">
        <v>355</v>
      </c>
      <c r="D60" s="1249">
        <v>22417116.949000001</v>
      </c>
      <c r="E60" s="1249">
        <v>425</v>
      </c>
      <c r="F60" s="1249">
        <v>13466886.878</v>
      </c>
    </row>
    <row r="61" spans="1:6">
      <c r="A61" s="1248" t="s">
        <v>48</v>
      </c>
      <c r="B61" s="1248" t="s">
        <v>53</v>
      </c>
      <c r="C61" s="1249">
        <v>1237</v>
      </c>
      <c r="D61" s="1249">
        <v>87822304.545000002</v>
      </c>
      <c r="E61" s="1249">
        <v>2655</v>
      </c>
      <c r="F61" s="1249">
        <v>102036079.59999999</v>
      </c>
    </row>
    <row r="62" spans="1:6">
      <c r="A62" s="1248" t="s">
        <v>48</v>
      </c>
      <c r="B62" s="1248" t="s">
        <v>54</v>
      </c>
      <c r="C62" s="1249">
        <v>72</v>
      </c>
      <c r="D62" s="1249">
        <v>12782882.783</v>
      </c>
      <c r="E62" s="1249">
        <v>108</v>
      </c>
      <c r="F62" s="1249">
        <v>5903175.3315000003</v>
      </c>
    </row>
    <row r="63" spans="1:6">
      <c r="A63" s="1248" t="s">
        <v>48</v>
      </c>
      <c r="B63" s="1248" t="s">
        <v>28</v>
      </c>
      <c r="C63" s="1249">
        <v>246</v>
      </c>
      <c r="D63" s="1249">
        <v>17667980.050000001</v>
      </c>
      <c r="E63" s="1249">
        <v>266</v>
      </c>
      <c r="F63" s="1249">
        <v>7972223.4578</v>
      </c>
    </row>
    <row r="64" spans="1:6">
      <c r="A64" s="1248" t="s">
        <v>55</v>
      </c>
      <c r="B64" s="1248" t="s">
        <v>56</v>
      </c>
      <c r="C64" s="1249">
        <v>0</v>
      </c>
      <c r="D64" s="1249">
        <v>0</v>
      </c>
      <c r="E64" s="1249">
        <v>0</v>
      </c>
      <c r="F64" s="1249">
        <v>0</v>
      </c>
    </row>
    <row r="65" spans="1:6">
      <c r="A65" s="1248" t="s">
        <v>55</v>
      </c>
      <c r="B65" s="1248" t="s">
        <v>28</v>
      </c>
      <c r="C65" s="1249">
        <v>5</v>
      </c>
      <c r="D65" s="1249">
        <v>1658609.7581</v>
      </c>
      <c r="E65" s="1249">
        <v>5</v>
      </c>
      <c r="F65" s="1249">
        <v>38693.677280999997</v>
      </c>
    </row>
    <row r="66" spans="1:6">
      <c r="A66" s="1248" t="s">
        <v>55</v>
      </c>
      <c r="B66" s="1248" t="s">
        <v>57</v>
      </c>
      <c r="C66" s="1249">
        <v>3</v>
      </c>
      <c r="D66" s="1249">
        <v>282722.29161999997</v>
      </c>
      <c r="E66" s="1249">
        <v>55</v>
      </c>
      <c r="F66" s="1249">
        <v>2845692.8725000001</v>
      </c>
    </row>
    <row r="67" spans="1:6">
      <c r="A67" s="1248" t="s">
        <v>55</v>
      </c>
      <c r="B67" s="1248" t="s">
        <v>58</v>
      </c>
      <c r="C67" s="1249">
        <v>0</v>
      </c>
      <c r="D67" s="1249">
        <v>0</v>
      </c>
      <c r="E67" s="1249">
        <v>0</v>
      </c>
      <c r="F67" s="1249">
        <v>0</v>
      </c>
    </row>
    <row r="68" spans="1:6">
      <c r="A68" s="1243" t="s">
        <v>55</v>
      </c>
      <c r="B68" s="1243" t="s">
        <v>59</v>
      </c>
      <c r="C68" s="1251">
        <v>22</v>
      </c>
      <c r="D68" s="1251">
        <v>725452.74435000005</v>
      </c>
      <c r="E68" s="1251">
        <v>43</v>
      </c>
      <c r="F68" s="1251">
        <v>3154328.6205000002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306599470</v>
      </c>
      <c r="E73" s="439"/>
      <c r="F73" s="322"/>
    </row>
    <row r="74" spans="1:6">
      <c r="A74" s="1248" t="s">
        <v>63</v>
      </c>
      <c r="B74" s="1248" t="s">
        <v>626</v>
      </c>
      <c r="C74" s="1261" t="s">
        <v>628</v>
      </c>
      <c r="D74" s="1249">
        <v>18812998.52440564</v>
      </c>
      <c r="E74" s="439"/>
      <c r="F74" s="322"/>
    </row>
    <row r="75" spans="1:6">
      <c r="A75" s="1248" t="s">
        <v>64</v>
      </c>
      <c r="B75" s="1248" t="s">
        <v>625</v>
      </c>
      <c r="C75" s="1261" t="s">
        <v>629</v>
      </c>
      <c r="D75" s="1249">
        <v>77036968</v>
      </c>
      <c r="E75" s="439"/>
      <c r="F75" s="322"/>
    </row>
    <row r="76" spans="1:6">
      <c r="A76" s="1248" t="s">
        <v>64</v>
      </c>
      <c r="B76" s="1248" t="s">
        <v>626</v>
      </c>
      <c r="C76" s="1261" t="s">
        <v>630</v>
      </c>
      <c r="D76" s="1249">
        <v>2252459.5244056396</v>
      </c>
      <c r="E76" s="439"/>
      <c r="F76" s="322"/>
    </row>
    <row r="77" spans="1:6">
      <c r="A77" s="1248" t="s">
        <v>65</v>
      </c>
      <c r="B77" s="1248" t="s">
        <v>625</v>
      </c>
      <c r="C77" s="1261" t="s">
        <v>631</v>
      </c>
      <c r="D77" s="1249">
        <v>362836971</v>
      </c>
      <c r="E77" s="439"/>
      <c r="F77" s="322"/>
    </row>
    <row r="78" spans="1:6">
      <c r="A78" s="1243" t="s">
        <v>65</v>
      </c>
      <c r="B78" s="1243" t="s">
        <v>626</v>
      </c>
      <c r="C78" s="1243" t="s">
        <v>632</v>
      </c>
      <c r="D78" s="1251">
        <v>43876034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2999232.9511887203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181.95266272189349</v>
      </c>
      <c r="C89" s="322"/>
      <c r="D89" s="322"/>
      <c r="E89" s="322"/>
      <c r="F89" s="322"/>
    </row>
    <row r="90" spans="1:6">
      <c r="A90" s="1248" t="s">
        <v>537</v>
      </c>
      <c r="B90" s="1249">
        <v>0</v>
      </c>
      <c r="C90" s="322"/>
      <c r="D90" s="322"/>
      <c r="E90" s="322"/>
      <c r="F90" s="322"/>
    </row>
    <row r="91" spans="1:6">
      <c r="A91" s="1248" t="s">
        <v>67</v>
      </c>
      <c r="B91" s="1249">
        <v>6949.4679778982927</v>
      </c>
      <c r="C91" s="322"/>
      <c r="D91" s="322"/>
      <c r="E91" s="322"/>
      <c r="F91" s="322"/>
    </row>
    <row r="92" spans="1:6">
      <c r="A92" s="1243" t="s">
        <v>68</v>
      </c>
      <c r="B92" s="1244">
        <v>6994.6527786069191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22345</v>
      </c>
      <c r="C97" s="322"/>
      <c r="D97" s="322"/>
      <c r="E97" s="322"/>
      <c r="F97" s="322"/>
    </row>
    <row r="98" spans="1:6">
      <c r="A98" s="1248" t="s">
        <v>71</v>
      </c>
      <c r="B98" s="1249">
        <v>44</v>
      </c>
      <c r="C98" s="322"/>
      <c r="D98" s="322"/>
      <c r="E98" s="322"/>
      <c r="F98" s="322"/>
    </row>
    <row r="99" spans="1:6">
      <c r="A99" s="1248" t="s">
        <v>72</v>
      </c>
      <c r="B99" s="1249">
        <v>106</v>
      </c>
      <c r="C99" s="322"/>
      <c r="D99" s="322"/>
      <c r="E99" s="322"/>
      <c r="F99" s="322"/>
    </row>
    <row r="100" spans="1:6">
      <c r="A100" s="1248" t="s">
        <v>73</v>
      </c>
      <c r="B100" s="1249">
        <v>1577</v>
      </c>
      <c r="C100" s="322"/>
      <c r="D100" s="322"/>
      <c r="E100" s="322"/>
      <c r="F100" s="322"/>
    </row>
    <row r="101" spans="1:6">
      <c r="A101" s="1248" t="s">
        <v>74</v>
      </c>
      <c r="B101" s="1249">
        <v>147</v>
      </c>
      <c r="C101" s="322"/>
      <c r="D101" s="322"/>
      <c r="E101" s="322"/>
      <c r="F101" s="322"/>
    </row>
    <row r="102" spans="1:6">
      <c r="A102" s="1248" t="s">
        <v>75</v>
      </c>
      <c r="B102" s="1249">
        <v>648</v>
      </c>
      <c r="C102" s="322"/>
      <c r="D102" s="322"/>
      <c r="E102" s="322"/>
      <c r="F102" s="322"/>
    </row>
    <row r="103" spans="1:6">
      <c r="A103" s="1248" t="s">
        <v>76</v>
      </c>
      <c r="B103" s="1249">
        <v>662</v>
      </c>
      <c r="C103" s="322"/>
      <c r="D103" s="322"/>
      <c r="E103" s="322"/>
      <c r="F103" s="322"/>
    </row>
    <row r="104" spans="1:6">
      <c r="A104" s="1248" t="s">
        <v>77</v>
      </c>
      <c r="B104" s="1249">
        <v>5761</v>
      </c>
      <c r="C104" s="322"/>
      <c r="D104" s="322"/>
      <c r="E104" s="322"/>
      <c r="F104" s="322"/>
    </row>
    <row r="105" spans="1:6">
      <c r="A105" s="1243" t="s">
        <v>78</v>
      </c>
      <c r="B105" s="1251">
        <v>35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58</v>
      </c>
      <c r="C123" s="1249">
        <v>77</v>
      </c>
      <c r="D123" s="322"/>
      <c r="E123" s="322"/>
      <c r="F123" s="322"/>
    </row>
    <row r="124" spans="1:6">
      <c r="A124" s="1248" t="s">
        <v>88</v>
      </c>
      <c r="B124" s="1249">
        <v>3</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266</v>
      </c>
      <c r="C129" s="322"/>
      <c r="D129" s="322"/>
      <c r="E129" s="322"/>
      <c r="F129" s="322"/>
    </row>
    <row r="130" spans="1:6">
      <c r="A130" s="1248" t="s">
        <v>284</v>
      </c>
      <c r="B130" s="1249">
        <v>3</v>
      </c>
      <c r="C130" s="322"/>
      <c r="D130" s="322"/>
      <c r="E130" s="322"/>
      <c r="F130" s="322"/>
    </row>
    <row r="131" spans="1:6">
      <c r="A131" s="1248" t="s">
        <v>285</v>
      </c>
      <c r="B131" s="1249">
        <v>8</v>
      </c>
      <c r="C131" s="322"/>
      <c r="D131" s="322"/>
      <c r="E131" s="322"/>
      <c r="F131" s="322"/>
    </row>
    <row r="132" spans="1:6">
      <c r="A132" s="1243" t="s">
        <v>286</v>
      </c>
      <c r="B132" s="1244">
        <v>34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523361.91712837428</v>
      </c>
      <c r="C3" s="43" t="s">
        <v>163</v>
      </c>
      <c r="D3" s="43"/>
      <c r="E3" s="153"/>
      <c r="F3" s="43"/>
      <c r="G3" s="43"/>
      <c r="H3" s="43"/>
      <c r="I3" s="43"/>
      <c r="J3" s="43"/>
      <c r="K3" s="96"/>
    </row>
    <row r="4" spans="1:11">
      <c r="A4" s="348" t="s">
        <v>164</v>
      </c>
      <c r="B4" s="49">
        <f>IF(ISERROR('SEAP template'!B78+'SEAP template'!C78),0,'SEAP template'!B78+'SEAP template'!C78)</f>
        <v>14126.073419227105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0.21503498396906967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4214.7460000000001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4214.7460000000001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0.21503498396906967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906.31783854370053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106665.83739</v>
      </c>
      <c r="C5" s="17">
        <f>IF(ISERROR('Eigen informatie GS &amp; warmtenet'!B57),0,'Eigen informatie GS &amp; warmtenet'!B57)</f>
        <v>0</v>
      </c>
      <c r="D5" s="30">
        <f>(SUM(HH_hh_gas_kWh,HH_rest_gas_kWh)/1000)*0.902</f>
        <v>360863.20526871999</v>
      </c>
      <c r="E5" s="17">
        <f>B32*B41</f>
        <v>4042.0819658204173</v>
      </c>
      <c r="F5" s="17">
        <f>B36*B45</f>
        <v>109896.20786823623</v>
      </c>
      <c r="G5" s="18"/>
      <c r="H5" s="17"/>
      <c r="I5" s="17"/>
      <c r="J5" s="17">
        <f>B35*B44+C35*C44</f>
        <v>2026.6823614243706</v>
      </c>
      <c r="K5" s="17"/>
      <c r="L5" s="17"/>
      <c r="M5" s="17"/>
      <c r="N5" s="17">
        <f>B34*B43+C34*C43</f>
        <v>43763.01475394622</v>
      </c>
      <c r="O5" s="17">
        <f>B52*B53*B54</f>
        <v>536.22333333333336</v>
      </c>
      <c r="P5" s="17">
        <f>B60*B61*B62/1000-B60*B61*B62/1000/B63</f>
        <v>1811.3333333333335</v>
      </c>
    </row>
    <row r="6" spans="1:16">
      <c r="A6" s="16" t="s">
        <v>586</v>
      </c>
      <c r="B6" s="716">
        <f>kWh_PV_kleiner_dan_10kW</f>
        <v>6949.4679778982927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113615.3053678983</v>
      </c>
      <c r="C8" s="21">
        <f>C5</f>
        <v>0</v>
      </c>
      <c r="D8" s="21">
        <f>D5</f>
        <v>360863.20526871999</v>
      </c>
      <c r="E8" s="21">
        <f>E5</f>
        <v>4042.0819658204173</v>
      </c>
      <c r="F8" s="21">
        <f>F5</f>
        <v>109896.20786823623</v>
      </c>
      <c r="G8" s="21"/>
      <c r="H8" s="21"/>
      <c r="I8" s="21"/>
      <c r="J8" s="21">
        <f>J5</f>
        <v>2026.6823614243706</v>
      </c>
      <c r="K8" s="21"/>
      <c r="L8" s="21">
        <f>L5</f>
        <v>0</v>
      </c>
      <c r="M8" s="21">
        <f>M5</f>
        <v>0</v>
      </c>
      <c r="N8" s="21">
        <f>N5</f>
        <v>43763.01475394622</v>
      </c>
      <c r="O8" s="21">
        <f>O5</f>
        <v>536.22333333333336</v>
      </c>
      <c r="P8" s="21">
        <f>P5</f>
        <v>1811.3333333333335</v>
      </c>
    </row>
    <row r="9" spans="1:16">
      <c r="B9" s="19"/>
      <c r="C9" s="19"/>
      <c r="D9" s="253"/>
      <c r="E9" s="19"/>
      <c r="F9" s="19"/>
      <c r="G9" s="19"/>
      <c r="H9" s="19"/>
      <c r="I9" s="19"/>
      <c r="J9" s="19"/>
      <c r="K9" s="19"/>
      <c r="L9" s="19"/>
      <c r="M9" s="19"/>
      <c r="N9" s="19"/>
      <c r="O9" s="19"/>
      <c r="P9" s="19"/>
    </row>
    <row r="10" spans="1:16">
      <c r="A10" s="24" t="s">
        <v>207</v>
      </c>
      <c r="B10" s="25">
        <f ca="1">'EF ele_warmte'!B12</f>
        <v>0.21503498396906967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24431.265368426964</v>
      </c>
      <c r="C12" s="23">
        <f ca="1">C10*C8</f>
        <v>0</v>
      </c>
      <c r="D12" s="23">
        <f>D8*D10</f>
        <v>72894.367464281444</v>
      </c>
      <c r="E12" s="23">
        <f>E10*E8</f>
        <v>917.5526062412348</v>
      </c>
      <c r="F12" s="23">
        <f>F10*F8</f>
        <v>29342.287500819075</v>
      </c>
      <c r="G12" s="23"/>
      <c r="H12" s="23"/>
      <c r="I12" s="23"/>
      <c r="J12" s="23">
        <f>J10*J8</f>
        <v>717.44555594422718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35490</v>
      </c>
      <c r="C26" s="36"/>
      <c r="D26" s="224"/>
    </row>
    <row r="27" spans="1:5" s="15" customFormat="1">
      <c r="A27" s="226" t="s">
        <v>655</v>
      </c>
      <c r="B27" s="37">
        <f>SUM(HH_hh_gas_aantal,HH_rest_gas_aantal)</f>
        <v>29179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27720.05</v>
      </c>
      <c r="C31" s="34" t="s">
        <v>104</v>
      </c>
      <c r="D31" s="170"/>
    </row>
    <row r="32" spans="1:5">
      <c r="A32" s="167" t="s">
        <v>72</v>
      </c>
      <c r="B32" s="33">
        <f>IF((B21*($B$26-($B$27-0.05*$B$27)-$B$60))&lt;0,0,B21*($B$26-($B$27-0.05*$B$27)-$B$60))</f>
        <v>49.529728258085768</v>
      </c>
      <c r="C32" s="34" t="s">
        <v>104</v>
      </c>
      <c r="D32" s="170"/>
    </row>
    <row r="33" spans="1:6">
      <c r="A33" s="167" t="s">
        <v>73</v>
      </c>
      <c r="B33" s="33">
        <f>IF((B22*($B$26-($B$27-0.05*$B$27)-$B$60))&lt;0,0,B22*($B$26-($B$27-0.05*$B$27)-$B$60))</f>
        <v>1724.8050653086079</v>
      </c>
      <c r="C33" s="34" t="s">
        <v>104</v>
      </c>
      <c r="D33" s="170"/>
    </row>
    <row r="34" spans="1:6">
      <c r="A34" s="167" t="s">
        <v>74</v>
      </c>
      <c r="B34" s="33">
        <f>IF((B24*($B$26-($B$27-0.05*$B$27)-$B$60))&lt;0,0,B24*($B$26-($B$27-0.05*$B$27)-$B$60))</f>
        <v>342.51094190449021</v>
      </c>
      <c r="C34" s="33">
        <f>B26*C24</f>
        <v>7263.4664607486357</v>
      </c>
      <c r="D34" s="229"/>
    </row>
    <row r="35" spans="1:6">
      <c r="A35" s="167" t="s">
        <v>76</v>
      </c>
      <c r="B35" s="33">
        <f>IF((B19*($B$26-($B$27-0.05*$B$27)-$B$60))&lt;0,0,B19*($B$26-($B$27-0.05*$B$27)-$B$60))</f>
        <v>167.26534673409245</v>
      </c>
      <c r="C35" s="33">
        <f>B35/2</f>
        <v>83.632673367046223</v>
      </c>
      <c r="D35" s="229"/>
    </row>
    <row r="36" spans="1:6">
      <c r="A36" s="167" t="s">
        <v>77</v>
      </c>
      <c r="B36" s="33">
        <f>IF((B18*($B$26-($B$27-0.05*$B$27)-$B$60))&lt;0,0,B18*($B$26-($B$27-0.05*$B$27)-$B$60))</f>
        <v>5390.8389177947265</v>
      </c>
      <c r="C36" s="34" t="s">
        <v>104</v>
      </c>
      <c r="D36" s="170"/>
    </row>
    <row r="37" spans="1:6">
      <c r="A37" s="167" t="s">
        <v>78</v>
      </c>
      <c r="B37" s="33">
        <f>B60</f>
        <v>95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343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198170.74335230002</v>
      </c>
      <c r="C5" s="17">
        <f>IF(ISERROR('Eigen informatie GS &amp; warmtenet'!B58),0,'Eigen informatie GS &amp; warmtenet'!B58)</f>
        <v>0</v>
      </c>
      <c r="D5" s="30">
        <f>SUM(D6:D12)</f>
        <v>207690.95141830202</v>
      </c>
      <c r="E5" s="17">
        <f>SUM(E6:E12)</f>
        <v>1991.7026436744081</v>
      </c>
      <c r="F5" s="17">
        <f>SUM(F6:F12)</f>
        <v>36681.745605935677</v>
      </c>
      <c r="G5" s="18"/>
      <c r="H5" s="17"/>
      <c r="I5" s="17"/>
      <c r="J5" s="17">
        <f>SUM(J6:J12)</f>
        <v>0.19254119262120839</v>
      </c>
      <c r="K5" s="17"/>
      <c r="L5" s="17"/>
      <c r="M5" s="17"/>
      <c r="N5" s="17">
        <f>SUM(N6:N12)</f>
        <v>7019.783400791699</v>
      </c>
      <c r="O5" s="17">
        <f>B38*B39*B40</f>
        <v>4.6900000000000004</v>
      </c>
      <c r="P5" s="17">
        <f>B46*B47*B48/1000-B46*B47*B48/1000/B49</f>
        <v>171.6</v>
      </c>
      <c r="R5" s="32"/>
    </row>
    <row r="6" spans="1:18">
      <c r="A6" s="32" t="s">
        <v>53</v>
      </c>
      <c r="B6" s="37">
        <f>B26</f>
        <v>102036.0796</v>
      </c>
      <c r="C6" s="33"/>
      <c r="D6" s="37">
        <f>IF(ISERROR(TER_kantoor_gas_kWh/1000),0,TER_kantoor_gas_kWh/1000)*0.902</f>
        <v>79215.718699590012</v>
      </c>
      <c r="E6" s="33">
        <f>$C$26*'E Balans VL '!I12/100/3.6*1000000</f>
        <v>5.8090832508410967E-17</v>
      </c>
      <c r="F6" s="33">
        <f>$C$26*('E Balans VL '!L12+'E Balans VL '!N12)/100/3.6*1000000</f>
        <v>13793.596694968785</v>
      </c>
      <c r="G6" s="34"/>
      <c r="H6" s="33"/>
      <c r="I6" s="33"/>
      <c r="J6" s="33">
        <f>$C$26*('E Balans VL '!D12+'E Balans VL '!E12)/100/3.6*1000000</f>
        <v>0</v>
      </c>
      <c r="K6" s="33"/>
      <c r="L6" s="33"/>
      <c r="M6" s="33"/>
      <c r="N6" s="33">
        <f>$C$26*'E Balans VL '!Y12/100/3.6*1000000</f>
        <v>128.23861922987331</v>
      </c>
      <c r="O6" s="33"/>
      <c r="P6" s="33"/>
      <c r="R6" s="32"/>
    </row>
    <row r="7" spans="1:18">
      <c r="A7" s="32" t="s">
        <v>52</v>
      </c>
      <c r="B7" s="37">
        <f t="shared" ref="B7:B12" si="0">B27</f>
        <v>13466.886878000001</v>
      </c>
      <c r="C7" s="33"/>
      <c r="D7" s="37">
        <f>IF(ISERROR(TER_horeca_gas_kWh/1000),0,TER_horeca_gas_kWh/1000)*0.902</f>
        <v>20220.239487997998</v>
      </c>
      <c r="E7" s="33">
        <f>$C$27*'E Balans VL '!I9/100/3.6*1000000</f>
        <v>171.99954796529093</v>
      </c>
      <c r="F7" s="33">
        <f>$C$27*('E Balans VL '!L9+'E Balans VL '!N9)/100/3.6*1000000</f>
        <v>1521.0243638505592</v>
      </c>
      <c r="G7" s="34"/>
      <c r="H7" s="33"/>
      <c r="I7" s="33"/>
      <c r="J7" s="33">
        <f>$C$27*('E Balans VL '!D9+'E Balans VL '!E9)/100/3.6*1000000</f>
        <v>0</v>
      </c>
      <c r="K7" s="33"/>
      <c r="L7" s="33"/>
      <c r="M7" s="33"/>
      <c r="N7" s="33">
        <f>$C$27*'E Balans VL '!Y9/100/3.6*1000000</f>
        <v>3.2092163067495463</v>
      </c>
      <c r="O7" s="33"/>
      <c r="P7" s="33"/>
      <c r="R7" s="32"/>
    </row>
    <row r="8" spans="1:18">
      <c r="A8" s="6" t="s">
        <v>51</v>
      </c>
      <c r="B8" s="37">
        <f t="shared" si="0"/>
        <v>44252.582818000003</v>
      </c>
      <c r="C8" s="33"/>
      <c r="D8" s="37">
        <f>IF(ISERROR(TER_handel_gas_kWh/1000),0,TER_handel_gas_kWh/1000)*0.902</f>
        <v>32367.766498188001</v>
      </c>
      <c r="E8" s="33">
        <f>$C$28*'E Balans VL '!I13/100/3.6*1000000</f>
        <v>1445.2175278521013</v>
      </c>
      <c r="F8" s="33">
        <f>$C$28*('E Balans VL '!L13+'E Balans VL '!N13)/100/3.6*1000000</f>
        <v>7661.9751555895937</v>
      </c>
      <c r="G8" s="34"/>
      <c r="H8" s="33"/>
      <c r="I8" s="33"/>
      <c r="J8" s="33">
        <f>$C$28*('E Balans VL '!D13+'E Balans VL '!E13)/100/3.6*1000000</f>
        <v>0</v>
      </c>
      <c r="K8" s="33"/>
      <c r="L8" s="33"/>
      <c r="M8" s="33"/>
      <c r="N8" s="33">
        <f>$C$28*'E Balans VL '!Y13/100/3.6*1000000</f>
        <v>52.084062418333744</v>
      </c>
      <c r="O8" s="33"/>
      <c r="P8" s="33"/>
      <c r="R8" s="32"/>
    </row>
    <row r="9" spans="1:18">
      <c r="A9" s="32" t="s">
        <v>50</v>
      </c>
      <c r="B9" s="37">
        <f t="shared" si="0"/>
        <v>10086.725072000001</v>
      </c>
      <c r="C9" s="33"/>
      <c r="D9" s="37">
        <f>IF(ISERROR(TER_gezond_gas_kWh/1000),0,TER_gezond_gas_kWh/1000)*0.902</f>
        <v>19943.322183069999</v>
      </c>
      <c r="E9" s="33">
        <f>$C$29*'E Balans VL '!I10/100/3.6*1000000</f>
        <v>0.56326807278310198</v>
      </c>
      <c r="F9" s="33">
        <f>$C$29*('E Balans VL '!L10+'E Balans VL '!N10)/100/3.6*1000000</f>
        <v>1336.4535480020738</v>
      </c>
      <c r="G9" s="34"/>
      <c r="H9" s="33"/>
      <c r="I9" s="33"/>
      <c r="J9" s="33">
        <f>$C$29*('E Balans VL '!D10+'E Balans VL '!E10)/100/3.6*1000000</f>
        <v>0</v>
      </c>
      <c r="K9" s="33"/>
      <c r="L9" s="33"/>
      <c r="M9" s="33"/>
      <c r="N9" s="33">
        <f>$C$29*'E Balans VL '!Y10/100/3.6*1000000</f>
        <v>106.91250615966888</v>
      </c>
      <c r="O9" s="33"/>
      <c r="P9" s="33"/>
      <c r="R9" s="32"/>
    </row>
    <row r="10" spans="1:18">
      <c r="A10" s="32" t="s">
        <v>49</v>
      </c>
      <c r="B10" s="37">
        <f t="shared" si="0"/>
        <v>14453.070195</v>
      </c>
      <c r="C10" s="33"/>
      <c r="D10" s="37">
        <f>IF(ISERROR(TER_ander_gas_kWh/1000),0,TER_ander_gas_kWh/1000)*0.902</f>
        <v>28477.226274090004</v>
      </c>
      <c r="E10" s="33">
        <f>$C$30*'E Balans VL '!I14/100/3.6*1000000</f>
        <v>186.63864081415315</v>
      </c>
      <c r="F10" s="33">
        <f>$C$30*('E Balans VL '!L14+'E Balans VL '!N14)/100/3.6*1000000</f>
        <v>9540.0572245928142</v>
      </c>
      <c r="G10" s="34"/>
      <c r="H10" s="33"/>
      <c r="I10" s="33"/>
      <c r="J10" s="33">
        <f>$C$30*('E Balans VL '!D14+'E Balans VL '!E14)/100/3.6*1000000</f>
        <v>0.17508759036066138</v>
      </c>
      <c r="K10" s="33"/>
      <c r="L10" s="33"/>
      <c r="M10" s="33"/>
      <c r="N10" s="33">
        <f>$C$30*'E Balans VL '!Y14/100/3.6*1000000</f>
        <v>6094.8008545664716</v>
      </c>
      <c r="O10" s="33"/>
      <c r="P10" s="33"/>
      <c r="R10" s="32"/>
    </row>
    <row r="11" spans="1:18">
      <c r="A11" s="32" t="s">
        <v>54</v>
      </c>
      <c r="B11" s="37">
        <f t="shared" si="0"/>
        <v>5903.1753315000005</v>
      </c>
      <c r="C11" s="33"/>
      <c r="D11" s="37">
        <f>IF(ISERROR(TER_onderwijs_gas_kWh/1000),0,TER_onderwijs_gas_kWh/1000)*0.902</f>
        <v>11530.160270266</v>
      </c>
      <c r="E11" s="33">
        <f>$C$31*'E Balans VL '!I11/100/3.6*1000000</f>
        <v>79.442095607802997</v>
      </c>
      <c r="F11" s="33">
        <f>$C$31*('E Balans VL '!L11+'E Balans VL '!N11)/100/3.6*1000000</f>
        <v>922.53215076481683</v>
      </c>
      <c r="G11" s="34"/>
      <c r="H11" s="33"/>
      <c r="I11" s="33"/>
      <c r="J11" s="33">
        <f>$C$31*('E Balans VL '!D11+'E Balans VL '!E11)/100/3.6*1000000</f>
        <v>0</v>
      </c>
      <c r="K11" s="33"/>
      <c r="L11" s="33"/>
      <c r="M11" s="33"/>
      <c r="N11" s="33">
        <f>$C$31*'E Balans VL '!Y11/100/3.6*1000000</f>
        <v>13.630711564437933</v>
      </c>
      <c r="O11" s="33"/>
      <c r="P11" s="33"/>
      <c r="R11" s="32"/>
    </row>
    <row r="12" spans="1:18">
      <c r="A12" s="32" t="s">
        <v>249</v>
      </c>
      <c r="B12" s="37">
        <f t="shared" si="0"/>
        <v>7972.2234577999998</v>
      </c>
      <c r="C12" s="33"/>
      <c r="D12" s="37">
        <f>IF(ISERROR(TER_rest_gas_kWh/1000),0,TER_rest_gas_kWh/1000)*0.902</f>
        <v>15936.518005100002</v>
      </c>
      <c r="E12" s="33">
        <f>$C$32*'E Balans VL '!I8/100/3.6*1000000</f>
        <v>107.84156336227664</v>
      </c>
      <c r="F12" s="33">
        <f>$C$32*('E Balans VL '!L8+'E Balans VL '!N8)/100/3.6*1000000</f>
        <v>1906.1064681670296</v>
      </c>
      <c r="G12" s="34"/>
      <c r="H12" s="33"/>
      <c r="I12" s="33"/>
      <c r="J12" s="33">
        <f>$C$32*('E Balans VL '!D8+'E Balans VL '!E8)/100/3.6*1000000</f>
        <v>1.7453602260547024E-2</v>
      </c>
      <c r="K12" s="33"/>
      <c r="L12" s="33"/>
      <c r="M12" s="33"/>
      <c r="N12" s="33">
        <f>$C$32*'E Balans VL '!Y8/100/3.6*1000000</f>
        <v>620.90743054616496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198170.74335230002</v>
      </c>
      <c r="C16" s="21">
        <f t="shared" ca="1" si="1"/>
        <v>0</v>
      </c>
      <c r="D16" s="21">
        <f t="shared" ca="1" si="1"/>
        <v>207690.95141830202</v>
      </c>
      <c r="E16" s="21">
        <f t="shared" si="1"/>
        <v>1991.7026436744081</v>
      </c>
      <c r="F16" s="21">
        <f t="shared" ca="1" si="1"/>
        <v>36681.745605935677</v>
      </c>
      <c r="G16" s="21">
        <f t="shared" si="1"/>
        <v>0</v>
      </c>
      <c r="H16" s="21">
        <f t="shared" si="1"/>
        <v>0</v>
      </c>
      <c r="I16" s="21">
        <f t="shared" si="1"/>
        <v>0</v>
      </c>
      <c r="J16" s="21">
        <f t="shared" si="1"/>
        <v>0.19254119262120839</v>
      </c>
      <c r="K16" s="21">
        <f t="shared" si="1"/>
        <v>0</v>
      </c>
      <c r="L16" s="21">
        <f t="shared" ca="1" si="1"/>
        <v>0</v>
      </c>
      <c r="M16" s="21">
        <f t="shared" si="1"/>
        <v>0</v>
      </c>
      <c r="N16" s="21">
        <f t="shared" ca="1" si="1"/>
        <v>7019.783400791699</v>
      </c>
      <c r="O16" s="21">
        <f>O5</f>
        <v>4.6900000000000004</v>
      </c>
      <c r="P16" s="21">
        <f>P5</f>
        <v>171.6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0.21503498396906967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42613.642619900456</v>
      </c>
      <c r="C20" s="23">
        <f t="shared" ref="C20:P20" ca="1" si="2">C16*C18</f>
        <v>0</v>
      </c>
      <c r="D20" s="23">
        <f t="shared" ca="1" si="2"/>
        <v>41953.572186497011</v>
      </c>
      <c r="E20" s="23">
        <f t="shared" si="2"/>
        <v>452.11650011409068</v>
      </c>
      <c r="F20" s="23">
        <f t="shared" ca="1" si="2"/>
        <v>9794.0260767848267</v>
      </c>
      <c r="G20" s="23">
        <f t="shared" si="2"/>
        <v>0</v>
      </c>
      <c r="H20" s="23">
        <f t="shared" si="2"/>
        <v>0</v>
      </c>
      <c r="I20" s="23">
        <f t="shared" si="2"/>
        <v>0</v>
      </c>
      <c r="J20" s="23">
        <f t="shared" si="2"/>
        <v>6.8159582187907769E-2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102036.0796</v>
      </c>
      <c r="C26" s="39">
        <f>IF(ISERROR(B26*3.6/1000000/'E Balans VL '!Z12*100),0,B26*3.6/1000000/'E Balans VL '!Z12*100)</f>
        <v>2.7377516166803231</v>
      </c>
      <c r="D26" s="232" t="s">
        <v>621</v>
      </c>
      <c r="F26" s="6"/>
    </row>
    <row r="27" spans="1:18">
      <c r="A27" s="227" t="s">
        <v>52</v>
      </c>
      <c r="B27" s="33">
        <f>IF(ISERROR(TER_horeca_ele_kWh/1000),0,TER_horeca_ele_kWh/1000)</f>
        <v>13466.886878000001</v>
      </c>
      <c r="C27" s="39">
        <f>IF(ISERROR(B27*3.6/1000000/'E Balans VL '!Z9*100),0,B27*3.6/1000000/'E Balans VL '!Z9*100)</f>
        <v>1.0698500937529842</v>
      </c>
      <c r="D27" s="232" t="s">
        <v>621</v>
      </c>
      <c r="F27" s="6"/>
    </row>
    <row r="28" spans="1:18">
      <c r="A28" s="167" t="s">
        <v>51</v>
      </c>
      <c r="B28" s="33">
        <f>IF(ISERROR(TER_handel_ele_kWh/1000),0,TER_handel_ele_kWh/1000)</f>
        <v>44252.582818000003</v>
      </c>
      <c r="C28" s="39">
        <f>IF(ISERROR(B28*3.6/1000000/'E Balans VL '!Z13*100),0,B28*3.6/1000000/'E Balans VL '!Z13*100)</f>
        <v>1.2943828141642397</v>
      </c>
      <c r="D28" s="232" t="s">
        <v>621</v>
      </c>
      <c r="F28" s="6"/>
    </row>
    <row r="29" spans="1:18">
      <c r="A29" s="227" t="s">
        <v>50</v>
      </c>
      <c r="B29" s="33">
        <f>IF(ISERROR(TER_gezond_ele_kWh/1000),0,TER_gezond_ele_kWh/1000)</f>
        <v>10086.725072000001</v>
      </c>
      <c r="C29" s="39">
        <f>IF(ISERROR(B29*3.6/1000000/'E Balans VL '!Z10*100),0,B29*3.6/1000000/'E Balans VL '!Z10*100)</f>
        <v>1.0705637088990119</v>
      </c>
      <c r="D29" s="232" t="s">
        <v>621</v>
      </c>
      <c r="F29" s="6"/>
    </row>
    <row r="30" spans="1:18">
      <c r="A30" s="227" t="s">
        <v>49</v>
      </c>
      <c r="B30" s="33">
        <f>IF(ISERROR(TER_ander_ele_kWh/1000),0,TER_ander_ele_kWh/1000)</f>
        <v>14453.070195</v>
      </c>
      <c r="C30" s="39">
        <f>IF(ISERROR(B30*3.6/1000000/'E Balans VL '!Z14*100),0,B30*3.6/1000000/'E Balans VL '!Z14*100)</f>
        <v>0.67226463875680553</v>
      </c>
      <c r="D30" s="232" t="s">
        <v>621</v>
      </c>
      <c r="F30" s="6"/>
    </row>
    <row r="31" spans="1:18">
      <c r="A31" s="227" t="s">
        <v>54</v>
      </c>
      <c r="B31" s="33">
        <f>IF(ISERROR(TER_onderwijs_ele_kWh/1000),0,TER_onderwijs_ele_kWh/1000)</f>
        <v>5903.1753315000005</v>
      </c>
      <c r="C31" s="39">
        <f>IF(ISERROR(B31*3.6/1000000/'E Balans VL '!Z11*100),0,B31*3.6/1000000/'E Balans VL '!Z11*100)</f>
        <v>1.4774424379712077</v>
      </c>
      <c r="D31" s="232" t="s">
        <v>621</v>
      </c>
    </row>
    <row r="32" spans="1:18">
      <c r="A32" s="227" t="s">
        <v>249</v>
      </c>
      <c r="B32" s="33">
        <f>IF(ISERROR(TER_rest_ele_kWh/1000),0,TER_rest_ele_kWh/1000)</f>
        <v>7972.2234577999998</v>
      </c>
      <c r="C32" s="39">
        <f>IF(ISERROR(B32*3.6/1000000/'E Balans VL '!Z8*100),0,B32*3.6/1000000/'E Balans VL '!Z8*100)</f>
        <v>6.7014684447492825E-2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9</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201234.89244207402</v>
      </c>
      <c r="C5" s="17">
        <f>IF(ISERROR('Eigen informatie GS &amp; warmtenet'!B59),0,'Eigen informatie GS &amp; warmtenet'!B59)</f>
        <v>0</v>
      </c>
      <c r="D5" s="30">
        <f>SUM(D6:D15)</f>
        <v>263375.4083137078</v>
      </c>
      <c r="E5" s="17">
        <f>SUM(E6:E15)</f>
        <v>10464.428161813235</v>
      </c>
      <c r="F5" s="17">
        <f>SUM(F6:F15)</f>
        <v>43338.983751048989</v>
      </c>
      <c r="G5" s="18"/>
      <c r="H5" s="17"/>
      <c r="I5" s="17"/>
      <c r="J5" s="17">
        <f>SUM(J6:J15)</f>
        <v>1395.7078350868946</v>
      </c>
      <c r="K5" s="17"/>
      <c r="L5" s="17"/>
      <c r="M5" s="17"/>
      <c r="N5" s="17">
        <f>SUM(N6:N15)</f>
        <v>11678.036284532336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9430.6071917000008</v>
      </c>
      <c r="C8" s="33"/>
      <c r="D8" s="37">
        <f>IF( ISERROR(IND_metaal_Gas_kWH/1000),0,IND_metaal_Gas_kWH/1000)*0.902</f>
        <v>10371.1785012</v>
      </c>
      <c r="E8" s="33">
        <f>C30*'E Balans VL '!I18/100/3.6*1000000</f>
        <v>339.34177627808026</v>
      </c>
      <c r="F8" s="33">
        <f>C30*'E Balans VL '!L18/100/3.6*1000000+C30*'E Balans VL '!N18/100/3.6*1000000</f>
        <v>4118.0404532212551</v>
      </c>
      <c r="G8" s="34"/>
      <c r="H8" s="33"/>
      <c r="I8" s="33"/>
      <c r="J8" s="40">
        <f>C30*'E Balans VL '!D18/100/3.6*1000000+C30*'E Balans VL '!E18/100/3.6*1000000</f>
        <v>0</v>
      </c>
      <c r="K8" s="33"/>
      <c r="L8" s="33"/>
      <c r="M8" s="33"/>
      <c r="N8" s="33">
        <f>C30*'E Balans VL '!Y18/100/3.6*1000000</f>
        <v>472.65562367134589</v>
      </c>
      <c r="O8" s="33"/>
      <c r="P8" s="33"/>
      <c r="R8" s="32"/>
    </row>
    <row r="9" spans="1:18">
      <c r="A9" s="6" t="s">
        <v>32</v>
      </c>
      <c r="B9" s="37">
        <f t="shared" si="0"/>
        <v>10506.270025</v>
      </c>
      <c r="C9" s="33"/>
      <c r="D9" s="37">
        <f>IF( ISERROR(IND_andere_gas_kWh/1000),0,IND_andere_gas_kWh/1000)*0.902</f>
        <v>8931.6494088447998</v>
      </c>
      <c r="E9" s="33">
        <f>C31*'E Balans VL '!I19/100/3.6*1000000</f>
        <v>2680.9623993626465</v>
      </c>
      <c r="F9" s="33">
        <f>C31*'E Balans VL '!L19/100/3.6*1000000+C31*'E Balans VL '!N19/100/3.6*1000000</f>
        <v>9045.1088095697251</v>
      </c>
      <c r="G9" s="34"/>
      <c r="H9" s="33"/>
      <c r="I9" s="33"/>
      <c r="J9" s="40">
        <f>C31*'E Balans VL '!D19/100/3.6*1000000+C31*'E Balans VL '!E19/100/3.6*1000000</f>
        <v>0</v>
      </c>
      <c r="K9" s="33"/>
      <c r="L9" s="33"/>
      <c r="M9" s="33"/>
      <c r="N9" s="33">
        <f>C31*'E Balans VL '!Y19/100/3.6*1000000</f>
        <v>828.82176358129448</v>
      </c>
      <c r="O9" s="33"/>
      <c r="P9" s="33"/>
      <c r="R9" s="32"/>
    </row>
    <row r="10" spans="1:18">
      <c r="A10" s="6" t="s">
        <v>40</v>
      </c>
      <c r="B10" s="37">
        <f t="shared" si="0"/>
        <v>2407.5955994000001</v>
      </c>
      <c r="C10" s="33"/>
      <c r="D10" s="37">
        <f>IF( ISERROR(IND_voed_gas_kWh/1000),0,IND_voed_gas_kWh/1000)*0.902</f>
        <v>2288.5313959332002</v>
      </c>
      <c r="E10" s="33">
        <f>C32*'E Balans VL '!I20/100/3.6*1000000</f>
        <v>61.204386036418875</v>
      </c>
      <c r="F10" s="33">
        <f>C32*'E Balans VL '!L20/100/3.6*1000000+C32*'E Balans VL '!N20/100/3.6*1000000</f>
        <v>544.80274301746033</v>
      </c>
      <c r="G10" s="34"/>
      <c r="H10" s="33"/>
      <c r="I10" s="33"/>
      <c r="J10" s="40">
        <f>C32*'E Balans VL '!D20/100/3.6*1000000+C32*'E Balans VL '!E20/100/3.6*1000000</f>
        <v>0</v>
      </c>
      <c r="K10" s="33"/>
      <c r="L10" s="33"/>
      <c r="M10" s="33"/>
      <c r="N10" s="33">
        <f>C32*'E Balans VL '!Y20/100/3.6*1000000</f>
        <v>902.91361022065405</v>
      </c>
      <c r="O10" s="33"/>
      <c r="P10" s="33"/>
      <c r="R10" s="32"/>
    </row>
    <row r="11" spans="1:18">
      <c r="A11" s="6" t="s">
        <v>39</v>
      </c>
      <c r="B11" s="37">
        <f t="shared" si="0"/>
        <v>34.096145444000001</v>
      </c>
      <c r="C11" s="33"/>
      <c r="D11" s="37">
        <f>IF( ISERROR(IND_textiel_gas_kWh/1000),0,IND_textiel_gas_kWh/1000)*0.902</f>
        <v>0</v>
      </c>
      <c r="E11" s="33">
        <f>C33*'E Balans VL '!I21/100/3.6*1000000</f>
        <v>9.3603088476393148E-2</v>
      </c>
      <c r="F11" s="33">
        <f>C33*'E Balans VL '!L21/100/3.6*1000000+C33*'E Balans VL '!N21/100/3.6*1000000</f>
        <v>1.8076355344930621</v>
      </c>
      <c r="G11" s="34"/>
      <c r="H11" s="33"/>
      <c r="I11" s="33"/>
      <c r="J11" s="40">
        <f>C33*'E Balans VL '!D21/100/3.6*1000000+C33*'E Balans VL '!E21/100/3.6*1000000</f>
        <v>0</v>
      </c>
      <c r="K11" s="33"/>
      <c r="L11" s="33"/>
      <c r="M11" s="33"/>
      <c r="N11" s="33">
        <f>C33*'E Balans VL '!Y21/100/3.6*1000000</f>
        <v>6.8527610023428623E-2</v>
      </c>
      <c r="O11" s="33"/>
      <c r="P11" s="33"/>
      <c r="R11" s="32"/>
    </row>
    <row r="12" spans="1:18">
      <c r="A12" s="6" t="s">
        <v>36</v>
      </c>
      <c r="B12" s="37">
        <f t="shared" si="0"/>
        <v>108.70524033</v>
      </c>
      <c r="C12" s="33"/>
      <c r="D12" s="37">
        <f>IF( ISERROR(IND_min_gas_kWh/1000),0,IND_min_gas_kWh/1000)*0.902</f>
        <v>0</v>
      </c>
      <c r="E12" s="33">
        <f>C34*'E Balans VL '!I22/100/3.6*1000000</f>
        <v>2.3097139175243009</v>
      </c>
      <c r="F12" s="33">
        <f>C34*'E Balans VL '!L22/100/3.6*1000000+C34*'E Balans VL '!N22/100/3.6*1000000</f>
        <v>17.736186356617623</v>
      </c>
      <c r="G12" s="34"/>
      <c r="H12" s="33"/>
      <c r="I12" s="33"/>
      <c r="J12" s="40">
        <f>C34*'E Balans VL '!D22/100/3.6*1000000+C34*'E Balans VL '!E22/100/3.6*1000000</f>
        <v>0.12665174941312929</v>
      </c>
      <c r="K12" s="33"/>
      <c r="L12" s="33"/>
      <c r="M12" s="33"/>
      <c r="N12" s="33">
        <f>C34*'E Balans VL '!Y22/100/3.6*1000000</f>
        <v>0</v>
      </c>
      <c r="O12" s="33"/>
      <c r="P12" s="33"/>
      <c r="R12" s="32"/>
    </row>
    <row r="13" spans="1:18">
      <c r="A13" s="6" t="s">
        <v>38</v>
      </c>
      <c r="B13" s="37">
        <f t="shared" si="0"/>
        <v>4638.0701772000002</v>
      </c>
      <c r="C13" s="33"/>
      <c r="D13" s="37">
        <f>IF( ISERROR(IND_papier_gas_kWh/1000),0,IND_papier_gas_kWh/1000)*0.902</f>
        <v>4951.4824179238003</v>
      </c>
      <c r="E13" s="33">
        <f>C35*'E Balans VL '!I23/100/3.6*1000000</f>
        <v>19.891333692914802</v>
      </c>
      <c r="F13" s="33">
        <f>C35*'E Balans VL '!L23/100/3.6*1000000+C35*'E Balans VL '!N23/100/3.6*1000000</f>
        <v>116.56909920643811</v>
      </c>
      <c r="G13" s="34"/>
      <c r="H13" s="33"/>
      <c r="I13" s="33"/>
      <c r="J13" s="40">
        <f>C35*'E Balans VL '!D23/100/3.6*1000000+C35*'E Balans VL '!E23/100/3.6*1000000</f>
        <v>310.49335959506624</v>
      </c>
      <c r="K13" s="33"/>
      <c r="L13" s="33"/>
      <c r="M13" s="33"/>
      <c r="N13" s="33">
        <f>C35*'E Balans VL '!Y23/100/3.6*1000000</f>
        <v>1131.0567263169373</v>
      </c>
      <c r="O13" s="33"/>
      <c r="P13" s="33"/>
      <c r="R13" s="32"/>
    </row>
    <row r="14" spans="1:18">
      <c r="A14" s="6" t="s">
        <v>33</v>
      </c>
      <c r="B14" s="37">
        <f t="shared" si="0"/>
        <v>40265.665252999999</v>
      </c>
      <c r="C14" s="33"/>
      <c r="D14" s="37">
        <f>IF( ISERROR(IND_chemie_gas_kWh/1000),0,IND_chemie_gas_kWh/1000)*0.902</f>
        <v>33926.007189426004</v>
      </c>
      <c r="E14" s="33">
        <f>C36*'E Balans VL '!I24/100/3.6*1000000</f>
        <v>96.530625358257822</v>
      </c>
      <c r="F14" s="33">
        <f>C36*'E Balans VL '!L24/100/3.6*1000000+C36*'E Balans VL '!N24/100/3.6*1000000</f>
        <v>323.14107191908914</v>
      </c>
      <c r="G14" s="34"/>
      <c r="H14" s="33"/>
      <c r="I14" s="33"/>
      <c r="J14" s="40">
        <f>C36*'E Balans VL '!D24/100/3.6*1000000+C36*'E Balans VL '!E24/100/3.6*1000000</f>
        <v>0</v>
      </c>
      <c r="K14" s="33"/>
      <c r="L14" s="33"/>
      <c r="M14" s="33"/>
      <c r="N14" s="33">
        <f>C36*'E Balans VL '!Y24/100/3.6*1000000</f>
        <v>832.26008438855297</v>
      </c>
      <c r="O14" s="33"/>
      <c r="P14" s="33"/>
      <c r="R14" s="32"/>
    </row>
    <row r="15" spans="1:18">
      <c r="A15" s="6" t="s">
        <v>259</v>
      </c>
      <c r="B15" s="37">
        <f t="shared" si="0"/>
        <v>133843.88281000001</v>
      </c>
      <c r="C15" s="33"/>
      <c r="D15" s="37">
        <f>IF( ISERROR(IND_rest_gas_kWh/1000),0,IND_rest_gas_kWh/1000)*0.902</f>
        <v>202906.55940038001</v>
      </c>
      <c r="E15" s="33">
        <f>C37*'E Balans VL '!I15/100/3.6*1000000</f>
        <v>7264.0943240789165</v>
      </c>
      <c r="F15" s="33">
        <f>C37*'E Balans VL '!L15/100/3.6*1000000+C37*'E Balans VL '!N15/100/3.6*1000000</f>
        <v>29171.777752223912</v>
      </c>
      <c r="G15" s="34"/>
      <c r="H15" s="33"/>
      <c r="I15" s="33"/>
      <c r="J15" s="40">
        <f>C37*'E Balans VL '!D15/100/3.6*1000000+C37*'E Balans VL '!E15/100/3.6*1000000</f>
        <v>1085.0878237424154</v>
      </c>
      <c r="K15" s="33"/>
      <c r="L15" s="33"/>
      <c r="M15" s="33"/>
      <c r="N15" s="33">
        <f>C37*'E Balans VL '!Y15/100/3.6*1000000</f>
        <v>7510.2599487435291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201234.89244207402</v>
      </c>
      <c r="C18" s="21">
        <f>C5+C16</f>
        <v>0</v>
      </c>
      <c r="D18" s="21">
        <f>MAX((D5+D16),0)</f>
        <v>263375.4083137078</v>
      </c>
      <c r="E18" s="21">
        <f>MAX((E5+E16),0)</f>
        <v>10464.428161813235</v>
      </c>
      <c r="F18" s="21">
        <f>MAX((F5+F16),0)</f>
        <v>43338.983751048989</v>
      </c>
      <c r="G18" s="21"/>
      <c r="H18" s="21"/>
      <c r="I18" s="21"/>
      <c r="J18" s="21">
        <f>MAX((J5+J16),0)</f>
        <v>1395.7078350868946</v>
      </c>
      <c r="K18" s="21"/>
      <c r="L18" s="21">
        <f>MAX((L5+L16),0)</f>
        <v>0</v>
      </c>
      <c r="M18" s="21"/>
      <c r="N18" s="21">
        <f>MAX((N5+N16),0)</f>
        <v>11678.036284532336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0.21503498396906967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43272.541870298846</v>
      </c>
      <c r="C22" s="23">
        <f ca="1">C18*C20</f>
        <v>0</v>
      </c>
      <c r="D22" s="23">
        <f>D18*D20</f>
        <v>53201.832479368975</v>
      </c>
      <c r="E22" s="23">
        <f>E18*E20</f>
        <v>2375.4251927316045</v>
      </c>
      <c r="F22" s="23">
        <f>F18*F20</f>
        <v>11571.508661530081</v>
      </c>
      <c r="G22" s="23"/>
      <c r="H22" s="23"/>
      <c r="I22" s="23"/>
      <c r="J22" s="23">
        <f>J18*J20</f>
        <v>494.08057362076067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9430.6071917000008</v>
      </c>
      <c r="C30" s="39">
        <f>IF(ISERROR(B30*3.6/1000000/'E Balans VL '!Z18*100),0,B30*3.6/1000000/'E Balans VL '!Z18*100)</f>
        <v>1.9981434770317854</v>
      </c>
      <c r="D30" s="232" t="s">
        <v>621</v>
      </c>
    </row>
    <row r="31" spans="1:18">
      <c r="A31" s="6" t="s">
        <v>32</v>
      </c>
      <c r="B31" s="37">
        <f>IF( ISERROR(IND_ander_ele_kWh/1000),0,IND_ander_ele_kWh/1000)</f>
        <v>10506.270025</v>
      </c>
      <c r="C31" s="39">
        <f>IF(ISERROR(B31*3.6/1000000/'E Balans VL '!Z19*100),0,B31*3.6/1000000/'E Balans VL '!Z19*100)</f>
        <v>0.44223276157330726</v>
      </c>
      <c r="D31" s="232" t="s">
        <v>621</v>
      </c>
    </row>
    <row r="32" spans="1:18">
      <c r="A32" s="167" t="s">
        <v>40</v>
      </c>
      <c r="B32" s="37">
        <f>IF( ISERROR(IND_voed_ele_kWh/1000),0,IND_voed_ele_kWh/1000)</f>
        <v>2407.5955994000001</v>
      </c>
      <c r="C32" s="39">
        <f>IF(ISERROR(B32*3.6/1000000/'E Balans VL '!Z20*100),0,B32*3.6/1000000/'E Balans VL '!Z20*100)</f>
        <v>0.40221608495049582</v>
      </c>
      <c r="D32" s="232" t="s">
        <v>621</v>
      </c>
    </row>
    <row r="33" spans="1:5">
      <c r="A33" s="167" t="s">
        <v>39</v>
      </c>
      <c r="B33" s="37">
        <f>IF( ISERROR(IND_textiel_ele_kWh/1000),0,IND_textiel_ele_kWh/1000)</f>
        <v>34.096145444000001</v>
      </c>
      <c r="C33" s="39">
        <f>IF(ISERROR(B33*3.6/1000000/'E Balans VL '!Z21*100),0,B33*3.6/1000000/'E Balans VL '!Z21*100)</f>
        <v>1.9906350043116519E-3</v>
      </c>
      <c r="D33" s="232" t="s">
        <v>621</v>
      </c>
    </row>
    <row r="34" spans="1:5">
      <c r="A34" s="167" t="s">
        <v>36</v>
      </c>
      <c r="B34" s="37">
        <f>IF( ISERROR(IND_min_ele_kWh/1000),0,IND_min_ele_kWh/1000)</f>
        <v>108.70524033</v>
      </c>
      <c r="C34" s="39">
        <f>IF(ISERROR(B34*3.6/1000000/'E Balans VL '!Z22*100),0,B34*3.6/1000000/'E Balans VL '!Z22*100)</f>
        <v>1.3778975457457146E-2</v>
      </c>
      <c r="D34" s="232" t="s">
        <v>621</v>
      </c>
    </row>
    <row r="35" spans="1:5">
      <c r="A35" s="167" t="s">
        <v>38</v>
      </c>
      <c r="B35" s="37">
        <f>IF( ISERROR(IND_papier_ele_kWh/1000),0,IND_papier_ele_kWh/1000)</f>
        <v>4638.0701772000002</v>
      </c>
      <c r="C35" s="39">
        <f>IF(ISERROR(B35*3.6/1000000/'E Balans VL '!Z22*100),0,B35*3.6/1000000/'E Balans VL '!Z22*100)</f>
        <v>0.58790040799869059</v>
      </c>
      <c r="D35" s="232" t="s">
        <v>621</v>
      </c>
    </row>
    <row r="36" spans="1:5">
      <c r="A36" s="167" t="s">
        <v>33</v>
      </c>
      <c r="B36" s="37">
        <f>IF( ISERROR(IND_chemie_ele_kWh/1000),0,IND_chemie_ele_kWh/1000)</f>
        <v>40265.665252999999</v>
      </c>
      <c r="C36" s="39">
        <f>IF(ISERROR(B36*3.6/1000000/'E Balans VL '!Z24*100),0,B36*3.6/1000000/'E Balans VL '!Z24*100)</f>
        <v>1.3078301058932635</v>
      </c>
      <c r="D36" s="232" t="s">
        <v>621</v>
      </c>
    </row>
    <row r="37" spans="1:5">
      <c r="A37" s="167" t="s">
        <v>259</v>
      </c>
      <c r="B37" s="37">
        <f>IF( ISERROR(IND_rest_ele_kWh/1000),0,IND_rest_ele_kWh/1000)</f>
        <v>133843.88281000001</v>
      </c>
      <c r="C37" s="39">
        <f>IF(ISERROR(B37*3.6/1000000/'E Balans VL '!Z15*100),0,B37*3.6/1000000/'E Balans VL '!Z15*100)</f>
        <v>1.0805734926519672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892.77984520000007</v>
      </c>
      <c r="C5" s="17">
        <f>'Eigen informatie GS &amp; warmtenet'!B60</f>
        <v>0</v>
      </c>
      <c r="D5" s="30">
        <f>IF(ISERROR(SUM(LB_lb_gas_kWh,LB_rest_gas_kWh)/1000),0,SUM(LB_lb_gas_kWh,LB_rest_gas_kWh)/1000)*0.902</f>
        <v>1138.7077068041399</v>
      </c>
      <c r="E5" s="17">
        <f>B17*'E Balans VL '!I25/3.6*1000000/100</f>
        <v>17.686736530634715</v>
      </c>
      <c r="F5" s="17">
        <f>B17*('E Balans VL '!L25/3.6*1000000+'E Balans VL '!N25/3.6*1000000)/100</f>
        <v>3255.7162942792993</v>
      </c>
      <c r="G5" s="18"/>
      <c r="H5" s="17"/>
      <c r="I5" s="17"/>
      <c r="J5" s="17">
        <f>('E Balans VL '!D25+'E Balans VL '!E25)/3.6*1000000*landbouw!B17/100</f>
        <v>211.98190453686922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892.77984520000007</v>
      </c>
      <c r="C8" s="21">
        <f>C5+C6</f>
        <v>0</v>
      </c>
      <c r="D8" s="21">
        <f>MAX((D5+D6),0)</f>
        <v>1138.7077068041399</v>
      </c>
      <c r="E8" s="21">
        <f>MAX((E5+E6),0)</f>
        <v>17.686736530634715</v>
      </c>
      <c r="F8" s="21">
        <f>MAX((F5+F6),0)</f>
        <v>3255.7162942792993</v>
      </c>
      <c r="G8" s="21"/>
      <c r="H8" s="21"/>
      <c r="I8" s="21"/>
      <c r="J8" s="21">
        <f>MAX((J5+J6),0)</f>
        <v>211.98190453686922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0.21503498396906967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191.97889970049053</v>
      </c>
      <c r="C12" s="23">
        <f ca="1">C8*C10</f>
        <v>0</v>
      </c>
      <c r="D12" s="23">
        <f>D8*D10</f>
        <v>230.01895677443628</v>
      </c>
      <c r="E12" s="23">
        <f>E8*E10</f>
        <v>4.0148891924540804</v>
      </c>
      <c r="F12" s="23">
        <f>F8*F10</f>
        <v>869.27625057257296</v>
      </c>
      <c r="G12" s="23"/>
      <c r="H12" s="23"/>
      <c r="I12" s="23"/>
      <c r="J12" s="23">
        <f>J8*J10</f>
        <v>75.041594206051698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0.12588787181429381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118.12497309960065</v>
      </c>
      <c r="C26" s="242">
        <f>B26*'GWP N2O_CH4'!B5</f>
        <v>2480.6244350916136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13.698659195831217</v>
      </c>
      <c r="C27" s="242">
        <f>B27*'GWP N2O_CH4'!B5</f>
        <v>287.67184311245558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1.7874166647994796</v>
      </c>
      <c r="C28" s="242">
        <f>B28*'GWP N2O_CH4'!B4</f>
        <v>554.09916608783863</v>
      </c>
      <c r="D28" s="50"/>
    </row>
    <row r="29" spans="1:4">
      <c r="A29" s="41" t="s">
        <v>266</v>
      </c>
      <c r="B29" s="242">
        <f>B34*'ha_N2O bodem landbouw'!B4</f>
        <v>12.718445748527191</v>
      </c>
      <c r="C29" s="242">
        <f>B29*'GWP N2O_CH4'!B4</f>
        <v>3942.7181820434294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2.8623414338654505E-3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7.0710876385771842E-4</v>
      </c>
      <c r="C5" s="427" t="s">
        <v>204</v>
      </c>
      <c r="D5" s="412">
        <f>SUM(D6:D11)</f>
        <v>1.0675973450356552E-3</v>
      </c>
      <c r="E5" s="412">
        <f>SUM(E6:E11)</f>
        <v>5.3499747149060306E-3</v>
      </c>
      <c r="F5" s="425" t="s">
        <v>204</v>
      </c>
      <c r="G5" s="412">
        <f>SUM(G6:G11)</f>
        <v>1.9727052860106866</v>
      </c>
      <c r="H5" s="412">
        <f>SUM(H6:H11)</f>
        <v>0.37795577358191568</v>
      </c>
      <c r="I5" s="427" t="s">
        <v>204</v>
      </c>
      <c r="J5" s="427" t="s">
        <v>204</v>
      </c>
      <c r="K5" s="427" t="s">
        <v>204</v>
      </c>
      <c r="L5" s="427" t="s">
        <v>204</v>
      </c>
      <c r="M5" s="412">
        <f>SUM(M6:M11)</f>
        <v>7.3388514499228508E-2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2.5876574411507809E-4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4.0774480196006322E-4</v>
      </c>
      <c r="E6" s="818">
        <f>vkm_GW_PW*SUMIFS(TableVerdeelsleutelVkm[LPG],TableVerdeelsleutelVkm[Voertuigtype],"Lichte voertuigen")*SUMIFS(TableECFTransport[EnergieConsumptieFactor (PJ per km)],TableECFTransport[Index],CONCATENATE($A6,"_LPG_LPG"))</f>
        <v>1.8612590207935289E-3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0.50254355798050887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0.14190348162338129</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2.0062934927425186E-2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5.249715662672751E-6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0.18095173925740946</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3.6761886826092597E-6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5.6927641776017045E-3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7.8148744421146685E-5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1.7444404801572326E-4</v>
      </c>
      <c r="E8" s="415">
        <f>vkm_NGW_PW*SUMIFS(TableVerdeelsleutelVkm[LPG],TableVerdeelsleutelVkm[Voertuigtype],"Lichte voertuigen")*SUMIFS(TableECFTransport[EnergieConsumptieFactor (PJ per km)],TableECFTransport[Index],CONCATENATE($A8,"_LPG_LPG"))</f>
        <v>7.5968491127444983E-4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0.19124708509759511</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5.8903622942747778E-2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7.7820112060224362E-3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6.2854265520027113E-7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2.7856260391380078E-2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5.3126745741203495E-7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8.7636037083811626E-4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3.5207253000143162E-4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4.854084950598688E-4</v>
      </c>
      <c r="E10" s="415">
        <f>vkm_SW_PW*SUMIFS(TableVerdeelsleutelVkm[LPG],TableVerdeelsleutelVkm[Voertuigtype],"Lichte voertuigen")*SUMIFS(TableECFTransport[EnergieConsumptieFactor (PJ per km)],TableECFTransport[Index],CONCATENATE($A10,"_LPG_LPG"))</f>
        <v>2.7290307828380512E-3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0.66798268163700203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0.17713563690789066</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2.6323554433842943E-2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1.2243487002189045E-5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0.40212396164679115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8.8246517558710616E-6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1.2650889383498114E-2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196.41910107158844</v>
      </c>
      <c r="C14" s="21"/>
      <c r="D14" s="21">
        <f t="shared" ref="D14:M14" si="0">((D5)*10^9/3600)+D12</f>
        <v>296.55481806545976</v>
      </c>
      <c r="E14" s="21">
        <f t="shared" si="0"/>
        <v>1486.1040874738974</v>
      </c>
      <c r="F14" s="21"/>
      <c r="G14" s="21">
        <f t="shared" si="0"/>
        <v>547973.6905585241</v>
      </c>
      <c r="H14" s="21">
        <f t="shared" si="0"/>
        <v>104987.71488386547</v>
      </c>
      <c r="I14" s="21"/>
      <c r="J14" s="21"/>
      <c r="K14" s="21"/>
      <c r="L14" s="21"/>
      <c r="M14" s="21">
        <f t="shared" si="0"/>
        <v>20385.69847200792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0.21503498396906967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42.236978250148098</v>
      </c>
      <c r="C18" s="23"/>
      <c r="D18" s="23">
        <f t="shared" ref="D18:M18" si="1">D14*D16</f>
        <v>59.904073249222876</v>
      </c>
      <c r="E18" s="23">
        <f t="shared" si="1"/>
        <v>337.34562785657471</v>
      </c>
      <c r="F18" s="23"/>
      <c r="G18" s="23">
        <f t="shared" si="1"/>
        <v>146308.97537912594</v>
      </c>
      <c r="H18" s="23">
        <f t="shared" si="1"/>
        <v>26141.941006082503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2.1594314638920934E-4</v>
      </c>
      <c r="C50" s="311">
        <f t="shared" ref="C50:P50" si="2">SUM(C51:C52)</f>
        <v>0</v>
      </c>
      <c r="D50" s="311">
        <f t="shared" si="2"/>
        <v>0</v>
      </c>
      <c r="E50" s="311">
        <f t="shared" si="2"/>
        <v>0</v>
      </c>
      <c r="F50" s="311">
        <f t="shared" si="2"/>
        <v>0</v>
      </c>
      <c r="G50" s="311">
        <f t="shared" si="2"/>
        <v>3.850312018148163E-2</v>
      </c>
      <c r="H50" s="311">
        <f t="shared" si="2"/>
        <v>0</v>
      </c>
      <c r="I50" s="311">
        <f t="shared" si="2"/>
        <v>0</v>
      </c>
      <c r="J50" s="311">
        <f t="shared" si="2"/>
        <v>0</v>
      </c>
      <c r="K50" s="311">
        <f t="shared" si="2"/>
        <v>0</v>
      </c>
      <c r="L50" s="311">
        <f t="shared" si="2"/>
        <v>0</v>
      </c>
      <c r="M50" s="311">
        <f t="shared" si="2"/>
        <v>1.201918226568515E-3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2.1594314638920934E-4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3.850312018148163E-2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1.201918226568515E-3</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59.984207330335927</v>
      </c>
      <c r="C54" s="21">
        <f t="shared" ref="C54:P54" si="3">(C50)*10^9/3600</f>
        <v>0</v>
      </c>
      <c r="D54" s="21">
        <f t="shared" si="3"/>
        <v>0</v>
      </c>
      <c r="E54" s="21">
        <f t="shared" si="3"/>
        <v>0</v>
      </c>
      <c r="F54" s="21">
        <f t="shared" si="3"/>
        <v>0</v>
      </c>
      <c r="G54" s="21">
        <f t="shared" si="3"/>
        <v>10695.311161522675</v>
      </c>
      <c r="H54" s="21">
        <f t="shared" si="3"/>
        <v>0</v>
      </c>
      <c r="I54" s="21">
        <f t="shared" si="3"/>
        <v>0</v>
      </c>
      <c r="J54" s="21">
        <f t="shared" si="3"/>
        <v>0</v>
      </c>
      <c r="K54" s="21">
        <f t="shared" si="3"/>
        <v>0</v>
      </c>
      <c r="L54" s="21">
        <f t="shared" si="3"/>
        <v>0</v>
      </c>
      <c r="M54" s="21">
        <f t="shared" si="3"/>
        <v>333.8661740468097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0.21503498396906967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12.898703061676137</v>
      </c>
      <c r="C58" s="23">
        <f t="shared" ref="C58:P58" ca="1" si="4">C54*C56</f>
        <v>0</v>
      </c>
      <c r="D58" s="23">
        <f t="shared" si="4"/>
        <v>0</v>
      </c>
      <c r="E58" s="23">
        <f t="shared" si="4"/>
        <v>0</v>
      </c>
      <c r="F58" s="23">
        <f t="shared" si="4"/>
        <v>0</v>
      </c>
      <c r="G58" s="23">
        <f t="shared" si="4"/>
        <v>2855.6480801265543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181.95266272189349</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13944.120756505212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14126.073419227105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202385.48935230004</v>
      </c>
      <c r="D10" s="930">
        <f ca="1">tertiair!C16</f>
        <v>0</v>
      </c>
      <c r="E10" s="930">
        <f ca="1">tertiair!D16</f>
        <v>207690.95141830202</v>
      </c>
      <c r="F10" s="930">
        <f>tertiair!E16</f>
        <v>1991.7026436744081</v>
      </c>
      <c r="G10" s="930">
        <f ca="1">tertiair!F16</f>
        <v>36681.745605935677</v>
      </c>
      <c r="H10" s="930">
        <f>tertiair!G16</f>
        <v>0</v>
      </c>
      <c r="I10" s="930">
        <f>tertiair!H16</f>
        <v>0</v>
      </c>
      <c r="J10" s="930">
        <f>tertiair!I16</f>
        <v>0</v>
      </c>
      <c r="K10" s="930">
        <f>tertiair!J16</f>
        <v>0.19254119262120839</v>
      </c>
      <c r="L10" s="930">
        <f>tertiair!K16</f>
        <v>0</v>
      </c>
      <c r="M10" s="930">
        <f ca="1">tertiair!L16</f>
        <v>0</v>
      </c>
      <c r="N10" s="930">
        <f>tertiair!M16</f>
        <v>0</v>
      </c>
      <c r="O10" s="930">
        <f ca="1">tertiair!N16</f>
        <v>7019.783400791699</v>
      </c>
      <c r="P10" s="930">
        <f>tertiair!O16</f>
        <v>4.6900000000000004</v>
      </c>
      <c r="Q10" s="931">
        <f>tertiair!P16</f>
        <v>171.6</v>
      </c>
      <c r="R10" s="628">
        <f ca="1">SUM(C10:Q10)</f>
        <v>455946.15496219648</v>
      </c>
      <c r="S10" s="67"/>
    </row>
    <row r="11" spans="1:19" s="437" customFormat="1">
      <c r="A11" s="736" t="s">
        <v>214</v>
      </c>
      <c r="B11" s="741"/>
      <c r="C11" s="930">
        <f>huishoudens!B8</f>
        <v>113615.3053678983</v>
      </c>
      <c r="D11" s="930">
        <f>huishoudens!C8</f>
        <v>0</v>
      </c>
      <c r="E11" s="930">
        <f>huishoudens!D8</f>
        <v>360863.20526871999</v>
      </c>
      <c r="F11" s="930">
        <f>huishoudens!E8</f>
        <v>4042.0819658204173</v>
      </c>
      <c r="G11" s="930">
        <f>huishoudens!F8</f>
        <v>109896.20786823623</v>
      </c>
      <c r="H11" s="930">
        <f>huishoudens!G8</f>
        <v>0</v>
      </c>
      <c r="I11" s="930">
        <f>huishoudens!H8</f>
        <v>0</v>
      </c>
      <c r="J11" s="930">
        <f>huishoudens!I8</f>
        <v>0</v>
      </c>
      <c r="K11" s="930">
        <f>huishoudens!J8</f>
        <v>2026.6823614243706</v>
      </c>
      <c r="L11" s="930">
        <f>huishoudens!K8</f>
        <v>0</v>
      </c>
      <c r="M11" s="930">
        <f>huishoudens!L8</f>
        <v>0</v>
      </c>
      <c r="N11" s="930">
        <f>huishoudens!M8</f>
        <v>0</v>
      </c>
      <c r="O11" s="930">
        <f>huishoudens!N8</f>
        <v>43763.01475394622</v>
      </c>
      <c r="P11" s="930">
        <f>huishoudens!O8</f>
        <v>536.22333333333336</v>
      </c>
      <c r="Q11" s="931">
        <f>huishoudens!P8</f>
        <v>1811.3333333333335</v>
      </c>
      <c r="R11" s="628">
        <f>SUM(C11:Q11)</f>
        <v>636554.05425271217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201234.89244207402</v>
      </c>
      <c r="D13" s="930">
        <f>industrie!C18</f>
        <v>0</v>
      </c>
      <c r="E13" s="930">
        <f>industrie!D18</f>
        <v>263375.4083137078</v>
      </c>
      <c r="F13" s="930">
        <f>industrie!E18</f>
        <v>10464.428161813235</v>
      </c>
      <c r="G13" s="930">
        <f>industrie!F18</f>
        <v>43338.983751048989</v>
      </c>
      <c r="H13" s="930">
        <f>industrie!G18</f>
        <v>0</v>
      </c>
      <c r="I13" s="930">
        <f>industrie!H18</f>
        <v>0</v>
      </c>
      <c r="J13" s="930">
        <f>industrie!I18</f>
        <v>0</v>
      </c>
      <c r="K13" s="930">
        <f>industrie!J18</f>
        <v>1395.7078350868946</v>
      </c>
      <c r="L13" s="930">
        <f>industrie!K18</f>
        <v>0</v>
      </c>
      <c r="M13" s="930">
        <f>industrie!L18</f>
        <v>0</v>
      </c>
      <c r="N13" s="930">
        <f>industrie!M18</f>
        <v>0</v>
      </c>
      <c r="O13" s="930">
        <f>industrie!N18</f>
        <v>11678.036284532336</v>
      </c>
      <c r="P13" s="930">
        <f>industrie!O18</f>
        <v>0</v>
      </c>
      <c r="Q13" s="931">
        <f>industrie!P18</f>
        <v>0</v>
      </c>
      <c r="R13" s="628">
        <f>SUM(C13:Q13)</f>
        <v>531487.45678826328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517235.68716227234</v>
      </c>
      <c r="D16" s="660">
        <f t="shared" ref="D16:R16" ca="1" si="0">SUM(D9:D15)</f>
        <v>0</v>
      </c>
      <c r="E16" s="660">
        <f t="shared" ca="1" si="0"/>
        <v>831929.56500072975</v>
      </c>
      <c r="F16" s="660">
        <f t="shared" si="0"/>
        <v>16498.212771308063</v>
      </c>
      <c r="G16" s="660">
        <f t="shared" ca="1" si="0"/>
        <v>189916.9372252209</v>
      </c>
      <c r="H16" s="660">
        <f t="shared" si="0"/>
        <v>0</v>
      </c>
      <c r="I16" s="660">
        <f t="shared" si="0"/>
        <v>0</v>
      </c>
      <c r="J16" s="660">
        <f t="shared" si="0"/>
        <v>0</v>
      </c>
      <c r="K16" s="660">
        <f t="shared" si="0"/>
        <v>3422.5827377038868</v>
      </c>
      <c r="L16" s="660">
        <f t="shared" si="0"/>
        <v>0</v>
      </c>
      <c r="M16" s="660">
        <f t="shared" ca="1" si="0"/>
        <v>0</v>
      </c>
      <c r="N16" s="660">
        <f t="shared" si="0"/>
        <v>0</v>
      </c>
      <c r="O16" s="660">
        <f t="shared" ca="1" si="0"/>
        <v>62460.834439270257</v>
      </c>
      <c r="P16" s="660">
        <f t="shared" si="0"/>
        <v>540.91333333333341</v>
      </c>
      <c r="Q16" s="660">
        <f t="shared" si="0"/>
        <v>1982.9333333333334</v>
      </c>
      <c r="R16" s="660">
        <f t="shared" ca="1" si="0"/>
        <v>1623987.6660031718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59.984207330335927</v>
      </c>
      <c r="D19" s="930">
        <f>transport!C54</f>
        <v>0</v>
      </c>
      <c r="E19" s="930">
        <f>transport!D54</f>
        <v>0</v>
      </c>
      <c r="F19" s="930">
        <f>transport!E54</f>
        <v>0</v>
      </c>
      <c r="G19" s="930">
        <f>transport!F54</f>
        <v>0</v>
      </c>
      <c r="H19" s="930">
        <f>transport!G54</f>
        <v>10695.311161522675</v>
      </c>
      <c r="I19" s="930">
        <f>transport!H54</f>
        <v>0</v>
      </c>
      <c r="J19" s="930">
        <f>transport!I54</f>
        <v>0</v>
      </c>
      <c r="K19" s="930">
        <f>transport!J54</f>
        <v>0</v>
      </c>
      <c r="L19" s="930">
        <f>transport!K54</f>
        <v>0</v>
      </c>
      <c r="M19" s="930">
        <f>transport!L54</f>
        <v>0</v>
      </c>
      <c r="N19" s="930">
        <f>transport!M54</f>
        <v>333.8661740468097</v>
      </c>
      <c r="O19" s="930">
        <f>transport!N54</f>
        <v>0</v>
      </c>
      <c r="P19" s="930">
        <f>transport!O54</f>
        <v>0</v>
      </c>
      <c r="Q19" s="931">
        <f>transport!P54</f>
        <v>0</v>
      </c>
      <c r="R19" s="628">
        <f>SUM(C19:Q19)</f>
        <v>11089.161542899821</v>
      </c>
      <c r="S19" s="67"/>
    </row>
    <row r="20" spans="1:19" s="437" customFormat="1">
      <c r="A20" s="736" t="s">
        <v>296</v>
      </c>
      <c r="B20" s="741"/>
      <c r="C20" s="930">
        <f>transport!B14</f>
        <v>196.41910107158844</v>
      </c>
      <c r="D20" s="930">
        <f>transport!C14</f>
        <v>0</v>
      </c>
      <c r="E20" s="930">
        <f>transport!D14</f>
        <v>296.55481806545976</v>
      </c>
      <c r="F20" s="930">
        <f>transport!E14</f>
        <v>1486.1040874738974</v>
      </c>
      <c r="G20" s="930">
        <f>transport!F14</f>
        <v>0</v>
      </c>
      <c r="H20" s="930">
        <f>transport!G14</f>
        <v>547973.6905585241</v>
      </c>
      <c r="I20" s="930">
        <f>transport!H14</f>
        <v>104987.71488386547</v>
      </c>
      <c r="J20" s="930">
        <f>transport!I14</f>
        <v>0</v>
      </c>
      <c r="K20" s="930">
        <f>transport!J14</f>
        <v>0</v>
      </c>
      <c r="L20" s="930">
        <f>transport!K14</f>
        <v>0</v>
      </c>
      <c r="M20" s="930">
        <f>transport!L14</f>
        <v>0</v>
      </c>
      <c r="N20" s="930">
        <f>transport!M14</f>
        <v>20385.69847200792</v>
      </c>
      <c r="O20" s="930">
        <f>transport!N14</f>
        <v>0</v>
      </c>
      <c r="P20" s="930">
        <f>transport!O14</f>
        <v>0</v>
      </c>
      <c r="Q20" s="931">
        <f>transport!P14</f>
        <v>0</v>
      </c>
      <c r="R20" s="628">
        <f>SUM(C20:Q20)</f>
        <v>675326.18192100839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256.40330840192439</v>
      </c>
      <c r="D22" s="739">
        <f t="shared" ref="D22:R22" si="1">SUM(D18:D21)</f>
        <v>0</v>
      </c>
      <c r="E22" s="739">
        <f t="shared" si="1"/>
        <v>296.55481806545976</v>
      </c>
      <c r="F22" s="739">
        <f t="shared" si="1"/>
        <v>1486.1040874738974</v>
      </c>
      <c r="G22" s="739">
        <f t="shared" si="1"/>
        <v>0</v>
      </c>
      <c r="H22" s="739">
        <f t="shared" si="1"/>
        <v>558669.00172004674</v>
      </c>
      <c r="I22" s="739">
        <f t="shared" si="1"/>
        <v>104987.71488386547</v>
      </c>
      <c r="J22" s="739">
        <f t="shared" si="1"/>
        <v>0</v>
      </c>
      <c r="K22" s="739">
        <f t="shared" si="1"/>
        <v>0</v>
      </c>
      <c r="L22" s="739">
        <f t="shared" si="1"/>
        <v>0</v>
      </c>
      <c r="M22" s="739">
        <f t="shared" si="1"/>
        <v>0</v>
      </c>
      <c r="N22" s="739">
        <f t="shared" si="1"/>
        <v>20719.564646054729</v>
      </c>
      <c r="O22" s="739">
        <f t="shared" si="1"/>
        <v>0</v>
      </c>
      <c r="P22" s="739">
        <f t="shared" si="1"/>
        <v>0</v>
      </c>
      <c r="Q22" s="739">
        <f t="shared" si="1"/>
        <v>0</v>
      </c>
      <c r="R22" s="739">
        <f t="shared" si="1"/>
        <v>686415.34346390818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892.77984520000007</v>
      </c>
      <c r="D24" s="930">
        <f>+landbouw!C8</f>
        <v>0</v>
      </c>
      <c r="E24" s="930">
        <f>+landbouw!D8</f>
        <v>1138.7077068041399</v>
      </c>
      <c r="F24" s="930">
        <f>+landbouw!E8</f>
        <v>17.686736530634715</v>
      </c>
      <c r="G24" s="930">
        <f>+landbouw!F8</f>
        <v>3255.7162942792993</v>
      </c>
      <c r="H24" s="930">
        <f>+landbouw!G8</f>
        <v>0</v>
      </c>
      <c r="I24" s="930">
        <f>+landbouw!H8</f>
        <v>0</v>
      </c>
      <c r="J24" s="930">
        <f>+landbouw!I8</f>
        <v>0</v>
      </c>
      <c r="K24" s="930">
        <f>+landbouw!J8</f>
        <v>211.98190453686922</v>
      </c>
      <c r="L24" s="930">
        <f>+landbouw!K8</f>
        <v>0</v>
      </c>
      <c r="M24" s="930">
        <f>+landbouw!L8</f>
        <v>0</v>
      </c>
      <c r="N24" s="930">
        <f>+landbouw!M8</f>
        <v>0</v>
      </c>
      <c r="O24" s="930">
        <f>+landbouw!N8</f>
        <v>0</v>
      </c>
      <c r="P24" s="930">
        <f>+landbouw!O8</f>
        <v>0</v>
      </c>
      <c r="Q24" s="931">
        <f>+landbouw!P8</f>
        <v>0</v>
      </c>
      <c r="R24" s="628">
        <f>SUM(C24:Q24)</f>
        <v>5516.8724873509436</v>
      </c>
      <c r="S24" s="67"/>
    </row>
    <row r="25" spans="1:19" s="437" customFormat="1" ht="15" thickBot="1">
      <c r="A25" s="758" t="s">
        <v>788</v>
      </c>
      <c r="B25" s="933"/>
      <c r="C25" s="934">
        <f>IF(Onbekend_ele_kWh="---",0,Onbekend_ele_kWh)/1000+IF(REST_rest_ele_kWh="---",0,REST_rest_ele_kWh)/1000</f>
        <v>4977.0468124999998</v>
      </c>
      <c r="D25" s="934"/>
      <c r="E25" s="934">
        <f>IF(onbekend_gas_kWh="---",0,onbekend_gas_kWh)/1000+IF(REST_rest_gas_kWh="---",0,REST_rest_gas_kWh)/1000</f>
        <v>22608.570234999999</v>
      </c>
      <c r="F25" s="934"/>
      <c r="G25" s="934"/>
      <c r="H25" s="934"/>
      <c r="I25" s="934"/>
      <c r="J25" s="934"/>
      <c r="K25" s="934"/>
      <c r="L25" s="934"/>
      <c r="M25" s="934"/>
      <c r="N25" s="934"/>
      <c r="O25" s="934"/>
      <c r="P25" s="934"/>
      <c r="Q25" s="935"/>
      <c r="R25" s="628">
        <f>SUM(C25:Q25)</f>
        <v>27585.6170475</v>
      </c>
      <c r="S25" s="67"/>
    </row>
    <row r="26" spans="1:19" s="437" customFormat="1" ht="15.75" thickBot="1">
      <c r="A26" s="633" t="s">
        <v>789</v>
      </c>
      <c r="B26" s="744"/>
      <c r="C26" s="739">
        <f>SUM(C24:C25)</f>
        <v>5869.8266576999995</v>
      </c>
      <c r="D26" s="739">
        <f t="shared" ref="D26:R26" si="2">SUM(D24:D25)</f>
        <v>0</v>
      </c>
      <c r="E26" s="739">
        <f t="shared" si="2"/>
        <v>23747.277941804139</v>
      </c>
      <c r="F26" s="739">
        <f t="shared" si="2"/>
        <v>17.686736530634715</v>
      </c>
      <c r="G26" s="739">
        <f t="shared" si="2"/>
        <v>3255.7162942792993</v>
      </c>
      <c r="H26" s="739">
        <f t="shared" si="2"/>
        <v>0</v>
      </c>
      <c r="I26" s="739">
        <f t="shared" si="2"/>
        <v>0</v>
      </c>
      <c r="J26" s="739">
        <f t="shared" si="2"/>
        <v>0</v>
      </c>
      <c r="K26" s="739">
        <f t="shared" si="2"/>
        <v>211.98190453686922</v>
      </c>
      <c r="L26" s="739">
        <f t="shared" si="2"/>
        <v>0</v>
      </c>
      <c r="M26" s="739">
        <f t="shared" si="2"/>
        <v>0</v>
      </c>
      <c r="N26" s="739">
        <f t="shared" si="2"/>
        <v>0</v>
      </c>
      <c r="O26" s="739">
        <f t="shared" si="2"/>
        <v>0</v>
      </c>
      <c r="P26" s="739">
        <f t="shared" si="2"/>
        <v>0</v>
      </c>
      <c r="Q26" s="739">
        <f t="shared" si="2"/>
        <v>0</v>
      </c>
      <c r="R26" s="739">
        <f t="shared" si="2"/>
        <v>33102.489534850945</v>
      </c>
      <c r="S26" s="67"/>
    </row>
    <row r="27" spans="1:19" s="437" customFormat="1" ht="17.25" thickTop="1" thickBot="1">
      <c r="A27" s="634" t="s">
        <v>109</v>
      </c>
      <c r="B27" s="732"/>
      <c r="C27" s="635">
        <f ca="1">C22+C16+C26</f>
        <v>523361.91712837428</v>
      </c>
      <c r="D27" s="635">
        <f t="shared" ref="D27:R27" ca="1" si="3">D22+D16+D26</f>
        <v>0</v>
      </c>
      <c r="E27" s="635">
        <f t="shared" ca="1" si="3"/>
        <v>855973.39776059939</v>
      </c>
      <c r="F27" s="635">
        <f t="shared" si="3"/>
        <v>18002.003595312595</v>
      </c>
      <c r="G27" s="635">
        <f t="shared" ca="1" si="3"/>
        <v>193172.65351950019</v>
      </c>
      <c r="H27" s="635">
        <f t="shared" si="3"/>
        <v>558669.00172004674</v>
      </c>
      <c r="I27" s="635">
        <f t="shared" si="3"/>
        <v>104987.71488386547</v>
      </c>
      <c r="J27" s="635">
        <f t="shared" si="3"/>
        <v>0</v>
      </c>
      <c r="K27" s="635">
        <f t="shared" si="3"/>
        <v>3634.5646422407558</v>
      </c>
      <c r="L27" s="635">
        <f t="shared" si="3"/>
        <v>0</v>
      </c>
      <c r="M27" s="635">
        <f t="shared" ca="1" si="3"/>
        <v>0</v>
      </c>
      <c r="N27" s="635">
        <f t="shared" si="3"/>
        <v>20719.564646054729</v>
      </c>
      <c r="O27" s="635">
        <f t="shared" ca="1" si="3"/>
        <v>62460.834439270257</v>
      </c>
      <c r="P27" s="635">
        <f t="shared" si="3"/>
        <v>540.91333333333341</v>
      </c>
      <c r="Q27" s="635">
        <f t="shared" si="3"/>
        <v>1982.9333333333334</v>
      </c>
      <c r="R27" s="635">
        <f t="shared" ca="1" si="3"/>
        <v>2343505.4990019314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43519.960458444155</v>
      </c>
      <c r="D40" s="930">
        <f ca="1">tertiair!C20</f>
        <v>0</v>
      </c>
      <c r="E40" s="930">
        <f ca="1">tertiair!D20</f>
        <v>41953.572186497011</v>
      </c>
      <c r="F40" s="930">
        <f>tertiair!E20</f>
        <v>452.11650011409068</v>
      </c>
      <c r="G40" s="930">
        <f ca="1">tertiair!F20</f>
        <v>9794.0260767848267</v>
      </c>
      <c r="H40" s="930">
        <f>tertiair!G20</f>
        <v>0</v>
      </c>
      <c r="I40" s="930">
        <f>tertiair!H20</f>
        <v>0</v>
      </c>
      <c r="J40" s="930">
        <f>tertiair!I20</f>
        <v>0</v>
      </c>
      <c r="K40" s="930">
        <f>tertiair!J20</f>
        <v>6.8159582187907769E-2</v>
      </c>
      <c r="L40" s="930">
        <f>tertiair!K20</f>
        <v>0</v>
      </c>
      <c r="M40" s="930">
        <f ca="1">tertiair!L20</f>
        <v>0</v>
      </c>
      <c r="N40" s="930">
        <f>tertiair!M20</f>
        <v>0</v>
      </c>
      <c r="O40" s="930">
        <f ca="1">tertiair!N20</f>
        <v>0</v>
      </c>
      <c r="P40" s="930">
        <f>tertiair!O20</f>
        <v>0</v>
      </c>
      <c r="Q40" s="702">
        <f>tertiair!P20</f>
        <v>0</v>
      </c>
      <c r="R40" s="777">
        <f t="shared" ca="1" si="4"/>
        <v>95719.74338142226</v>
      </c>
    </row>
    <row r="41" spans="1:18">
      <c r="A41" s="749" t="s">
        <v>214</v>
      </c>
      <c r="B41" s="756"/>
      <c r="C41" s="930">
        <f ca="1">huishoudens!B12</f>
        <v>24431.265368426964</v>
      </c>
      <c r="D41" s="930">
        <f ca="1">huishoudens!C12</f>
        <v>0</v>
      </c>
      <c r="E41" s="930">
        <f>huishoudens!D12</f>
        <v>72894.367464281444</v>
      </c>
      <c r="F41" s="930">
        <f>huishoudens!E12</f>
        <v>917.5526062412348</v>
      </c>
      <c r="G41" s="930">
        <f>huishoudens!F12</f>
        <v>29342.287500819075</v>
      </c>
      <c r="H41" s="930">
        <f>huishoudens!G12</f>
        <v>0</v>
      </c>
      <c r="I41" s="930">
        <f>huishoudens!H12</f>
        <v>0</v>
      </c>
      <c r="J41" s="930">
        <f>huishoudens!I12</f>
        <v>0</v>
      </c>
      <c r="K41" s="930">
        <f>huishoudens!J12</f>
        <v>717.44555594422718</v>
      </c>
      <c r="L41" s="930">
        <f>huishoudens!K12</f>
        <v>0</v>
      </c>
      <c r="M41" s="930">
        <f>huishoudens!L12</f>
        <v>0</v>
      </c>
      <c r="N41" s="930">
        <f>huishoudens!M12</f>
        <v>0</v>
      </c>
      <c r="O41" s="930">
        <f>huishoudens!N12</f>
        <v>0</v>
      </c>
      <c r="P41" s="930">
        <f>huishoudens!O12</f>
        <v>0</v>
      </c>
      <c r="Q41" s="702">
        <f>huishoudens!P12</f>
        <v>0</v>
      </c>
      <c r="R41" s="777">
        <f t="shared" ca="1" si="4"/>
        <v>128302.91849571295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43272.541870298846</v>
      </c>
      <c r="D43" s="930">
        <f ca="1">industrie!C22</f>
        <v>0</v>
      </c>
      <c r="E43" s="930">
        <f>industrie!D22</f>
        <v>53201.832479368975</v>
      </c>
      <c r="F43" s="930">
        <f>industrie!E22</f>
        <v>2375.4251927316045</v>
      </c>
      <c r="G43" s="930">
        <f>industrie!F22</f>
        <v>11571.508661530081</v>
      </c>
      <c r="H43" s="930">
        <f>industrie!G22</f>
        <v>0</v>
      </c>
      <c r="I43" s="930">
        <f>industrie!H22</f>
        <v>0</v>
      </c>
      <c r="J43" s="930">
        <f>industrie!I22</f>
        <v>0</v>
      </c>
      <c r="K43" s="930">
        <f>industrie!J22</f>
        <v>494.08057362076067</v>
      </c>
      <c r="L43" s="930">
        <f>industrie!K22</f>
        <v>0</v>
      </c>
      <c r="M43" s="930">
        <f>industrie!L22</f>
        <v>0</v>
      </c>
      <c r="N43" s="930">
        <f>industrie!M22</f>
        <v>0</v>
      </c>
      <c r="O43" s="930">
        <f>industrie!N22</f>
        <v>0</v>
      </c>
      <c r="P43" s="930">
        <f>industrie!O22</f>
        <v>0</v>
      </c>
      <c r="Q43" s="702">
        <f>industrie!P22</f>
        <v>0</v>
      </c>
      <c r="R43" s="776">
        <f t="shared" ca="1" si="4"/>
        <v>110915.38877755027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111223.76769716997</v>
      </c>
      <c r="D46" s="660">
        <f t="shared" ref="D46:Q46" ca="1" si="5">SUM(D39:D45)</f>
        <v>0</v>
      </c>
      <c r="E46" s="660">
        <f t="shared" ca="1" si="5"/>
        <v>168049.77213014744</v>
      </c>
      <c r="F46" s="660">
        <f t="shared" si="5"/>
        <v>3745.0942990869298</v>
      </c>
      <c r="G46" s="660">
        <f t="shared" ca="1" si="5"/>
        <v>50707.82223913398</v>
      </c>
      <c r="H46" s="660">
        <f t="shared" si="5"/>
        <v>0</v>
      </c>
      <c r="I46" s="660">
        <f t="shared" si="5"/>
        <v>0</v>
      </c>
      <c r="J46" s="660">
        <f t="shared" si="5"/>
        <v>0</v>
      </c>
      <c r="K46" s="660">
        <f t="shared" si="5"/>
        <v>1211.5942891471759</v>
      </c>
      <c r="L46" s="660">
        <f t="shared" si="5"/>
        <v>0</v>
      </c>
      <c r="M46" s="660">
        <f t="shared" ca="1" si="5"/>
        <v>0</v>
      </c>
      <c r="N46" s="660">
        <f t="shared" si="5"/>
        <v>0</v>
      </c>
      <c r="O46" s="660">
        <f t="shared" ca="1" si="5"/>
        <v>0</v>
      </c>
      <c r="P46" s="660">
        <f t="shared" si="5"/>
        <v>0</v>
      </c>
      <c r="Q46" s="660">
        <f t="shared" si="5"/>
        <v>0</v>
      </c>
      <c r="R46" s="660">
        <f ca="1">SUM(R39:R45)</f>
        <v>334938.05065468547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12.898703061676137</v>
      </c>
      <c r="D49" s="930">
        <f ca="1">transport!C58</f>
        <v>0</v>
      </c>
      <c r="E49" s="930">
        <f>transport!D58</f>
        <v>0</v>
      </c>
      <c r="F49" s="930">
        <f>transport!E58</f>
        <v>0</v>
      </c>
      <c r="G49" s="930">
        <f>transport!F58</f>
        <v>0</v>
      </c>
      <c r="H49" s="930">
        <f>transport!G58</f>
        <v>2855.6480801265543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2868.5467831882306</v>
      </c>
    </row>
    <row r="50" spans="1:18">
      <c r="A50" s="752" t="s">
        <v>296</v>
      </c>
      <c r="B50" s="762"/>
      <c r="C50" s="631">
        <f ca="1">transport!B18</f>
        <v>42.236978250148098</v>
      </c>
      <c r="D50" s="631">
        <f>transport!C18</f>
        <v>0</v>
      </c>
      <c r="E50" s="631">
        <f>transport!D18</f>
        <v>59.904073249222876</v>
      </c>
      <c r="F50" s="631">
        <f>transport!E18</f>
        <v>337.34562785657471</v>
      </c>
      <c r="G50" s="631">
        <f>transport!F18</f>
        <v>0</v>
      </c>
      <c r="H50" s="631">
        <f>transport!G18</f>
        <v>146308.97537912594</v>
      </c>
      <c r="I50" s="631">
        <f>transport!H18</f>
        <v>26141.941006082503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172890.40306456439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55.135681311824236</v>
      </c>
      <c r="D52" s="660">
        <f t="shared" ref="D52:Q52" ca="1" si="6">SUM(D48:D51)</f>
        <v>0</v>
      </c>
      <c r="E52" s="660">
        <f t="shared" si="6"/>
        <v>59.904073249222876</v>
      </c>
      <c r="F52" s="660">
        <f t="shared" si="6"/>
        <v>337.34562785657471</v>
      </c>
      <c r="G52" s="660">
        <f t="shared" si="6"/>
        <v>0</v>
      </c>
      <c r="H52" s="660">
        <f t="shared" si="6"/>
        <v>149164.6234592525</v>
      </c>
      <c r="I52" s="660">
        <f t="shared" si="6"/>
        <v>26141.941006082503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175758.94984775264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191.97889970049053</v>
      </c>
      <c r="D54" s="631">
        <f ca="1">+landbouw!C12</f>
        <v>0</v>
      </c>
      <c r="E54" s="631">
        <f>+landbouw!D12</f>
        <v>230.01895677443628</v>
      </c>
      <c r="F54" s="631">
        <f>+landbouw!E12</f>
        <v>4.0148891924540804</v>
      </c>
      <c r="G54" s="631">
        <f>+landbouw!F12</f>
        <v>869.27625057257296</v>
      </c>
      <c r="H54" s="631">
        <f>+landbouw!G12</f>
        <v>0</v>
      </c>
      <c r="I54" s="631">
        <f>+landbouw!H12</f>
        <v>0</v>
      </c>
      <c r="J54" s="631">
        <f>+landbouw!I12</f>
        <v>0</v>
      </c>
      <c r="K54" s="631">
        <f>+landbouw!J12</f>
        <v>75.041594206051698</v>
      </c>
      <c r="L54" s="631">
        <f>+landbouw!K12</f>
        <v>0</v>
      </c>
      <c r="M54" s="631">
        <f>+landbouw!L12</f>
        <v>0</v>
      </c>
      <c r="N54" s="631">
        <f>+landbouw!M12</f>
        <v>0</v>
      </c>
      <c r="O54" s="631">
        <f>+landbouw!N12</f>
        <v>0</v>
      </c>
      <c r="P54" s="631">
        <f>+landbouw!O12</f>
        <v>0</v>
      </c>
      <c r="Q54" s="632">
        <f>+landbouw!P12</f>
        <v>0</v>
      </c>
      <c r="R54" s="659">
        <f ca="1">SUM(C54:Q54)</f>
        <v>1370.3305904460055</v>
      </c>
    </row>
    <row r="55" spans="1:18" ht="15" thickBot="1">
      <c r="A55" s="752" t="s">
        <v>788</v>
      </c>
      <c r="B55" s="762"/>
      <c r="C55" s="631">
        <f ca="1">C25*'EF ele_warmte'!B12</f>
        <v>1070.2391815392468</v>
      </c>
      <c r="D55" s="631"/>
      <c r="E55" s="631">
        <f>E25*EF_CO2_aardgas</f>
        <v>4566.9311874699997</v>
      </c>
      <c r="F55" s="631"/>
      <c r="G55" s="631"/>
      <c r="H55" s="631"/>
      <c r="I55" s="631"/>
      <c r="J55" s="631"/>
      <c r="K55" s="631"/>
      <c r="L55" s="631"/>
      <c r="M55" s="631"/>
      <c r="N55" s="631"/>
      <c r="O55" s="631"/>
      <c r="P55" s="631"/>
      <c r="Q55" s="632"/>
      <c r="R55" s="659">
        <f ca="1">SUM(C55:Q55)</f>
        <v>5637.1703690092463</v>
      </c>
    </row>
    <row r="56" spans="1:18" ht="15.75" thickBot="1">
      <c r="A56" s="750" t="s">
        <v>789</v>
      </c>
      <c r="B56" s="763"/>
      <c r="C56" s="660">
        <f ca="1">SUM(C54:C55)</f>
        <v>1262.2180812397373</v>
      </c>
      <c r="D56" s="660">
        <f t="shared" ref="D56:Q56" ca="1" si="7">SUM(D54:D55)</f>
        <v>0</v>
      </c>
      <c r="E56" s="660">
        <f t="shared" si="7"/>
        <v>4796.9501442444362</v>
      </c>
      <c r="F56" s="660">
        <f t="shared" si="7"/>
        <v>4.0148891924540804</v>
      </c>
      <c r="G56" s="660">
        <f t="shared" si="7"/>
        <v>869.27625057257296</v>
      </c>
      <c r="H56" s="660">
        <f t="shared" si="7"/>
        <v>0</v>
      </c>
      <c r="I56" s="660">
        <f t="shared" si="7"/>
        <v>0</v>
      </c>
      <c r="J56" s="660">
        <f t="shared" si="7"/>
        <v>0</v>
      </c>
      <c r="K56" s="660">
        <f t="shared" si="7"/>
        <v>75.041594206051698</v>
      </c>
      <c r="L56" s="660">
        <f t="shared" si="7"/>
        <v>0</v>
      </c>
      <c r="M56" s="660">
        <f t="shared" si="7"/>
        <v>0</v>
      </c>
      <c r="N56" s="660">
        <f t="shared" si="7"/>
        <v>0</v>
      </c>
      <c r="O56" s="660">
        <f t="shared" si="7"/>
        <v>0</v>
      </c>
      <c r="P56" s="660">
        <f t="shared" si="7"/>
        <v>0</v>
      </c>
      <c r="Q56" s="661">
        <f t="shared" si="7"/>
        <v>0</v>
      </c>
      <c r="R56" s="662">
        <f ca="1">SUM(R54:R55)</f>
        <v>7007.5009594552521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112541.12145972153</v>
      </c>
      <c r="D61" s="668">
        <f t="shared" ref="D61:Q61" ca="1" si="8">D46+D52+D56</f>
        <v>0</v>
      </c>
      <c r="E61" s="668">
        <f t="shared" ca="1" si="8"/>
        <v>172906.62634764111</v>
      </c>
      <c r="F61" s="668">
        <f t="shared" si="8"/>
        <v>4086.4548161359585</v>
      </c>
      <c r="G61" s="668">
        <f t="shared" ca="1" si="8"/>
        <v>51577.09848970655</v>
      </c>
      <c r="H61" s="668">
        <f t="shared" si="8"/>
        <v>149164.6234592525</v>
      </c>
      <c r="I61" s="668">
        <f t="shared" si="8"/>
        <v>26141.941006082503</v>
      </c>
      <c r="J61" s="668">
        <f t="shared" si="8"/>
        <v>0</v>
      </c>
      <c r="K61" s="668">
        <f t="shared" si="8"/>
        <v>1286.6358833532277</v>
      </c>
      <c r="L61" s="668">
        <f t="shared" si="8"/>
        <v>0</v>
      </c>
      <c r="M61" s="668">
        <f t="shared" ca="1" si="8"/>
        <v>0</v>
      </c>
      <c r="N61" s="668">
        <f t="shared" si="8"/>
        <v>0</v>
      </c>
      <c r="O61" s="668">
        <f t="shared" ca="1" si="8"/>
        <v>0</v>
      </c>
      <c r="P61" s="668">
        <f t="shared" si="8"/>
        <v>0</v>
      </c>
      <c r="Q61" s="668">
        <f t="shared" si="8"/>
        <v>0</v>
      </c>
      <c r="R61" s="668">
        <f ca="1">R46+R52+R56</f>
        <v>517704.50146189338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0.21503498396906967</v>
      </c>
      <c r="D63" s="709">
        <f t="shared" ca="1" si="9"/>
        <v>0</v>
      </c>
      <c r="E63" s="941">
        <f t="shared" ca="1" si="9"/>
        <v>0.20200000000000004</v>
      </c>
      <c r="F63" s="709">
        <f t="shared" si="9"/>
        <v>0.22699999999999995</v>
      </c>
      <c r="G63" s="709">
        <f t="shared" ca="1" si="9"/>
        <v>0.26700000000000002</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181.95266272189349</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13944.120756505212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14126.073419227105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113615.3053678983</v>
      </c>
      <c r="C4" s="441">
        <f>huishoudens!C8</f>
        <v>0</v>
      </c>
      <c r="D4" s="441">
        <f>huishoudens!D8</f>
        <v>360863.20526871999</v>
      </c>
      <c r="E4" s="441">
        <f>huishoudens!E8</f>
        <v>4042.0819658204173</v>
      </c>
      <c r="F4" s="441">
        <f>huishoudens!F8</f>
        <v>109896.20786823623</v>
      </c>
      <c r="G4" s="441">
        <f>huishoudens!G8</f>
        <v>0</v>
      </c>
      <c r="H4" s="441">
        <f>huishoudens!H8</f>
        <v>0</v>
      </c>
      <c r="I4" s="441">
        <f>huishoudens!I8</f>
        <v>0</v>
      </c>
      <c r="J4" s="441">
        <f>huishoudens!J8</f>
        <v>2026.6823614243706</v>
      </c>
      <c r="K4" s="441">
        <f>huishoudens!K8</f>
        <v>0</v>
      </c>
      <c r="L4" s="441">
        <f>huishoudens!L8</f>
        <v>0</v>
      </c>
      <c r="M4" s="441">
        <f>huishoudens!M8</f>
        <v>0</v>
      </c>
      <c r="N4" s="441">
        <f>huishoudens!N8</f>
        <v>43763.01475394622</v>
      </c>
      <c r="O4" s="441">
        <f>huishoudens!O8</f>
        <v>536.22333333333336</v>
      </c>
      <c r="P4" s="442">
        <f>huishoudens!P8</f>
        <v>1811.3333333333335</v>
      </c>
      <c r="Q4" s="443">
        <f>SUM(B4:P4)</f>
        <v>636554.05425271217</v>
      </c>
    </row>
    <row r="5" spans="1:17">
      <c r="A5" s="440" t="s">
        <v>149</v>
      </c>
      <c r="B5" s="441">
        <f ca="1">tertiair!B16</f>
        <v>198170.74335230002</v>
      </c>
      <c r="C5" s="441">
        <f ca="1">tertiair!C16</f>
        <v>0</v>
      </c>
      <c r="D5" s="441">
        <f ca="1">tertiair!D16</f>
        <v>207690.95141830202</v>
      </c>
      <c r="E5" s="441">
        <f>tertiair!E16</f>
        <v>1991.7026436744081</v>
      </c>
      <c r="F5" s="441">
        <f ca="1">tertiair!F16</f>
        <v>36681.745605935677</v>
      </c>
      <c r="G5" s="441">
        <f>tertiair!G16</f>
        <v>0</v>
      </c>
      <c r="H5" s="441">
        <f>tertiair!H16</f>
        <v>0</v>
      </c>
      <c r="I5" s="441">
        <f>tertiair!I16</f>
        <v>0</v>
      </c>
      <c r="J5" s="441">
        <f>tertiair!J16</f>
        <v>0.19254119262120839</v>
      </c>
      <c r="K5" s="441">
        <f>tertiair!K16</f>
        <v>0</v>
      </c>
      <c r="L5" s="441">
        <f ca="1">tertiair!L16</f>
        <v>0</v>
      </c>
      <c r="M5" s="441">
        <f>tertiair!M16</f>
        <v>0</v>
      </c>
      <c r="N5" s="441">
        <f ca="1">tertiair!N16</f>
        <v>7019.783400791699</v>
      </c>
      <c r="O5" s="441">
        <f>tertiair!O16</f>
        <v>4.6900000000000004</v>
      </c>
      <c r="P5" s="442">
        <f>tertiair!P16</f>
        <v>171.6</v>
      </c>
      <c r="Q5" s="440">
        <f t="shared" ref="Q5:Q14" ca="1" si="0">SUM(B5:P5)</f>
        <v>451731.40896219644</v>
      </c>
    </row>
    <row r="6" spans="1:17">
      <c r="A6" s="440" t="s">
        <v>187</v>
      </c>
      <c r="B6" s="441">
        <f>'openbare verlichting'!B8</f>
        <v>4214.7460000000001</v>
      </c>
      <c r="C6" s="441"/>
      <c r="D6" s="441"/>
      <c r="E6" s="441"/>
      <c r="F6" s="441"/>
      <c r="G6" s="441"/>
      <c r="H6" s="441"/>
      <c r="I6" s="441"/>
      <c r="J6" s="441"/>
      <c r="K6" s="441"/>
      <c r="L6" s="441"/>
      <c r="M6" s="441"/>
      <c r="N6" s="441"/>
      <c r="O6" s="441"/>
      <c r="P6" s="442"/>
      <c r="Q6" s="440">
        <f t="shared" si="0"/>
        <v>4214.7460000000001</v>
      </c>
    </row>
    <row r="7" spans="1:17">
      <c r="A7" s="440" t="s">
        <v>105</v>
      </c>
      <c r="B7" s="441">
        <f>landbouw!B8</f>
        <v>892.77984520000007</v>
      </c>
      <c r="C7" s="441">
        <f>landbouw!C8</f>
        <v>0</v>
      </c>
      <c r="D7" s="441">
        <f>landbouw!D8</f>
        <v>1138.7077068041399</v>
      </c>
      <c r="E7" s="441">
        <f>landbouw!E8</f>
        <v>17.686736530634715</v>
      </c>
      <c r="F7" s="441">
        <f>landbouw!F8</f>
        <v>3255.7162942792993</v>
      </c>
      <c r="G7" s="441">
        <f>landbouw!G8</f>
        <v>0</v>
      </c>
      <c r="H7" s="441">
        <f>landbouw!H8</f>
        <v>0</v>
      </c>
      <c r="I7" s="441">
        <f>landbouw!I8</f>
        <v>0</v>
      </c>
      <c r="J7" s="441">
        <f>landbouw!J8</f>
        <v>211.98190453686922</v>
      </c>
      <c r="K7" s="441">
        <f>landbouw!K8</f>
        <v>0</v>
      </c>
      <c r="L7" s="441">
        <f>landbouw!L8</f>
        <v>0</v>
      </c>
      <c r="M7" s="441">
        <f>landbouw!M8</f>
        <v>0</v>
      </c>
      <c r="N7" s="441">
        <f>landbouw!N8</f>
        <v>0</v>
      </c>
      <c r="O7" s="441">
        <f>landbouw!O8</f>
        <v>0</v>
      </c>
      <c r="P7" s="442">
        <f>landbouw!P8</f>
        <v>0</v>
      </c>
      <c r="Q7" s="440">
        <f t="shared" si="0"/>
        <v>5516.8724873509436</v>
      </c>
    </row>
    <row r="8" spans="1:17">
      <c r="A8" s="440" t="s">
        <v>600</v>
      </c>
      <c r="B8" s="441">
        <f>industrie!B18</f>
        <v>201234.89244207402</v>
      </c>
      <c r="C8" s="441">
        <f>industrie!C18</f>
        <v>0</v>
      </c>
      <c r="D8" s="441">
        <f>industrie!D18</f>
        <v>263375.4083137078</v>
      </c>
      <c r="E8" s="441">
        <f>industrie!E18</f>
        <v>10464.428161813235</v>
      </c>
      <c r="F8" s="441">
        <f>industrie!F18</f>
        <v>43338.983751048989</v>
      </c>
      <c r="G8" s="441">
        <f>industrie!G18</f>
        <v>0</v>
      </c>
      <c r="H8" s="441">
        <f>industrie!H18</f>
        <v>0</v>
      </c>
      <c r="I8" s="441">
        <f>industrie!I18</f>
        <v>0</v>
      </c>
      <c r="J8" s="441">
        <f>industrie!J18</f>
        <v>1395.7078350868946</v>
      </c>
      <c r="K8" s="441">
        <f>industrie!K18</f>
        <v>0</v>
      </c>
      <c r="L8" s="441">
        <f>industrie!L18</f>
        <v>0</v>
      </c>
      <c r="M8" s="441">
        <f>industrie!M18</f>
        <v>0</v>
      </c>
      <c r="N8" s="441">
        <f>industrie!N18</f>
        <v>11678.036284532336</v>
      </c>
      <c r="O8" s="441">
        <f>industrie!O18</f>
        <v>0</v>
      </c>
      <c r="P8" s="442">
        <f>industrie!P18</f>
        <v>0</v>
      </c>
      <c r="Q8" s="440">
        <f t="shared" si="0"/>
        <v>531487.45678826328</v>
      </c>
    </row>
    <row r="9" spans="1:17" s="446" customFormat="1">
      <c r="A9" s="444" t="s">
        <v>549</v>
      </c>
      <c r="B9" s="445">
        <f>transport!B14</f>
        <v>196.41910107158844</v>
      </c>
      <c r="C9" s="445">
        <f>transport!C14</f>
        <v>0</v>
      </c>
      <c r="D9" s="445">
        <f>transport!D14</f>
        <v>296.55481806545976</v>
      </c>
      <c r="E9" s="445">
        <f>transport!E14</f>
        <v>1486.1040874738974</v>
      </c>
      <c r="F9" s="445">
        <f>transport!F14</f>
        <v>0</v>
      </c>
      <c r="G9" s="445">
        <f>transport!G14</f>
        <v>547973.6905585241</v>
      </c>
      <c r="H9" s="445">
        <f>transport!H14</f>
        <v>104987.71488386547</v>
      </c>
      <c r="I9" s="445">
        <f>transport!I14</f>
        <v>0</v>
      </c>
      <c r="J9" s="445">
        <f>transport!J14</f>
        <v>0</v>
      </c>
      <c r="K9" s="445">
        <f>transport!K14</f>
        <v>0</v>
      </c>
      <c r="L9" s="445">
        <f>transport!L14</f>
        <v>0</v>
      </c>
      <c r="M9" s="445">
        <f>transport!M14</f>
        <v>20385.69847200792</v>
      </c>
      <c r="N9" s="445">
        <f>transport!N14</f>
        <v>0</v>
      </c>
      <c r="O9" s="445">
        <f>transport!O14</f>
        <v>0</v>
      </c>
      <c r="P9" s="445">
        <f>transport!P14</f>
        <v>0</v>
      </c>
      <c r="Q9" s="444">
        <f>SUM(B9:P9)</f>
        <v>675326.18192100839</v>
      </c>
    </row>
    <row r="10" spans="1:17">
      <c r="A10" s="440" t="s">
        <v>539</v>
      </c>
      <c r="B10" s="441">
        <f>transport!B54</f>
        <v>59.984207330335927</v>
      </c>
      <c r="C10" s="441">
        <f>transport!C54</f>
        <v>0</v>
      </c>
      <c r="D10" s="441">
        <f>transport!D54</f>
        <v>0</v>
      </c>
      <c r="E10" s="441">
        <f>transport!E54</f>
        <v>0</v>
      </c>
      <c r="F10" s="441">
        <f>transport!F54</f>
        <v>0</v>
      </c>
      <c r="G10" s="441">
        <f>transport!G54</f>
        <v>10695.311161522675</v>
      </c>
      <c r="H10" s="441">
        <f>transport!H54</f>
        <v>0</v>
      </c>
      <c r="I10" s="441">
        <f>transport!I54</f>
        <v>0</v>
      </c>
      <c r="J10" s="441">
        <f>transport!J54</f>
        <v>0</v>
      </c>
      <c r="K10" s="441">
        <f>transport!K54</f>
        <v>0</v>
      </c>
      <c r="L10" s="441">
        <f>transport!L54</f>
        <v>0</v>
      </c>
      <c r="M10" s="441">
        <f>transport!M54</f>
        <v>333.8661740468097</v>
      </c>
      <c r="N10" s="441">
        <f>transport!N54</f>
        <v>0</v>
      </c>
      <c r="O10" s="441">
        <f>transport!O54</f>
        <v>0</v>
      </c>
      <c r="P10" s="442">
        <f>transport!P54</f>
        <v>0</v>
      </c>
      <c r="Q10" s="440">
        <f t="shared" si="0"/>
        <v>11089.161542899821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4977.0468124999998</v>
      </c>
      <c r="C14" s="448"/>
      <c r="D14" s="448">
        <f>'SEAP template'!E25</f>
        <v>22608.570234999999</v>
      </c>
      <c r="E14" s="448"/>
      <c r="F14" s="448"/>
      <c r="G14" s="448"/>
      <c r="H14" s="448"/>
      <c r="I14" s="448"/>
      <c r="J14" s="448"/>
      <c r="K14" s="448"/>
      <c r="L14" s="448"/>
      <c r="M14" s="448"/>
      <c r="N14" s="448"/>
      <c r="O14" s="448"/>
      <c r="P14" s="449"/>
      <c r="Q14" s="440">
        <f t="shared" si="0"/>
        <v>27585.6170475</v>
      </c>
    </row>
    <row r="15" spans="1:17" s="450" customFormat="1">
      <c r="A15" s="956" t="s">
        <v>543</v>
      </c>
      <c r="B15" s="896">
        <f ca="1">SUM(B4:B14)</f>
        <v>523361.91712837428</v>
      </c>
      <c r="C15" s="896">
        <f t="shared" ref="C15:Q15" ca="1" si="1">SUM(C4:C14)</f>
        <v>0</v>
      </c>
      <c r="D15" s="896">
        <f t="shared" ca="1" si="1"/>
        <v>855973.39776059939</v>
      </c>
      <c r="E15" s="896">
        <f t="shared" si="1"/>
        <v>18002.003595312592</v>
      </c>
      <c r="F15" s="896">
        <f t="shared" ca="1" si="1"/>
        <v>193172.65351950022</v>
      </c>
      <c r="G15" s="896">
        <f t="shared" si="1"/>
        <v>558669.00172004674</v>
      </c>
      <c r="H15" s="896">
        <f t="shared" si="1"/>
        <v>104987.71488386547</v>
      </c>
      <c r="I15" s="896">
        <f t="shared" si="1"/>
        <v>0</v>
      </c>
      <c r="J15" s="896">
        <f t="shared" si="1"/>
        <v>3634.5646422407558</v>
      </c>
      <c r="K15" s="896">
        <f t="shared" si="1"/>
        <v>0</v>
      </c>
      <c r="L15" s="896">
        <f t="shared" ca="1" si="1"/>
        <v>0</v>
      </c>
      <c r="M15" s="896">
        <f t="shared" si="1"/>
        <v>20719.564646054729</v>
      </c>
      <c r="N15" s="896">
        <f t="shared" ca="1" si="1"/>
        <v>62460.834439270257</v>
      </c>
      <c r="O15" s="896">
        <f t="shared" si="1"/>
        <v>540.91333333333341</v>
      </c>
      <c r="P15" s="896">
        <f t="shared" si="1"/>
        <v>1982.9333333333334</v>
      </c>
      <c r="Q15" s="896">
        <f t="shared" ca="1" si="1"/>
        <v>2343505.4990019309</v>
      </c>
    </row>
    <row r="17" spans="1:17">
      <c r="A17" s="451" t="s">
        <v>544</v>
      </c>
      <c r="B17" s="714">
        <f ca="1">huishoudens!B10</f>
        <v>0.21503498396906967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24431.265368426964</v>
      </c>
      <c r="C22" s="441">
        <f t="shared" ref="C22:C32" ca="1" si="3">C4*$C$17</f>
        <v>0</v>
      </c>
      <c r="D22" s="441">
        <f t="shared" ref="D22:D32" si="4">D4*$D$17</f>
        <v>72894.367464281444</v>
      </c>
      <c r="E22" s="441">
        <f t="shared" ref="E22:E32" si="5">E4*$E$17</f>
        <v>917.5526062412348</v>
      </c>
      <c r="F22" s="441">
        <f t="shared" ref="F22:F32" si="6">F4*$F$17</f>
        <v>29342.287500819075</v>
      </c>
      <c r="G22" s="441">
        <f t="shared" ref="G22:G32" si="7">G4*$G$17</f>
        <v>0</v>
      </c>
      <c r="H22" s="441">
        <f t="shared" ref="H22:H32" si="8">H4*$H$17</f>
        <v>0</v>
      </c>
      <c r="I22" s="441">
        <f t="shared" ref="I22:I32" si="9">I4*$I$17</f>
        <v>0</v>
      </c>
      <c r="J22" s="441">
        <f t="shared" ref="J22:J32" si="10">J4*$J$17</f>
        <v>717.44555594422718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128302.91849571295</v>
      </c>
    </row>
    <row r="23" spans="1:17">
      <c r="A23" s="440" t="s">
        <v>149</v>
      </c>
      <c r="B23" s="441">
        <f t="shared" ca="1" si="2"/>
        <v>42613.642619900456</v>
      </c>
      <c r="C23" s="441">
        <f t="shared" ca="1" si="3"/>
        <v>0</v>
      </c>
      <c r="D23" s="441">
        <f t="shared" ca="1" si="4"/>
        <v>41953.572186497011</v>
      </c>
      <c r="E23" s="441">
        <f t="shared" si="5"/>
        <v>452.11650011409068</v>
      </c>
      <c r="F23" s="441">
        <f t="shared" ca="1" si="6"/>
        <v>9794.0260767848267</v>
      </c>
      <c r="G23" s="441">
        <f t="shared" si="7"/>
        <v>0</v>
      </c>
      <c r="H23" s="441">
        <f t="shared" si="8"/>
        <v>0</v>
      </c>
      <c r="I23" s="441">
        <f t="shared" si="9"/>
        <v>0</v>
      </c>
      <c r="J23" s="441">
        <f t="shared" si="10"/>
        <v>6.8159582187907769E-2</v>
      </c>
      <c r="K23" s="441">
        <f t="shared" si="11"/>
        <v>0</v>
      </c>
      <c r="L23" s="441">
        <f t="shared" ca="1" si="12"/>
        <v>0</v>
      </c>
      <c r="M23" s="441">
        <f t="shared" si="13"/>
        <v>0</v>
      </c>
      <c r="N23" s="441">
        <f t="shared" ca="1" si="14"/>
        <v>0</v>
      </c>
      <c r="O23" s="441">
        <f t="shared" si="15"/>
        <v>0</v>
      </c>
      <c r="P23" s="442">
        <f t="shared" si="16"/>
        <v>0</v>
      </c>
      <c r="Q23" s="440">
        <f t="shared" ref="Q23:Q32" ca="1" si="17">SUM(B23:P23)</f>
        <v>94813.425542878569</v>
      </c>
    </row>
    <row r="24" spans="1:17">
      <c r="A24" s="440" t="s">
        <v>187</v>
      </c>
      <c r="B24" s="441">
        <f t="shared" ca="1" si="2"/>
        <v>906.31783854370053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906.31783854370053</v>
      </c>
    </row>
    <row r="25" spans="1:17">
      <c r="A25" s="440" t="s">
        <v>105</v>
      </c>
      <c r="B25" s="441">
        <f t="shared" ca="1" si="2"/>
        <v>191.97889970049053</v>
      </c>
      <c r="C25" s="441">
        <f t="shared" ca="1" si="3"/>
        <v>0</v>
      </c>
      <c r="D25" s="441">
        <f t="shared" si="4"/>
        <v>230.01895677443628</v>
      </c>
      <c r="E25" s="441">
        <f t="shared" si="5"/>
        <v>4.0148891924540804</v>
      </c>
      <c r="F25" s="441">
        <f t="shared" si="6"/>
        <v>869.27625057257296</v>
      </c>
      <c r="G25" s="441">
        <f t="shared" si="7"/>
        <v>0</v>
      </c>
      <c r="H25" s="441">
        <f t="shared" si="8"/>
        <v>0</v>
      </c>
      <c r="I25" s="441">
        <f t="shared" si="9"/>
        <v>0</v>
      </c>
      <c r="J25" s="441">
        <f t="shared" si="10"/>
        <v>75.041594206051698</v>
      </c>
      <c r="K25" s="441">
        <f t="shared" si="11"/>
        <v>0</v>
      </c>
      <c r="L25" s="441">
        <f t="shared" si="12"/>
        <v>0</v>
      </c>
      <c r="M25" s="441">
        <f t="shared" si="13"/>
        <v>0</v>
      </c>
      <c r="N25" s="441">
        <f t="shared" si="14"/>
        <v>0</v>
      </c>
      <c r="O25" s="441">
        <f t="shared" si="15"/>
        <v>0</v>
      </c>
      <c r="P25" s="442">
        <f t="shared" si="16"/>
        <v>0</v>
      </c>
      <c r="Q25" s="440">
        <f t="shared" ca="1" si="17"/>
        <v>1370.3305904460055</v>
      </c>
    </row>
    <row r="26" spans="1:17">
      <c r="A26" s="440" t="s">
        <v>600</v>
      </c>
      <c r="B26" s="441">
        <f t="shared" ca="1" si="2"/>
        <v>43272.541870298846</v>
      </c>
      <c r="C26" s="441">
        <f t="shared" ca="1" si="3"/>
        <v>0</v>
      </c>
      <c r="D26" s="441">
        <f t="shared" si="4"/>
        <v>53201.832479368975</v>
      </c>
      <c r="E26" s="441">
        <f t="shared" si="5"/>
        <v>2375.4251927316045</v>
      </c>
      <c r="F26" s="441">
        <f t="shared" si="6"/>
        <v>11571.508661530081</v>
      </c>
      <c r="G26" s="441">
        <f t="shared" si="7"/>
        <v>0</v>
      </c>
      <c r="H26" s="441">
        <f t="shared" si="8"/>
        <v>0</v>
      </c>
      <c r="I26" s="441">
        <f t="shared" si="9"/>
        <v>0</v>
      </c>
      <c r="J26" s="441">
        <f t="shared" si="10"/>
        <v>494.08057362076067</v>
      </c>
      <c r="K26" s="441">
        <f t="shared" si="11"/>
        <v>0</v>
      </c>
      <c r="L26" s="441">
        <f t="shared" si="12"/>
        <v>0</v>
      </c>
      <c r="M26" s="441">
        <f t="shared" si="13"/>
        <v>0</v>
      </c>
      <c r="N26" s="441">
        <f t="shared" si="14"/>
        <v>0</v>
      </c>
      <c r="O26" s="441">
        <f t="shared" si="15"/>
        <v>0</v>
      </c>
      <c r="P26" s="442">
        <f t="shared" si="16"/>
        <v>0</v>
      </c>
      <c r="Q26" s="440">
        <f t="shared" ca="1" si="17"/>
        <v>110915.38877755027</v>
      </c>
    </row>
    <row r="27" spans="1:17" s="446" customFormat="1">
      <c r="A27" s="444" t="s">
        <v>549</v>
      </c>
      <c r="B27" s="708">
        <f t="shared" ca="1" si="2"/>
        <v>42.236978250148098</v>
      </c>
      <c r="C27" s="445">
        <f t="shared" ca="1" si="3"/>
        <v>0</v>
      </c>
      <c r="D27" s="445">
        <f t="shared" si="4"/>
        <v>59.904073249222876</v>
      </c>
      <c r="E27" s="445">
        <f t="shared" si="5"/>
        <v>337.34562785657471</v>
      </c>
      <c r="F27" s="445">
        <f t="shared" si="6"/>
        <v>0</v>
      </c>
      <c r="G27" s="445">
        <f t="shared" si="7"/>
        <v>146308.97537912594</v>
      </c>
      <c r="H27" s="445">
        <f t="shared" si="8"/>
        <v>26141.941006082503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172890.40306456439</v>
      </c>
    </row>
    <row r="28" spans="1:17">
      <c r="A28" s="440" t="s">
        <v>539</v>
      </c>
      <c r="B28" s="441">
        <f t="shared" ca="1" si="2"/>
        <v>12.898703061676137</v>
      </c>
      <c r="C28" s="441">
        <f t="shared" ca="1" si="3"/>
        <v>0</v>
      </c>
      <c r="D28" s="441">
        <f t="shared" si="4"/>
        <v>0</v>
      </c>
      <c r="E28" s="441">
        <f t="shared" si="5"/>
        <v>0</v>
      </c>
      <c r="F28" s="441">
        <f t="shared" si="6"/>
        <v>0</v>
      </c>
      <c r="G28" s="441">
        <f t="shared" si="7"/>
        <v>2855.6480801265543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2868.5467831882306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1070.2391815392468</v>
      </c>
      <c r="C32" s="441">
        <f t="shared" ca="1" si="3"/>
        <v>0</v>
      </c>
      <c r="D32" s="441">
        <f t="shared" si="4"/>
        <v>4566.9311874699997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5637.1703690092463</v>
      </c>
    </row>
    <row r="33" spans="1:17" s="450" customFormat="1">
      <c r="A33" s="956" t="s">
        <v>543</v>
      </c>
      <c r="B33" s="896">
        <f ca="1">SUM(B22:B32)</f>
        <v>112541.12145972154</v>
      </c>
      <c r="C33" s="896">
        <f t="shared" ref="C33:Q33" ca="1" si="18">SUM(C22:C32)</f>
        <v>0</v>
      </c>
      <c r="D33" s="896">
        <f t="shared" ca="1" si="18"/>
        <v>172906.62634764111</v>
      </c>
      <c r="E33" s="896">
        <f t="shared" si="18"/>
        <v>4086.4548161359589</v>
      </c>
      <c r="F33" s="896">
        <f t="shared" ca="1" si="18"/>
        <v>51577.09848970655</v>
      </c>
      <c r="G33" s="896">
        <f t="shared" si="18"/>
        <v>149164.6234592525</v>
      </c>
      <c r="H33" s="896">
        <f t="shared" si="18"/>
        <v>26141.941006082503</v>
      </c>
      <c r="I33" s="896">
        <f t="shared" si="18"/>
        <v>0</v>
      </c>
      <c r="J33" s="896">
        <f t="shared" si="18"/>
        <v>1286.6358833532277</v>
      </c>
      <c r="K33" s="896">
        <f t="shared" si="18"/>
        <v>0</v>
      </c>
      <c r="L33" s="896">
        <f t="shared" ca="1" si="18"/>
        <v>0</v>
      </c>
      <c r="M33" s="896">
        <f t="shared" si="18"/>
        <v>0</v>
      </c>
      <c r="N33" s="896">
        <f t="shared" ca="1" si="18"/>
        <v>0</v>
      </c>
      <c r="O33" s="896">
        <f t="shared" si="18"/>
        <v>0</v>
      </c>
      <c r="P33" s="896">
        <f t="shared" si="18"/>
        <v>0</v>
      </c>
      <c r="Q33" s="896">
        <f t="shared" ca="1" si="18"/>
        <v>517704.50146189338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181.95266272189349</v>
      </c>
      <c r="C5" s="973"/>
      <c r="D5" s="973"/>
      <c r="E5" s="973"/>
      <c r="F5" s="973"/>
      <c r="G5" s="973"/>
      <c r="H5" s="973"/>
      <c r="I5" s="973"/>
      <c r="J5" s="973"/>
      <c r="K5" s="973"/>
      <c r="L5" s="973"/>
      <c r="M5" s="973"/>
      <c r="N5" s="973"/>
      <c r="O5" s="973"/>
      <c r="P5" s="974">
        <f>'SEAP template'!Q73</f>
        <v>0</v>
      </c>
    </row>
    <row r="6" spans="1:16">
      <c r="A6" s="975" t="s">
        <v>240</v>
      </c>
      <c r="B6" s="973">
        <f>'SEAP template'!B74</f>
        <v>13944.120756505212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14126.073419227105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0.21503498396906967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0.21503498396906967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2022-07-26T10:58:20Z</dcterms:modified>
</cp:coreProperties>
</file>