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E9D7A2C-F47B-41A1-B3E7-2F4442BC2BF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C9" i="18"/>
  <c r="D77" i="14"/>
  <c r="D9" i="59"/>
  <c r="O38" i="18"/>
  <c r="N38" i="18"/>
  <c r="B9" i="18"/>
  <c r="M38" i="18"/>
  <c r="W34" i="18"/>
  <c r="V34" i="18"/>
  <c r="U34" i="18"/>
  <c r="T34" i="18"/>
  <c r="S34" i="18"/>
  <c r="R34" i="18"/>
  <c r="Q34" i="18"/>
  <c r="P34" i="18"/>
  <c r="O34" i="18"/>
  <c r="N34" i="18"/>
  <c r="M34" i="18"/>
  <c r="W33" i="18"/>
  <c r="V33" i="18"/>
  <c r="U33" i="18"/>
  <c r="T33" i="18"/>
  <c r="S33" i="18"/>
  <c r="F13" i="15"/>
  <c r="R33" i="18"/>
  <c r="Q33" i="18"/>
  <c r="P33" i="18"/>
  <c r="O33" i="18"/>
  <c r="C13" i="15"/>
  <c r="N33" i="18"/>
  <c r="B13" i="15"/>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7" i="18"/>
  <c r="I9" i="18"/>
  <c r="I77" i="14"/>
  <c r="I9" i="59"/>
  <c r="B17" i="18"/>
  <c r="B20" i="18"/>
  <c r="C6" i="17"/>
  <c r="E10" i="59"/>
  <c r="G77" i="14"/>
  <c r="G9" i="59"/>
  <c r="G10" i="59"/>
  <c r="J9" i="18"/>
  <c r="J77" i="14"/>
  <c r="J9" i="59"/>
  <c r="E20" i="59"/>
  <c r="C47" i="18"/>
  <c r="I50"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0" i="18"/>
  <c r="I51" i="18"/>
  <c r="H17" i="18"/>
  <c r="E51" i="18"/>
  <c r="E17" i="18"/>
  <c r="H51" i="18"/>
  <c r="D51" i="18"/>
  <c r="G51" i="18"/>
  <c r="C51" i="18"/>
  <c r="F51" i="18"/>
  <c r="B51" i="18"/>
  <c r="C17" i="18"/>
  <c r="Q14" i="48"/>
  <c r="O24" i="48"/>
  <c r="O30" i="48"/>
  <c r="P24" i="48"/>
  <c r="P30" i="48"/>
  <c r="E78" i="14"/>
  <c r="E90" i="14"/>
  <c r="N78" i="14"/>
  <c r="B50" i="18"/>
  <c r="C8" i="18"/>
  <c r="C10" i="18"/>
  <c r="Q77" i="14"/>
  <c r="P9" i="59"/>
  <c r="O9" i="18"/>
  <c r="G78" i="14"/>
  <c r="C77" i="14"/>
  <c r="C9" i="59"/>
  <c r="F50" i="18"/>
  <c r="G50" i="18"/>
  <c r="I8" i="18"/>
  <c r="H50" i="18"/>
  <c r="C50" i="18"/>
  <c r="E50"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<sst xmlns="http://schemas.openxmlformats.org/spreadsheetml/2006/main" count="2421" uniqueCount="890">
  <si>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</si>
  <si>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</si>
  <si>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</si>
  <si>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</si>
  <si>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</si>
  <si>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</si>
  <si>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</si>
  <si>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</si>
  <si>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</si>
  <si>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</si>
  <si>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</si>
  <si>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</si>
  <si>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</si>
  <si>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</si>
  <si>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</si>
  <si>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</si>
  <si>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</si>
  <si>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</si>
  <si>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</si>
  <si>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</si>
  <si>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</si>
  <si>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</si>
  <si>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</si>
  <si>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</si>
  <si>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</si>
  <si>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</si>
  <si>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</si>
  <si>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</si>
  <si>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</si>
  <si>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</si>
  <si>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</si>
  <si>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</si>
  <si>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</si>
  <si>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</si>
  <si>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</si>
  <si>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</si>
  <si>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</si>
  <si>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</si>
  <si>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</si>
  <si>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</si>
  <si>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</si>
  <si>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</si>
  <si>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</si>
  <si>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</si>
  <si>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</si>
  <si>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</si>
  <si>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</si>
  <si>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</si>
  <si>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</si>
  <si>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</si>
  <si>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</si>
  <si>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</si>
  <si>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</si>
  <si>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</si>
  <si>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</si>
  <si>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</si>
  <si>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</si>
  <si>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</si>
  <si>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</si>
  <si>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</si>
  <si>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</si>
  <si>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</si>
  <si>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</si>
  <si>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</si>
  <si>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</si>
  <si>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</si>
  <si>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</si>
  <si>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</si>
  <si>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</si>
  <si>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</si>
  <si>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</si>
  <si>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</si>
  <si>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</si>
  <si>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</si>
  <si>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</si>
  <si>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</si>
  <si>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</si>
  <si>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</si>
  <si>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</si>
  <si>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</si>
  <si>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</si>
  <si>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</si>
  <si>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</si>
  <si>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</si>
  <si>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</si>
  <si>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</si>
  <si>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</si>
  <si>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</si>
  <si>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</si>
  <si>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</si>
  <si>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</si>
  <si>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</si>
  <si>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</si>
  <si>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</si>
  <si>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</si>
  <si>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</si>
  <si>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</si>
  <si>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</si>
  <si>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</si>
  <si>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</si>
  <si>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</si>
  <si>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</si>
  <si>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</si>
  <si>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</si>
  <si>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</si>
  <si>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</si>
  <si>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</si>
  <si>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</si>
  <si>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</si>
  <si>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</si>
  <si>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</si>
  <si>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</si>
  <si>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</si>
  <si>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</si>
  <si>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</si>
  <si>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</si>
  <si>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</si>
  <si>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</si>
  <si>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</si>
  <si>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</si>
  <si>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</si>
  <si>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</si>
  <si>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</si>
  <si>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</si>
  <si>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</si>
  <si>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</si>
  <si>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</si>
  <si>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</si>
  <si>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</si>
  <si>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</si>
  <si>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</si>
  <si>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</si>
  <si>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</si>
  <si>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</si>
  <si>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</si>
  <si>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</si>
  <si>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</si>
  <si>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</si>
  <si>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</si>
  <si>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</si>
  <si>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</si>
  <si>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</si>
  <si>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</si>
  <si>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</si>
  <si>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</si>
  <si>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</si>
  <si>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</si>
  <si>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</si>
  <si>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</si>
  <si>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</si>
  <si>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</si>
  <si>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</si>
  <si>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</si>
  <si>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</si>
  <si>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</si>
  <si>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</si>
  <si>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</si>
  <si>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</si>
  <si>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</si>
  <si>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</si>
  <si>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</si>
  <si>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</si>
  <si>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</si>
  <si>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</si>
  <si>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</si>
  <si>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</si>
  <si>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</si>
  <si>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</si>
  <si>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</si>
  <si>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</si>
  <si>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</si>
  <si>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</si>
  <si>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</si>
  <si>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</si>
  <si>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</si>
  <si>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</si>
  <si>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</si>
  <si>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</si>
  <si>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</si>
  <si>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</si>
  <si>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</si>
  <si>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</si>
  <si>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</si>
  <si>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</si>
  <si>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</si>
  <si>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</si>
  <si>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</si>
  <si>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</si>
  <si>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</si>
  <si>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</si>
  <si>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</si>
  <si>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</si>
  <si>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</si>
  <si>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</si>
  <si>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</si>
  <si>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</si>
  <si>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</si>
  <si>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</si>
  <si>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</si>
  <si>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</si>
  <si>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</si>
  <si>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</si>
  <si>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</si>
  <si>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</si>
  <si>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</si>
  <si>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</si>
  <si>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</si>
  <si>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</si>
  <si>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</si>
  <si>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</si>
  <si>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</si>
  <si>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</si>
  <si>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</si>
  <si>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</si>
  <si>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</si>
  <si>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</si>
  <si>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</si>
  <si>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</si>
  <si>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</si>
  <si>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</si>
  <si>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</si>
  <si>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</si>
  <si>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</si>
  <si>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</si>
  <si>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</si>
  <si>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</si>
  <si>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</si>
  <si>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</si>
  <si>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</si>
  <si>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</si>
  <si>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</si>
  <si>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</si>
  <si>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</si>
  <si>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</si>
  <si>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</si>
  <si>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</si>
  <si>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</si>
  <si>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</si>
  <si>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</si>
  <si>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</si>
  <si>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</si>
  <si>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</si>
  <si>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</si>
  <si>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</si>
  <si>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</si>
  <si>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</si>
  <si>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</si>
  <si>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</si>
  <si>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</si>
  <si>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</si>
  <si>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</si>
  <si>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</si>
  <si>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</si>
  <si>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</si>
  <si>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</si>
  <si>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</si>
  <si>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</si>
  <si>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</si>
  <si>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</si>
  <si>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</si>
  <si>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</si>
  <si>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</si>
  <si>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</si>
  <si>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</si>
  <si>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</si>
  <si>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</si>
  <si>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</si>
  <si>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</si>
  <si>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</si>
  <si>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</si>
  <si>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</si>
  <si>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</si>
  <si>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</si>
  <si>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</si>
  <si>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</si>
  <si>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</si>
  <si>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</si>
  <si>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</si>
  <si>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</si>
  <si>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</si>
  <si>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</si>
  <si>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</si>
  <si>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</si>
  <si>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</si>
  <si>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</si>
  <si>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</si>
  <si>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</si>
  <si>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</si>
  <si>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</si>
  <si>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</si>
  <si>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</si>
  <si>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</si>
  <si>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</si>
  <si>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</si>
  <si>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</si>
  <si>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</si>
  <si>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</si>
  <si>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</si>
  <si>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</si>
  <si>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</si>
  <si>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</si>
  <si>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</si>
  <si>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</si>
  <si>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</si>
  <si>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</si>
  <si>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</si>
  <si>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</si>
  <si>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</si>
  <si>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</si>
  <si>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</si>
  <si>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</si>
  <si>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</si>
  <si>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</si>
  <si>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</si>
  <si>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</si>
  <si>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</si>
  <si>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</si>
  <si>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</si>
  <si>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</si>
  <si>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</si>
  <si>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</si>
  <si>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</si>
  <si>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</si>
  <si>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</si>
  <si>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</si>
  <si>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</si>
  <si>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</si>
  <si>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</si>
  <si>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</si>
  <si>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</si>
  <si>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</si>
  <si>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</si>
  <si>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</si>
  <si>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</si>
  <si>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</si>
  <si>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</si>
  <si>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</si>
  <si>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</si>
  <si>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</si>
  <si>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</si>
  <si>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</si>
  <si>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</si>
  <si>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</si>
  <si>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</si>
  <si>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</si>
  <si>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</si>
  <si>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</si>
  <si>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</si>
  <si>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</si>
  <si>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</si>
  <si>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</si>
  <si>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</si>
  <si>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</si>
  <si>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</si>
  <si>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</si>
  <si>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</si>
  <si>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</si>
  <si>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</si>
  <si>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</si>
  <si>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</si>
  <si>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</si>
  <si>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</si>
  <si>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</si>
  <si>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</si>
  <si>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</si>
  <si>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</si>
  <si>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</si>
  <si>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</si>
  <si>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</si>
  <si>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</si>
  <si>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</si>
  <si>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</si>
  <si>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</si>
  <si>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</si>
  <si>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</si>
  <si>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</si>
  <si>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</si>
  <si>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</si>
  <si>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</si>
  <si>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</si>
  <si>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</si>
  <si>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</si>
  <si>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</si>
  <si>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</si>
  <si>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</si>
  <si>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</si>
  <si>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</si>
  <si>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</si>
  <si>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</si>
  <si>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</si>
  <si>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</si>
  <si>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</si>
  <si>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</si>
  <si>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</si>
  <si>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</si>
  <si>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</si>
  <si>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</si>
  <si>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</si>
  <si>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</si>
  <si>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</si>
  <si>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</si>
  <si>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</si>
  <si>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</si>
  <si>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</si>
  <si>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</si>
  <si>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</si>
  <si>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</si>
  <si>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</si>
  <si>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</si>
  <si>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</si>
  <si>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</si>
  <si>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</si>
  <si>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</si>
  <si>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</si>
  <si>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</si>
  <si>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</si>
  <si>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</si>
  <si>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</si>
  <si>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</si>
  <si>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</si>
  <si>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</si>
  <si>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</si>
  <si>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</si>
  <si>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</si>
  <si>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</si>
  <si>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</si>
  <si>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</si>
  <si>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</si>
  <si>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</si>
  <si>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</si>
  <si>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</si>
  <si>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</si>
  <si>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</si>
  <si>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</si>
  <si>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</si>
  <si>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</si>
  <si>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</si>
  <si>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</si>
  <si>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</si>
  <si>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</si>
  <si>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</si>
  <si>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</si>
  <si>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</si>
  <si>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</si>
  <si>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</si>
  <si>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</si>
  <si>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</si>
  <si>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</si>
  <si>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</si>
  <si>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</si>
  <si>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</si>
  <si>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</si>
  <si>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</si>
  <si>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</si>
  <si>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</si>
  <si>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</si>
  <si>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</si>
  <si>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</si>
  <si>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</si>
  <si>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</si>
  <si>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</si>
  <si>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</si>
  <si>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</si>
  <si>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</si>
  <si>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</si>
  <si>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</si>
  <si>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</si>
  <si>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</si>
  <si>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</si>
  <si>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</si>
  <si>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</si>
  <si>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</si>
  <si>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</si>
  <si>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</si>
  <si>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</si>
  <si>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</si>
  <si>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</si>
  <si>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</si>
  <si>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</si>
  <si>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</si>
  <si>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</si>
  <si>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</si>
  <si>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</si>
  <si>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</si>
  <si>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</si>
  <si>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</si>
  <si>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</si>
  <si>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</si>
  <si>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</si>
  <si>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</si>
  <si>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</si>
  <si>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</si>
  <si>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</si>
  <si>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</si>
  <si>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</si>
  <si>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</si>
  <si>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</si>
  <si>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</si>
  <si>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</si>
  <si>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</si>
  <si>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</si>
  <si>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</si>
  <si>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</si>
  <si>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</si>
  <si>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</si>
  <si>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</si>
  <si>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</si>
  <si>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</si>
  <si>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</si>
  <si>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</si>
  <si>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</si>
  <si>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</si>
  <si>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</si>
  <si>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</si>
  <si>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</si>
  <si>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</si>
  <si>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</si>
  <si>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</si>
  <si>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</si>
  <si>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</si>
  <si>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</si>
  <si>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</si>
  <si>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</si>
  <si>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</si>
  <si>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</si>
  <si>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</si>
  <si>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</si>
  <si>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</si>
  <si>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</si>
  <si>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</si>
  <si>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</si>
  <si>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</si>
  <si>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</si>
  <si>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</si>
  <si>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</si>
  <si>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</si>
  <si>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</si>
  <si>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</si>
  <si>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</si>
  <si>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</si>
  <si>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</si>
  <si>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</si>
  <si>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</si>
  <si>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</si>
  <si>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</si>
  <si>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</si>
  <si>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</si>
  <si>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</si>
  <si>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</si>
  <si>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</si>
  <si>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</si>
  <si>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</si>
  <si>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</si>
  <si>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</si>
  <si>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</si>
  <si>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</si>
  <si>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</si>
  <si>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</si>
  <si>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</si>
  <si>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</si>
  <si>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</si>
  <si>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</si>
  <si>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</si>
  <si>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</si>
  <si>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</si>
  <si>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</si>
  <si>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</si>
  <si>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</si>
  <si>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</si>
  <si>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</si>
  <si>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</si>
  <si>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</si>
  <si>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</si>
  <si>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</si>
  <si>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</si>
  <si>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</si>
  <si>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</si>
  <si>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</si>
  <si>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</si>
  <si>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</si>
  <si>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</si>
  <si>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</si>
  <si>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</si>
  <si>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</si>
  <si>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</si>
  <si>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</si>
  <si>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</si>
  <si>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</si>
  <si>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</si>
  <si>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</si>
  <si>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</si>
  <si>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</si>
  <si>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</si>
  <si>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</si>
  <si>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</si>
  <si>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</si>
  <si>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</si>
  <si>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</si>
  <si>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</si>
  <si>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</si>
  <si>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</si>
  <si>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</si>
  <si>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</si>
  <si>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</si>
  <si>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</si>
  <si>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</si>
  <si>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</si>
  <si>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</si>
  <si>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</si>
  <si>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</si>
  <si>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</si>
  <si>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</si>
  <si>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</si>
  <si>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</si>
  <si>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</si>
  <si>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</si>
  <si>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</si>
  <si>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</si>
  <si>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</si>
  <si>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</si>
  <si>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</si>
  <si>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</si>
  <si>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</si>
  <si>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</si>
  <si>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</si>
  <si>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</si>
  <si>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</si>
  <si>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</si>
  <si>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</si>
  <si>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</si>
  <si>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</si>
  <si>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</si>
  <si>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</si>
  <si>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</si>
  <si>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</si>
  <si>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</si>
  <si>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</si>
  <si>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</si>
  <si>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</si>
  <si>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</si>
  <si>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</si>
  <si>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</si>
  <si>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</si>
  <si>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</si>
  <si>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</si>
  <si>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</si>
  <si>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</si>
  <si>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</si>
  <si>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</si>
  <si>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</si>
  <si>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</si>
  <si>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</si>
  <si>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</si>
  <si>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</si>
  <si>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</si>
  <si>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</si>
  <si>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</si>
  <si>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</si>
  <si>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</si>
  <si>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</si>
  <si>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</si>
  <si>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</si>
  <si>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</si>
  <si>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</si>
  <si>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</si>
  <si>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</si>
  <si>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</si>
  <si>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</si>
  <si>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</si>
  <si>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</si>
  <si>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</si>
  <si>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</si>
  <si>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</si>
  <si>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</si>
  <si>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</si>
  <si>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</si>
  <si>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</si>
  <si>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</si>
  <si>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</si>
  <si>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</si>
  <si>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</si>
  <si>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</si>
  <si>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</si>
  <si>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</si>
  <si>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</si>
  <si>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</si>
  <si>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</si>
  <si>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</si>
  <si>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</si>
  <si>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</si>
  <si>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</si>
  <si>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</si>
  <si>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</si>
  <si>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</si>
  <si>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</si>
  <si>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</si>
  <si>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</si>
  <si>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</si>
  <si>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</si>
  <si>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</si>
  <si>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</si>
  <si>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</si>
  <si>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</si>
  <si>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</si>
  <si>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</si>
  <si>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</si>
  <si>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</si>
  <si>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</si>
  <si>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</si>
  <si>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</si>
  <si>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</si>
  <si>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</si>
  <si>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</si>
  <si>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</si>
  <si>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</si>
  <si>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</si>
  <si>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</si>
  <si>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</si>
  <si>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</si>
  <si>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</si>
  <si>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</si>
  <si>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</si>
  <si>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</si>
  <si>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</si>
  <si>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</si>
  <si>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</si>
  <si>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</si>
  <si>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</si>
  <si>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</si>
  <si>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</si>
  <si>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</si>
  <si>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</si>
  <si>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</si>
  <si>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</si>
  <si>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</si>
  <si>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</si>
  <si>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</si>
  <si>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</si>
  <si>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</si>
  <si>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</si>
  <si>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</si>
  <si>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</si>
  <si>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</si>
  <si>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</si>
  <si>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</si>
  <si>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</si>
  <si>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</si>
  <si>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</si>
  <si>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</si>
  <si>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</si>
  <si>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</si>
  <si>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</si>
  <si>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</si>
  <si>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</si>
  <si>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</si>
  <si>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</si>
  <si>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</si>
  <si>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</si>
  <si>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</si>
  <si>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</si>
  <si>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</si>
  <si>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</si>
  <si>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</si>
  <si>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</si>
  <si>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</si>
  <si>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</si>
  <si>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</si>
  <si>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</si>
  <si>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</si>
  <si>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</si>
  <si>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</si>
  <si>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</si>
  <si>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</si>
  <si>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</si>
  <si>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</si>
  <si>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</si>
  <si>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</si>
  <si>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</si>
  <si>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</si>
  <si>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</si>
  <si>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</si>
  <si>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</si>
  <si>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</si>
  <si>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</si>
  <si>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</si>
  <si>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</si>
  <si>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</si>
  <si>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</si>
  <si>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</si>
  <si>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</si>
  <si>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</si>
  <si>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</si>
  <si>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</si>
  <si>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</si>
  <si>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</si>
  <si>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</si>
  <si>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</si>
  <si>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</si>
  <si>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</si>
  <si>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</si>
  <si>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</si>
  <si>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</si>
  <si>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</si>
  <si>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</si>
  <si>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</si>
  <si>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</si>
  <si>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</si>
  <si>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</si>
  <si>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</si>
  <si>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</si>
  <si>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</si>
  <si>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</si>
  <si>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</si>
  <si>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</si>
  <si>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</si>
  <si>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</si>
  <si>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</si>
  <si>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</si>
  <si>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</si>
  <si>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</si>
  <si>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</si>
  <si>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</si>
  <si>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</si>
  <si>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</si>
  <si>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</si>
  <si>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</si>
  <si>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</si>
  <si>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</si>
  <si>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</si>
  <si>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</si>
  <si>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</si>
  <si>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</si>
  <si>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</si>
  <si>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</si>
  <si>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</si>
  <si>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</si>
  <si>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</si>
  <si>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</si>
  <si>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</si>
  <si>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</si>
  <si>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</si>
  <si>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</si>
  <si>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</si>
  <si>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</si>
  <si>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</si>
  <si>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</si>
  <si>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</si>
  <si>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</si>
  <si>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</si>
  <si>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</si>
  <si>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</si>
  <si>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</si>
  <si>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</si>
  <si>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</si>
  <si>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</si>
  <si>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</si>
  <si>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</si>
  <si>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</si>
  <si>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</si>
  <si>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</si>
  <si>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</si>
  <si>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</si>
  <si>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</si>
  <si>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</si>
  <si>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</si>
  <si>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</si>
  <si>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</si>
  <si>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</si>
  <si>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</si>
  <si>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</si>
  <si>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</si>
  <si>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</si>
  <si>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</si>
  <si>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</si>
  <si>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</si>
  <si>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</si>
  <si>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</si>
  <si>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</si>
  <si>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</si>
  <si>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</si>
  <si>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</si>
  <si>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</si>
  <si>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12002</t>
  </si>
  <si>
    <t>BERLAAR</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</si>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</sst>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9D8E73B-EAD1-4256-8E33-CC4FD0FB8D8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96320.158502456587</c:v>
                </c:pt>
                <c:pt idx="1">
                  <c:v>24039.386527001796</c:v>
                </c:pt>
                <c:pt idx="2">
                  <c:v>622.88800000000003</c:v>
                </c:pt>
                <c:pt idx="3">
                  <c:v>39142.952387095502</c:v>
                </c:pt>
                <c:pt idx="4">
                  <c:v>5473.2875682216782</c:v>
                </c:pt>
                <c:pt idx="5">
                  <c:v>41268.810984537558</c:v>
                </c:pt>
                <c:pt idx="6">
                  <c:v>496.76426405777926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96320.158502456587</c:v>
                </c:pt>
                <c:pt idx="1">
                  <c:v>24039.386527001796</c:v>
                </c:pt>
                <c:pt idx="2">
                  <c:v>622.88800000000003</c:v>
                </c:pt>
                <c:pt idx="3">
                  <c:v>39142.952387095502</c:v>
                </c:pt>
                <c:pt idx="4">
                  <c:v>5473.2875682216782</c:v>
                </c:pt>
                <c:pt idx="5">
                  <c:v>41268.810984537558</c:v>
                </c:pt>
                <c:pt idx="6">
                  <c:v>496.76426405777926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19957.186009844474</c:v>
                </c:pt>
                <c:pt idx="2">
                  <c:v>4995.3846167770307</c:v>
                </c:pt>
                <c:pt idx="3">
                  <c:v>134.67778060572999</c:v>
                </c:pt>
                <c:pt idx="4">
                  <c:v>9329.7826748092994</c:v>
                </c:pt>
                <c:pt idx="5">
                  <c:v>1172.7539607716617</c:v>
                </c:pt>
                <c:pt idx="6">
                  <c:v>10555.322666044778</c:v>
                </c:pt>
                <c:pt idx="7">
                  <c:v>128.50626179046012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19957.186009844474</c:v>
                </c:pt>
                <c:pt idx="2">
                  <c:v>4995.3846167770307</c:v>
                </c:pt>
                <c:pt idx="3">
                  <c:v>134.67778060572999</c:v>
                </c:pt>
                <c:pt idx="4">
                  <c:v>9329.7826748092994</c:v>
                </c:pt>
                <c:pt idx="5">
                  <c:v>1172.7539607716617</c:v>
                </c:pt>
                <c:pt idx="6">
                  <c:v>10555.322666044778</c:v>
                </c:pt>
                <c:pt idx="7">
                  <c:v>128.50626179046012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12002</v>
      </c>
      <c r="B6" s="380"/>
      <c r="C6" s="381"/>
    </row>
    <row r="7" spans="1:7" s="378" customFormat="1" ht="15.75" customHeight="1">
      <c r="A7" s="382" t="str">
        <f>txtMunicipality</f>
        <v>BERLAAR</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0.21621508297756575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0.21621508297756575</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4605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1291.81</v>
      </c>
      <c r="C14" s="322"/>
      <c r="D14" s="322"/>
      <c r="E14" s="322"/>
      <c r="F14" s="322"/>
    </row>
    <row r="15" spans="1:6">
      <c r="A15" s="1248" t="s">
        <v>177</v>
      </c>
      <c r="B15" s="1249">
        <v>14</v>
      </c>
      <c r="C15" s="322"/>
      <c r="D15" s="322"/>
      <c r="E15" s="322"/>
      <c r="F15" s="322"/>
    </row>
    <row r="16" spans="1:6">
      <c r="A16" s="1248" t="s">
        <v>6</v>
      </c>
      <c r="B16" s="1249">
        <v>619</v>
      </c>
      <c r="C16" s="322"/>
      <c r="D16" s="322"/>
      <c r="E16" s="322"/>
      <c r="F16" s="322"/>
    </row>
    <row r="17" spans="1:6">
      <c r="A17" s="1248" t="s">
        <v>7</v>
      </c>
      <c r="B17" s="1249">
        <v>73</v>
      </c>
      <c r="C17" s="322"/>
      <c r="D17" s="322"/>
      <c r="E17" s="322"/>
      <c r="F17" s="322"/>
    </row>
    <row r="18" spans="1:6">
      <c r="A18" s="1248" t="s">
        <v>8</v>
      </c>
      <c r="B18" s="1249">
        <v>436</v>
      </c>
      <c r="C18" s="322"/>
      <c r="D18" s="322"/>
      <c r="E18" s="322"/>
      <c r="F18" s="322"/>
    </row>
    <row r="19" spans="1:6">
      <c r="A19" s="1248" t="s">
        <v>9</v>
      </c>
      <c r="B19" s="1249">
        <v>364</v>
      </c>
      <c r="C19" s="322"/>
      <c r="D19" s="322"/>
      <c r="E19" s="322"/>
      <c r="F19" s="322"/>
    </row>
    <row r="20" spans="1:6">
      <c r="A20" s="1248" t="s">
        <v>10</v>
      </c>
      <c r="B20" s="1249">
        <v>230</v>
      </c>
      <c r="C20" s="322"/>
      <c r="D20" s="322"/>
      <c r="E20" s="322"/>
      <c r="F20" s="322"/>
    </row>
    <row r="21" spans="1:6">
      <c r="A21" s="1248" t="s">
        <v>11</v>
      </c>
      <c r="B21" s="1249">
        <v>621</v>
      </c>
      <c r="C21" s="322"/>
      <c r="D21" s="322"/>
      <c r="E21" s="322"/>
      <c r="F21" s="322"/>
    </row>
    <row r="22" spans="1:6">
      <c r="A22" s="1248" t="s">
        <v>12</v>
      </c>
      <c r="B22" s="1249">
        <v>2239</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461</v>
      </c>
      <c r="C26" s="322"/>
      <c r="D26" s="322"/>
      <c r="E26" s="322"/>
      <c r="F26" s="322"/>
    </row>
    <row r="27" spans="1:6">
      <c r="A27" s="1248" t="s">
        <v>17</v>
      </c>
      <c r="B27" s="1249">
        <v>5</v>
      </c>
      <c r="C27" s="322"/>
      <c r="D27" s="322"/>
      <c r="E27" s="322"/>
      <c r="F27" s="322"/>
    </row>
    <row r="28" spans="1:6">
      <c r="A28" s="1248" t="s">
        <v>18</v>
      </c>
      <c r="B28" s="1250">
        <v>0</v>
      </c>
      <c r="C28" s="322"/>
      <c r="D28" s="322"/>
      <c r="E28" s="322"/>
      <c r="F28" s="322"/>
    </row>
    <row r="29" spans="1:6">
      <c r="A29" s="1248" t="s">
        <v>884</v>
      </c>
      <c r="B29" s="1250">
        <v>139</v>
      </c>
      <c r="C29" s="322"/>
      <c r="D29" s="322"/>
      <c r="E29" s="322"/>
      <c r="F29" s="322"/>
    </row>
    <row r="30" spans="1:6">
      <c r="A30" s="1243" t="s">
        <v>885</v>
      </c>
      <c r="B30" s="1251">
        <v>39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3151</v>
      </c>
      <c r="D39" s="1249">
        <v>52727444.351999998</v>
      </c>
      <c r="E39" s="1249">
        <v>4511</v>
      </c>
      <c r="F39" s="1249">
        <v>16299570.529999999</v>
      </c>
    </row>
    <row r="40" spans="1:6">
      <c r="A40" s="1248" t="s">
        <v>29</v>
      </c>
      <c r="B40" s="1248" t="s">
        <v>28</v>
      </c>
      <c r="C40" s="1249">
        <v>0</v>
      </c>
      <c r="D40" s="1249">
        <v>0</v>
      </c>
      <c r="E40" s="1249">
        <v>0</v>
      </c>
      <c r="F40" s="1249">
        <v>0</v>
      </c>
    </row>
    <row r="41" spans="1:6">
      <c r="A41" s="1248" t="s">
        <v>31</v>
      </c>
      <c r="B41" s="1248" t="s">
        <v>32</v>
      </c>
      <c r="C41" s="1249">
        <v>29</v>
      </c>
      <c r="D41" s="1249">
        <v>880519.58791999996</v>
      </c>
      <c r="E41" s="1249">
        <v>90</v>
      </c>
      <c r="F41" s="1249">
        <v>1146914.5112999999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37626.024777999999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23</v>
      </c>
      <c r="D48" s="1249">
        <v>544439.77953000006</v>
      </c>
      <c r="E48" s="1249">
        <v>29</v>
      </c>
      <c r="F48" s="1249">
        <v>476085.28924999997</v>
      </c>
    </row>
    <row r="49" spans="1:6">
      <c r="A49" s="1248" t="s">
        <v>31</v>
      </c>
      <c r="B49" s="1248" t="s">
        <v>39</v>
      </c>
      <c r="C49" s="1249">
        <v>0</v>
      </c>
      <c r="D49" s="1249">
        <v>0</v>
      </c>
      <c r="E49" s="1249">
        <v>0</v>
      </c>
      <c r="F49" s="1249">
        <v>0</v>
      </c>
    </row>
    <row r="50" spans="1:6">
      <c r="A50" s="1248" t="s">
        <v>31</v>
      </c>
      <c r="B50" s="1248" t="s">
        <v>40</v>
      </c>
      <c r="C50" s="1249">
        <v>4</v>
      </c>
      <c r="D50" s="1249">
        <v>576379.55808999995</v>
      </c>
      <c r="E50" s="1249">
        <v>10</v>
      </c>
      <c r="F50" s="1249">
        <v>280965.14098999999</v>
      </c>
    </row>
    <row r="51" spans="1:6">
      <c r="A51" s="1248" t="s">
        <v>41</v>
      </c>
      <c r="B51" s="1248" t="s">
        <v>42</v>
      </c>
      <c r="C51" s="1249">
        <v>5</v>
      </c>
      <c r="D51" s="1249">
        <v>74727777.270999998</v>
      </c>
      <c r="E51" s="1249">
        <v>41</v>
      </c>
      <c r="F51" s="1249">
        <v>870656.44177000003</v>
      </c>
    </row>
    <row r="52" spans="1:6">
      <c r="A52" s="1248" t="s">
        <v>41</v>
      </c>
      <c r="B52" s="1248" t="s">
        <v>28</v>
      </c>
      <c r="C52" s="1249">
        <v>4</v>
      </c>
      <c r="D52" s="1249">
        <v>77032.258117999998</v>
      </c>
      <c r="E52" s="1249">
        <v>5</v>
      </c>
      <c r="F52" s="1249">
        <v>22005.303145999998</v>
      </c>
    </row>
    <row r="53" spans="1:6">
      <c r="A53" s="1248" t="s">
        <v>43</v>
      </c>
      <c r="B53" s="1248" t="s">
        <v>44</v>
      </c>
      <c r="C53" s="1249">
        <v>62</v>
      </c>
      <c r="D53" s="1249">
        <v>1961910.0284</v>
      </c>
      <c r="E53" s="1249">
        <v>195</v>
      </c>
      <c r="F53" s="1249">
        <v>797416.41203000001</v>
      </c>
    </row>
    <row r="54" spans="1:6">
      <c r="A54" s="1248" t="s">
        <v>45</v>
      </c>
      <c r="B54" s="1248" t="s">
        <v>46</v>
      </c>
      <c r="C54" s="1249">
        <v>0</v>
      </c>
      <c r="D54" s="1249">
        <v>0</v>
      </c>
      <c r="E54" s="1249">
        <v>1</v>
      </c>
      <c r="F54" s="1249">
        <v>622888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23</v>
      </c>
      <c r="D57" s="1249">
        <v>543191.13101999997</v>
      </c>
      <c r="E57" s="1249">
        <v>51</v>
      </c>
      <c r="F57" s="1249">
        <v>1481130.2032999999</v>
      </c>
    </row>
    <row r="58" spans="1:6">
      <c r="A58" s="1248" t="s">
        <v>48</v>
      </c>
      <c r="B58" s="1248" t="s">
        <v>50</v>
      </c>
      <c r="C58" s="1249">
        <v>6</v>
      </c>
      <c r="D58" s="1249">
        <v>139070.14319999999</v>
      </c>
      <c r="E58" s="1249">
        <v>8</v>
      </c>
      <c r="F58" s="1249">
        <v>79190.055819000001</v>
      </c>
    </row>
    <row r="59" spans="1:6">
      <c r="A59" s="1248" t="s">
        <v>48</v>
      </c>
      <c r="B59" s="1248" t="s">
        <v>51</v>
      </c>
      <c r="C59" s="1249">
        <v>50</v>
      </c>
      <c r="D59" s="1249">
        <v>1782477.7487000001</v>
      </c>
      <c r="E59" s="1249">
        <v>100</v>
      </c>
      <c r="F59" s="1249">
        <v>3126671.4837000002</v>
      </c>
    </row>
    <row r="60" spans="1:6">
      <c r="A60" s="1248" t="s">
        <v>48</v>
      </c>
      <c r="B60" s="1248" t="s">
        <v>52</v>
      </c>
      <c r="C60" s="1249">
        <v>36</v>
      </c>
      <c r="D60" s="1249">
        <v>1222183.9367</v>
      </c>
      <c r="E60" s="1249">
        <v>48</v>
      </c>
      <c r="F60" s="1249">
        <v>893566.17663</v>
      </c>
    </row>
    <row r="61" spans="1:6">
      <c r="A61" s="1248" t="s">
        <v>48</v>
      </c>
      <c r="B61" s="1248" t="s">
        <v>53</v>
      </c>
      <c r="C61" s="1249">
        <v>104</v>
      </c>
      <c r="D61" s="1249">
        <v>3374815.6982999998</v>
      </c>
      <c r="E61" s="1249">
        <v>155</v>
      </c>
      <c r="F61" s="1249">
        <v>1628319.6539</v>
      </c>
    </row>
    <row r="62" spans="1:6">
      <c r="A62" s="1248" t="s">
        <v>48</v>
      </c>
      <c r="B62" s="1248" t="s">
        <v>54</v>
      </c>
      <c r="C62" s="1249">
        <v>4</v>
      </c>
      <c r="D62" s="1249">
        <v>143968.95610000001</v>
      </c>
      <c r="E62" s="1249">
        <v>0</v>
      </c>
      <c r="F62" s="1249">
        <v>0</v>
      </c>
    </row>
    <row r="63" spans="1:6">
      <c r="A63" s="1248" t="s">
        <v>48</v>
      </c>
      <c r="B63" s="1248" t="s">
        <v>28</v>
      </c>
      <c r="C63" s="1249">
        <v>70</v>
      </c>
      <c r="D63" s="1249">
        <v>4355663.7836999996</v>
      </c>
      <c r="E63" s="1249">
        <v>91</v>
      </c>
      <c r="F63" s="1249">
        <v>2846708.8690999998</v>
      </c>
    </row>
    <row r="64" spans="1:6">
      <c r="A64" s="1248" t="s">
        <v>55</v>
      </c>
      <c r="B64" s="1248" t="s">
        <v>56</v>
      </c>
      <c r="C64" s="1249">
        <v>0</v>
      </c>
      <c r="D64" s="1249">
        <v>0</v>
      </c>
      <c r="E64" s="1249">
        <v>0</v>
      </c>
      <c r="F64" s="1249">
        <v>0</v>
      </c>
    </row>
    <row r="65" spans="1:6">
      <c r="A65" s="1248" t="s">
        <v>55</v>
      </c>
      <c r="B65" s="1248" t="s">
        <v>28</v>
      </c>
      <c r="C65" s="1249">
        <v>2</v>
      </c>
      <c r="D65" s="1249">
        <v>22891.440850999999</v>
      </c>
      <c r="E65" s="1249">
        <v>2</v>
      </c>
      <c r="F65" s="1249">
        <v>46024</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42494.261448999998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44014405</v>
      </c>
      <c r="E73" s="439"/>
      <c r="F73" s="322"/>
    </row>
    <row r="74" spans="1:6">
      <c r="A74" s="1248" t="s">
        <v>63</v>
      </c>
      <c r="B74" s="1248" t="s">
        <v>626</v>
      </c>
      <c r="C74" s="1261" t="s">
        <v>628</v>
      </c>
      <c r="D74" s="1249">
        <v>3190906.2622761787</v>
      </c>
      <c r="E74" s="439"/>
      <c r="F74" s="322"/>
    </row>
    <row r="75" spans="1:6">
      <c r="A75" s="1248" t="s">
        <v>64</v>
      </c>
      <c r="B75" s="1248" t="s">
        <v>625</v>
      </c>
      <c r="C75" s="1261" t="s">
        <v>629</v>
      </c>
      <c r="D75" s="1249">
        <v>6180388</v>
      </c>
      <c r="E75" s="439"/>
      <c r="F75" s="322"/>
    </row>
    <row r="76" spans="1:6">
      <c r="A76" s="1248" t="s">
        <v>64</v>
      </c>
      <c r="B76" s="1248" t="s">
        <v>626</v>
      </c>
      <c r="C76" s="1261" t="s">
        <v>630</v>
      </c>
      <c r="D76" s="1249">
        <v>29567.262276178662</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134357.47544764268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1934.2976173652708</v>
      </c>
      <c r="C91" s="322"/>
      <c r="D91" s="322"/>
      <c r="E91" s="322"/>
      <c r="F91" s="322"/>
    </row>
    <row r="92" spans="1:6">
      <c r="A92" s="1243" t="s">
        <v>68</v>
      </c>
      <c r="B92" s="1244">
        <v>495.30968670968736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2012</v>
      </c>
      <c r="C97" s="322"/>
      <c r="D97" s="322"/>
      <c r="E97" s="322"/>
      <c r="F97" s="322"/>
    </row>
    <row r="98" spans="1:6">
      <c r="A98" s="1248" t="s">
        <v>71</v>
      </c>
      <c r="B98" s="1249">
        <v>4</v>
      </c>
      <c r="C98" s="322"/>
      <c r="D98" s="322"/>
      <c r="E98" s="322"/>
      <c r="F98" s="322"/>
    </row>
    <row r="99" spans="1:6">
      <c r="A99" s="1248" t="s">
        <v>72</v>
      </c>
      <c r="B99" s="1249">
        <v>39</v>
      </c>
      <c r="C99" s="322"/>
      <c r="D99" s="322"/>
      <c r="E99" s="322"/>
      <c r="F99" s="322"/>
    </row>
    <row r="100" spans="1:6">
      <c r="A100" s="1248" t="s">
        <v>73</v>
      </c>
      <c r="B100" s="1249">
        <v>182</v>
      </c>
      <c r="C100" s="322"/>
      <c r="D100" s="322"/>
      <c r="E100" s="322"/>
      <c r="F100" s="322"/>
    </row>
    <row r="101" spans="1:6">
      <c r="A101" s="1248" t="s">
        <v>74</v>
      </c>
      <c r="B101" s="1249">
        <v>46</v>
      </c>
      <c r="C101" s="322"/>
      <c r="D101" s="322"/>
      <c r="E101" s="322"/>
      <c r="F101" s="322"/>
    </row>
    <row r="102" spans="1:6">
      <c r="A102" s="1248" t="s">
        <v>75</v>
      </c>
      <c r="B102" s="1249">
        <v>34</v>
      </c>
      <c r="C102" s="322"/>
      <c r="D102" s="322"/>
      <c r="E102" s="322"/>
      <c r="F102" s="322"/>
    </row>
    <row r="103" spans="1:6">
      <c r="A103" s="1248" t="s">
        <v>76</v>
      </c>
      <c r="B103" s="1249">
        <v>111</v>
      </c>
      <c r="C103" s="322"/>
      <c r="D103" s="322"/>
      <c r="E103" s="322"/>
      <c r="F103" s="322"/>
    </row>
    <row r="104" spans="1:6">
      <c r="A104" s="1248" t="s">
        <v>77</v>
      </c>
      <c r="B104" s="1249">
        <v>1499</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13</v>
      </c>
      <c r="C123" s="1249">
        <v>27</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71</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32559.008786693488</v>
      </c>
      <c r="C3" s="43" t="s">
        <v>163</v>
      </c>
      <c r="D3" s="43"/>
      <c r="E3" s="153"/>
      <c r="F3" s="43"/>
      <c r="G3" s="43"/>
      <c r="H3" s="43"/>
      <c r="I3" s="43"/>
      <c r="J3" s="43"/>
      <c r="K3" s="96"/>
    </row>
    <row r="4" spans="1:11">
      <c r="A4" s="348" t="s">
        <v>164</v>
      </c>
      <c r="B4" s="49">
        <f>IF(ISERROR('SEAP template'!B78+'SEAP template'!C78),0,'SEAP template'!B78+'SEAP template'!C78)</f>
        <v>25325.607304074958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5441.1670588235302</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0.21621508297756575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7773.0957983193293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32708.571428571431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622.88800000000003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622.88800000000003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0.21621508297756575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134.67778060572999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16299.570529999999</v>
      </c>
      <c r="C5" s="17">
        <f>IF(ISERROR('Eigen informatie GS &amp; warmtenet'!B57),0,'Eigen informatie GS &amp; warmtenet'!B57)</f>
        <v>0</v>
      </c>
      <c r="D5" s="30">
        <f>(SUM(HH_hh_gas_kWh,HH_rest_gas_kWh)/1000)*0.902</f>
        <v>47560.154805503997</v>
      </c>
      <c r="E5" s="17">
        <f>B32*B41</f>
        <v>836.09759344858321</v>
      </c>
      <c r="F5" s="17">
        <f>B36*B45</f>
        <v>22731.838617999911</v>
      </c>
      <c r="G5" s="18"/>
      <c r="H5" s="17"/>
      <c r="I5" s="17"/>
      <c r="J5" s="17">
        <f>B35*B44+C35*C44</f>
        <v>419.21570601492647</v>
      </c>
      <c r="K5" s="17"/>
      <c r="L5" s="17"/>
      <c r="M5" s="17"/>
      <c r="N5" s="17">
        <f>B34*B43+C34*C43</f>
        <v>5926.6136321238728</v>
      </c>
      <c r="O5" s="17">
        <f>B52*B53*B54</f>
        <v>154.77000000000001</v>
      </c>
      <c r="P5" s="17">
        <f>B60*B61*B62/1000-B60*B61*B62/1000/B63</f>
        <v>457.6</v>
      </c>
    </row>
    <row r="6" spans="1:16">
      <c r="A6" s="16" t="s">
        <v>586</v>
      </c>
      <c r="B6" s="716">
        <f>kWh_PV_kleiner_dan_10kW</f>
        <v>1934.2976173652708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18233.868147365269</v>
      </c>
      <c r="C8" s="21">
        <f>C5</f>
        <v>0</v>
      </c>
      <c r="D8" s="21">
        <f>D5</f>
        <v>47560.154805503997</v>
      </c>
      <c r="E8" s="21">
        <f>E5</f>
        <v>836.09759344858321</v>
      </c>
      <c r="F8" s="21">
        <f>F5</f>
        <v>22731.838617999911</v>
      </c>
      <c r="G8" s="21"/>
      <c r="H8" s="21"/>
      <c r="I8" s="21"/>
      <c r="J8" s="21">
        <f>J5</f>
        <v>419.21570601492647</v>
      </c>
      <c r="K8" s="21"/>
      <c r="L8" s="21">
        <f>L5</f>
        <v>0</v>
      </c>
      <c r="M8" s="21">
        <f>M5</f>
        <v>0</v>
      </c>
      <c r="N8" s="21">
        <f>N5</f>
        <v>5926.6136321238728</v>
      </c>
      <c r="O8" s="21">
        <f>O5</f>
        <v>154.77000000000001</v>
      </c>
      <c r="P8" s="21">
        <f>P5</f>
        <v>457.6</v>
      </c>
    </row>
    <row r="9" spans="1:16">
      <c r="B9" s="19"/>
      <c r="C9" s="19"/>
      <c r="D9" s="253"/>
      <c r="E9" s="19"/>
      <c r="F9" s="19"/>
      <c r="G9" s="19"/>
      <c r="H9" s="19"/>
      <c r="I9" s="19"/>
      <c r="J9" s="19"/>
      <c r="K9" s="19"/>
      <c r="L9" s="19"/>
      <c r="M9" s="19"/>
      <c r="N9" s="19"/>
      <c r="O9" s="19"/>
      <c r="P9" s="19"/>
    </row>
    <row r="10" spans="1:16">
      <c r="A10" s="24" t="s">
        <v>207</v>
      </c>
      <c r="B10" s="25">
        <f ca="1">'EF ele_warmte'!B12</f>
        <v>0.21621508297756575</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3942.4373144845749</v>
      </c>
      <c r="C12" s="23">
        <f ca="1">C10*C8</f>
        <v>0</v>
      </c>
      <c r="D12" s="23">
        <f>D8*D10</f>
        <v>9607.1512707118072</v>
      </c>
      <c r="E12" s="23">
        <f>E10*E8</f>
        <v>189.7941537128284</v>
      </c>
      <c r="F12" s="23">
        <f>F10*F8</f>
        <v>6069.4009110059769</v>
      </c>
      <c r="G12" s="23"/>
      <c r="H12" s="23"/>
      <c r="I12" s="23"/>
      <c r="J12" s="23">
        <f>J10*J8</f>
        <v>148.40235992928396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4605</v>
      </c>
      <c r="C26" s="36"/>
      <c r="D26" s="224"/>
    </row>
    <row r="27" spans="1:5" s="15" customFormat="1">
      <c r="A27" s="226" t="s">
        <v>655</v>
      </c>
      <c r="B27" s="37">
        <f>SUM(HH_hh_gas_aantal,HH_rest_gas_aantal)</f>
        <v>3151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2993.45</v>
      </c>
      <c r="C31" s="34" t="s">
        <v>104</v>
      </c>
      <c r="D31" s="170"/>
    </row>
    <row r="32" spans="1:5">
      <c r="A32" s="167" t="s">
        <v>72</v>
      </c>
      <c r="B32" s="33">
        <f>IF((B21*($B$26-($B$27-0.05*$B$27)-$B$60))&lt;0,0,B21*($B$26-($B$27-0.05*$B$27)-$B$60))</f>
        <v>10.245137765864802</v>
      </c>
      <c r="C32" s="34" t="s">
        <v>104</v>
      </c>
      <c r="D32" s="170"/>
    </row>
    <row r="33" spans="1:6">
      <c r="A33" s="167" t="s">
        <v>73</v>
      </c>
      <c r="B33" s="33">
        <f>IF((B22*($B$26-($B$27-0.05*$B$27)-$B$60))&lt;0,0,B22*($B$26-($B$27-0.05*$B$27)-$B$60))</f>
        <v>356.77291466793667</v>
      </c>
      <c r="C33" s="34" t="s">
        <v>104</v>
      </c>
      <c r="D33" s="170"/>
    </row>
    <row r="34" spans="1:6">
      <c r="A34" s="167" t="s">
        <v>74</v>
      </c>
      <c r="B34" s="33">
        <f>IF((B24*($B$26-($B$27-0.05*$B$27)-$B$60))&lt;0,0,B24*($B$26-($B$27-0.05*$B$27)-$B$60))</f>
        <v>70.84778999478479</v>
      </c>
      <c r="C34" s="33">
        <f>B26*C24</f>
        <v>942.47007753585422</v>
      </c>
      <c r="D34" s="229"/>
    </row>
    <row r="35" spans="1:6">
      <c r="A35" s="167" t="s">
        <v>76</v>
      </c>
      <c r="B35" s="33">
        <f>IF((B19*($B$26-($B$27-0.05*$B$27)-$B$60))&lt;0,0,B19*($B$26-($B$27-0.05*$B$27)-$B$60))</f>
        <v>34.598544773283017</v>
      </c>
      <c r="C35" s="33">
        <f>B35/2</f>
        <v>17.299272386641508</v>
      </c>
      <c r="D35" s="229"/>
    </row>
    <row r="36" spans="1:6">
      <c r="A36" s="167" t="s">
        <v>77</v>
      </c>
      <c r="B36" s="33">
        <f>IF((B18*($B$26-($B$27-0.05*$B$27)-$B$60))&lt;0,0,B18*($B$26-($B$27-0.05*$B$27)-$B$60))</f>
        <v>1115.0856127981313</v>
      </c>
      <c r="C36" s="34" t="s">
        <v>104</v>
      </c>
      <c r="D36" s="170"/>
    </row>
    <row r="37" spans="1:6">
      <c r="A37" s="167" t="s">
        <v>78</v>
      </c>
      <c r="B37" s="33">
        <f>B60</f>
        <v>24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10055.586442448999</v>
      </c>
      <c r="C5" s="17">
        <f>IF(ISERROR('Eigen informatie GS &amp; warmtenet'!B58),0,'Eigen informatie GS &amp; warmtenet'!B58)</f>
        <v>0</v>
      </c>
      <c r="D5" s="30">
        <f>SUM(D6:D12)</f>
        <v>10428.357000743439</v>
      </c>
      <c r="E5" s="17">
        <f>SUM(E6:E12)</f>
        <v>171.16345415996335</v>
      </c>
      <c r="F5" s="17">
        <f>SUM(F6:F12)</f>
        <v>2531.1774663991114</v>
      </c>
      <c r="G5" s="18"/>
      <c r="H5" s="17"/>
      <c r="I5" s="17"/>
      <c r="J5" s="17">
        <f>SUM(J6:J12)</f>
        <v>2.417503329114622E-2</v>
      </c>
      <c r="K5" s="17"/>
      <c r="L5" s="17"/>
      <c r="M5" s="17"/>
      <c r="N5" s="17">
        <f>SUM(N6:N12)</f>
        <v>853.0779882169918</v>
      </c>
      <c r="O5" s="17">
        <f>B38*B39*B40</f>
        <v>0</v>
      </c>
      <c r="P5" s="17">
        <f>B46*B47*B48/1000-B46*B47*B48/1000/B49</f>
        <v>0</v>
      </c>
      <c r="R5" s="32"/>
    </row>
    <row r="6" spans="1:18">
      <c r="A6" s="32" t="s">
        <v>53</v>
      </c>
      <c r="B6" s="37">
        <f>B26</f>
        <v>1628.3196539</v>
      </c>
      <c r="C6" s="33"/>
      <c r="D6" s="37">
        <f>IF(ISERROR(TER_kantoor_gas_kWh/1000),0,TER_kantoor_gas_kWh/1000)*0.902</f>
        <v>3044.0837598665998</v>
      </c>
      <c r="E6" s="33">
        <f>$C$26*'E Balans VL '!I12/100/3.6*1000000</f>
        <v>9.2702938662157865E-19</v>
      </c>
      <c r="F6" s="33">
        <f>$C$26*('E Balans VL '!L12+'E Balans VL '!N12)/100/3.6*1000000</f>
        <v>220.12198708963089</v>
      </c>
      <c r="G6" s="34"/>
      <c r="H6" s="33"/>
      <c r="I6" s="33"/>
      <c r="J6" s="33">
        <f>$C$26*('E Balans VL '!D12+'E Balans VL '!E12)/100/3.6*1000000</f>
        <v>0</v>
      </c>
      <c r="K6" s="33"/>
      <c r="L6" s="33"/>
      <c r="M6" s="33"/>
      <c r="N6" s="33">
        <f>$C$26*'E Balans VL '!Y12/100/3.6*1000000</f>
        <v>2.046466944825672</v>
      </c>
      <c r="O6" s="33"/>
      <c r="P6" s="33"/>
      <c r="R6" s="32"/>
    </row>
    <row r="7" spans="1:18">
      <c r="A7" s="32" t="s">
        <v>52</v>
      </c>
      <c r="B7" s="37">
        <f t="shared" ref="B7:B12" si="0">B27</f>
        <v>893.56617662999997</v>
      </c>
      <c r="C7" s="33"/>
      <c r="D7" s="37">
        <f>IF(ISERROR(TER_horeca_gas_kWh/1000),0,TER_horeca_gas_kWh/1000)*0.902</f>
        <v>1102.4099109034</v>
      </c>
      <c r="E7" s="33">
        <f>$C$27*'E Balans VL '!I9/100/3.6*1000000</f>
        <v>11.412658311440321</v>
      </c>
      <c r="F7" s="33">
        <f>$C$27*('E Balans VL '!L9+'E Balans VL '!N9)/100/3.6*1000000</f>
        <v>100.92428470512785</v>
      </c>
      <c r="G7" s="34"/>
      <c r="H7" s="33"/>
      <c r="I7" s="33"/>
      <c r="J7" s="33">
        <f>$C$27*('E Balans VL '!D9+'E Balans VL '!E9)/100/3.6*1000000</f>
        <v>0</v>
      </c>
      <c r="K7" s="33"/>
      <c r="L7" s="33"/>
      <c r="M7" s="33"/>
      <c r="N7" s="33">
        <f>$C$27*'E Balans VL '!Y9/100/3.6*1000000</f>
        <v>0.21294061286618032</v>
      </c>
      <c r="O7" s="33"/>
      <c r="P7" s="33"/>
      <c r="R7" s="32"/>
    </row>
    <row r="8" spans="1:18">
      <c r="A8" s="6" t="s">
        <v>51</v>
      </c>
      <c r="B8" s="37">
        <f t="shared" si="0"/>
        <v>3126.6714837000004</v>
      </c>
      <c r="C8" s="33"/>
      <c r="D8" s="37">
        <f>IF(ISERROR(TER_handel_gas_kWh/1000),0,TER_handel_gas_kWh/1000)*0.902</f>
        <v>1607.7949293274</v>
      </c>
      <c r="E8" s="33">
        <f>$C$28*'E Balans VL '!I13/100/3.6*1000000</f>
        <v>102.1120157135904</v>
      </c>
      <c r="F8" s="33">
        <f>$C$28*('E Balans VL '!L13+'E Balans VL '!N13)/100/3.6*1000000</f>
        <v>541.35776269437133</v>
      </c>
      <c r="G8" s="34"/>
      <c r="H8" s="33"/>
      <c r="I8" s="33"/>
      <c r="J8" s="33">
        <f>$C$28*('E Balans VL '!D13+'E Balans VL '!E13)/100/3.6*1000000</f>
        <v>0</v>
      </c>
      <c r="K8" s="33"/>
      <c r="L8" s="33"/>
      <c r="M8" s="33"/>
      <c r="N8" s="33">
        <f>$C$28*'E Balans VL '!Y13/100/3.6*1000000</f>
        <v>3.6800056030269701</v>
      </c>
      <c r="O8" s="33"/>
      <c r="P8" s="33"/>
      <c r="R8" s="32"/>
    </row>
    <row r="9" spans="1:18">
      <c r="A9" s="32" t="s">
        <v>50</v>
      </c>
      <c r="B9" s="37">
        <f t="shared" si="0"/>
        <v>79.190055818999994</v>
      </c>
      <c r="C9" s="33"/>
      <c r="D9" s="37">
        <f>IF(ISERROR(TER_gezond_gas_kWh/1000),0,TER_gezond_gas_kWh/1000)*0.902</f>
        <v>125.44126916639999</v>
      </c>
      <c r="E9" s="33">
        <f>$C$29*'E Balans VL '!I10/100/3.6*1000000</f>
        <v>4.4221716965970655E-3</v>
      </c>
      <c r="F9" s="33">
        <f>$C$29*('E Balans VL '!L10+'E Balans VL '!N10)/100/3.6*1000000</f>
        <v>10.492387797856383</v>
      </c>
      <c r="G9" s="34"/>
      <c r="H9" s="33"/>
      <c r="I9" s="33"/>
      <c r="J9" s="33">
        <f>$C$29*('E Balans VL '!D10+'E Balans VL '!E10)/100/3.6*1000000</f>
        <v>0</v>
      </c>
      <c r="K9" s="33"/>
      <c r="L9" s="33"/>
      <c r="M9" s="33"/>
      <c r="N9" s="33">
        <f>$C$29*'E Balans VL '!Y10/100/3.6*1000000</f>
        <v>0.83936136556705399</v>
      </c>
      <c r="O9" s="33"/>
      <c r="P9" s="33"/>
      <c r="R9" s="32"/>
    </row>
    <row r="10" spans="1:18">
      <c r="A10" s="32" t="s">
        <v>49</v>
      </c>
      <c r="B10" s="37">
        <f t="shared" si="0"/>
        <v>1481.1302032999999</v>
      </c>
      <c r="C10" s="33"/>
      <c r="D10" s="37">
        <f>IF(ISERROR(TER_ander_gas_kWh/1000),0,TER_ander_gas_kWh/1000)*0.902</f>
        <v>489.95840018003997</v>
      </c>
      <c r="E10" s="33">
        <f>$C$30*'E Balans VL '!I14/100/3.6*1000000</f>
        <v>19.126464085695407</v>
      </c>
      <c r="F10" s="33">
        <f>$C$30*('E Balans VL '!L14+'E Balans VL '!N14)/100/3.6*1000000</f>
        <v>977.65157893186222</v>
      </c>
      <c r="G10" s="34"/>
      <c r="H10" s="33"/>
      <c r="I10" s="33"/>
      <c r="J10" s="33">
        <f>$C$30*('E Balans VL '!D14+'E Balans VL '!E14)/100/3.6*1000000</f>
        <v>1.794272876332581E-2</v>
      </c>
      <c r="K10" s="33"/>
      <c r="L10" s="33"/>
      <c r="M10" s="33"/>
      <c r="N10" s="33">
        <f>$C$30*'E Balans VL '!Y14/100/3.6*1000000</f>
        <v>624.58657620856127</v>
      </c>
      <c r="O10" s="33"/>
      <c r="P10" s="33"/>
      <c r="R10" s="32"/>
    </row>
    <row r="11" spans="1:18">
      <c r="A11" s="32" t="s">
        <v>54</v>
      </c>
      <c r="B11" s="37">
        <f t="shared" si="0"/>
        <v>0</v>
      </c>
      <c r="C11" s="33"/>
      <c r="D11" s="37">
        <f>IF(ISERROR(TER_onderwijs_gas_kWh/1000),0,TER_onderwijs_gas_kWh/1000)*0.902</f>
        <v>129.85999840220001</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2846.7088690999999</v>
      </c>
      <c r="C12" s="33"/>
      <c r="D12" s="37">
        <f>IF(ISERROR(TER_rest_gas_kWh/1000),0,TER_rest_gas_kWh/1000)*0.902</f>
        <v>3928.8087328973998</v>
      </c>
      <c r="E12" s="33">
        <f>$C$32*'E Balans VL '!I8/100/3.6*1000000</f>
        <v>38.507893877540639</v>
      </c>
      <c r="F12" s="33">
        <f>$C$32*('E Balans VL '!L8+'E Balans VL '!N8)/100/3.6*1000000</f>
        <v>680.62946518026286</v>
      </c>
      <c r="G12" s="34"/>
      <c r="H12" s="33"/>
      <c r="I12" s="33"/>
      <c r="J12" s="33">
        <f>$C$32*('E Balans VL '!D8+'E Balans VL '!E8)/100/3.6*1000000</f>
        <v>6.232304527820409E-3</v>
      </c>
      <c r="K12" s="33"/>
      <c r="L12" s="33"/>
      <c r="M12" s="33"/>
      <c r="N12" s="33">
        <f>$C$32*'E Balans VL '!Y8/100/3.6*1000000</f>
        <v>221.71263748214454</v>
      </c>
      <c r="O12" s="33"/>
      <c r="P12" s="33"/>
      <c r="R12" s="32"/>
    </row>
    <row r="13" spans="1:18">
      <c r="A13" s="16" t="s">
        <v>477</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10055.586442448999</v>
      </c>
      <c r="C16" s="21">
        <f t="shared" ca="1" si="1"/>
        <v>0</v>
      </c>
      <c r="D16" s="21">
        <f t="shared" ca="1" si="1"/>
        <v>10428.357000743439</v>
      </c>
      <c r="E16" s="21">
        <f t="shared" si="1"/>
        <v>171.16345415996335</v>
      </c>
      <c r="F16" s="21">
        <f t="shared" ca="1" si="1"/>
        <v>2531.1774663991114</v>
      </c>
      <c r="G16" s="21">
        <f t="shared" si="1"/>
        <v>0</v>
      </c>
      <c r="H16" s="21">
        <f t="shared" si="1"/>
        <v>0</v>
      </c>
      <c r="I16" s="21">
        <f t="shared" si="1"/>
        <v>0</v>
      </c>
      <c r="J16" s="21">
        <f t="shared" si="1"/>
        <v>2.417503329114622E-2</v>
      </c>
      <c r="K16" s="21">
        <f t="shared" si="1"/>
        <v>0</v>
      </c>
      <c r="L16" s="21">
        <f t="shared" ca="1" si="1"/>
        <v>0</v>
      </c>
      <c r="M16" s="21">
        <f t="shared" si="1"/>
        <v>0</v>
      </c>
      <c r="N16" s="21">
        <f t="shared" ca="1" si="1"/>
        <v>853.0779882169918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0.21621508297756575</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2174.1694570421955</v>
      </c>
      <c r="C20" s="23">
        <f t="shared" ref="C20:P20" ca="1" si="2">C16*C18</f>
        <v>0</v>
      </c>
      <c r="D20" s="23">
        <f t="shared" ca="1" si="2"/>
        <v>2106.528114150175</v>
      </c>
      <c r="E20" s="23">
        <f t="shared" si="2"/>
        <v>38.85410409431168</v>
      </c>
      <c r="F20" s="23">
        <f t="shared" ca="1" si="2"/>
        <v>675.82438352856275</v>
      </c>
      <c r="G20" s="23">
        <f t="shared" si="2"/>
        <v>0</v>
      </c>
      <c r="H20" s="23">
        <f t="shared" si="2"/>
        <v>0</v>
      </c>
      <c r="I20" s="23">
        <f t="shared" si="2"/>
        <v>0</v>
      </c>
      <c r="J20" s="23">
        <f t="shared" si="2"/>
        <v>8.5579617850657617E-3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1628.3196539</v>
      </c>
      <c r="C26" s="39">
        <f>IF(ISERROR(B26*3.6/1000000/'E Balans VL '!Z12*100),0,B26*3.6/1000000/'E Balans VL '!Z12*100)</f>
        <v>4.3689788772882918E-2</v>
      </c>
      <c r="D26" s="232" t="s">
        <v>621</v>
      </c>
      <c r="F26" s="6"/>
    </row>
    <row r="27" spans="1:18">
      <c r="A27" s="227" t="s">
        <v>52</v>
      </c>
      <c r="B27" s="33">
        <f>IF(ISERROR(TER_horeca_ele_kWh/1000),0,TER_horeca_ele_kWh/1000)</f>
        <v>893.56617662999997</v>
      </c>
      <c r="C27" s="39">
        <f>IF(ISERROR(B27*3.6/1000000/'E Balans VL '!Z9*100),0,B27*3.6/1000000/'E Balans VL '!Z9*100)</f>
        <v>7.098759100767589E-2</v>
      </c>
      <c r="D27" s="232" t="s">
        <v>621</v>
      </c>
      <c r="F27" s="6"/>
    </row>
    <row r="28" spans="1:18">
      <c r="A28" s="167" t="s">
        <v>51</v>
      </c>
      <c r="B28" s="33">
        <f>IF(ISERROR(TER_handel_ele_kWh/1000),0,TER_handel_ele_kWh/1000)</f>
        <v>3126.6714837000004</v>
      </c>
      <c r="C28" s="39">
        <f>IF(ISERROR(B28*3.6/1000000/'E Balans VL '!Z13*100),0,B28*3.6/1000000/'E Balans VL '!Z13*100)</f>
        <v>9.1454771141459779E-2</v>
      </c>
      <c r="D28" s="232" t="s">
        <v>621</v>
      </c>
      <c r="F28" s="6"/>
    </row>
    <row r="29" spans="1:18">
      <c r="A29" s="227" t="s">
        <v>50</v>
      </c>
      <c r="B29" s="33">
        <f>IF(ISERROR(TER_gezond_ele_kWh/1000),0,TER_gezond_ele_kWh/1000)</f>
        <v>79.190055818999994</v>
      </c>
      <c r="C29" s="39">
        <f>IF(ISERROR(B29*3.6/1000000/'E Balans VL '!Z10*100),0,B29*3.6/1000000/'E Balans VL '!Z10*100)</f>
        <v>8.4049083582981611E-3</v>
      </c>
      <c r="D29" s="232" t="s">
        <v>621</v>
      </c>
      <c r="F29" s="6"/>
    </row>
    <row r="30" spans="1:18">
      <c r="A30" s="227" t="s">
        <v>49</v>
      </c>
      <c r="B30" s="33">
        <f>IF(ISERROR(TER_ander_ele_kWh/1000),0,TER_ander_ele_kWh/1000)</f>
        <v>1481.1302032999999</v>
      </c>
      <c r="C30" s="39">
        <f>IF(ISERROR(B30*3.6/1000000/'E Balans VL '!Z14*100),0,B30*3.6/1000000/'E Balans VL '!Z14*100)</f>
        <v>6.889272989331581E-2</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2846.7088690999999</v>
      </c>
      <c r="C32" s="39">
        <f>IF(ISERROR(B32*3.6/1000000/'E Balans VL '!Z8*100),0,B32*3.6/1000000/'E Balans VL '!Z8*100)</f>
        <v>2.3929496907160272E-2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1941.590966318</v>
      </c>
      <c r="C5" s="17">
        <f>IF(ISERROR('Eigen informatie GS &amp; warmtenet'!B59),0,'Eigen informatie GS &amp; warmtenet'!B59)</f>
        <v>0</v>
      </c>
      <c r="D5" s="30">
        <f>SUM(D6:D15)</f>
        <v>1805.20771083708</v>
      </c>
      <c r="E5" s="17">
        <f>SUM(E6:E15)</f>
        <v>327.00157601165546</v>
      </c>
      <c r="F5" s="17">
        <f>SUM(F6:F15)</f>
        <v>1171.1800275840505</v>
      </c>
      <c r="G5" s="18"/>
      <c r="H5" s="17"/>
      <c r="I5" s="17"/>
      <c r="J5" s="17">
        <f>SUM(J6:J15)</f>
        <v>3.8596784521067704</v>
      </c>
      <c r="K5" s="17"/>
      <c r="L5" s="17"/>
      <c r="M5" s="17"/>
      <c r="N5" s="17">
        <f>SUM(N6:N15)</f>
        <v>224.44760901878527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37.626024778000001</v>
      </c>
      <c r="C8" s="33"/>
      <c r="D8" s="37">
        <f>IF( ISERROR(IND_metaal_Gas_kWH/1000),0,IND_metaal_Gas_kWH/1000)*0.902</f>
        <v>0</v>
      </c>
      <c r="E8" s="33">
        <f>C30*'E Balans VL '!I18/100/3.6*1000000</f>
        <v>1.3538981979534608</v>
      </c>
      <c r="F8" s="33">
        <f>C30*'E Balans VL '!L18/100/3.6*1000000+C30*'E Balans VL '!N18/100/3.6*1000000</f>
        <v>16.430065316057142</v>
      </c>
      <c r="G8" s="34"/>
      <c r="H8" s="33"/>
      <c r="I8" s="33"/>
      <c r="J8" s="40">
        <f>C30*'E Balans VL '!D18/100/3.6*1000000+C30*'E Balans VL '!E18/100/3.6*1000000</f>
        <v>0</v>
      </c>
      <c r="K8" s="33"/>
      <c r="L8" s="33"/>
      <c r="M8" s="33"/>
      <c r="N8" s="33">
        <f>C30*'E Balans VL '!Y18/100/3.6*1000000</f>
        <v>1.8857907922801793</v>
      </c>
      <c r="O8" s="33"/>
      <c r="P8" s="33"/>
      <c r="R8" s="32"/>
    </row>
    <row r="9" spans="1:18">
      <c r="A9" s="6" t="s">
        <v>32</v>
      </c>
      <c r="B9" s="37">
        <f t="shared" si="0"/>
        <v>1146.9145113</v>
      </c>
      <c r="C9" s="33"/>
      <c r="D9" s="37">
        <f>IF( ISERROR(IND_andere_gas_kWh/1000),0,IND_andere_gas_kWh/1000)*0.902</f>
        <v>794.22866830383998</v>
      </c>
      <c r="E9" s="33">
        <f>C31*'E Balans VL '!I19/100/3.6*1000000</f>
        <v>292.6666336161187</v>
      </c>
      <c r="F9" s="33">
        <f>C31*'E Balans VL '!L19/100/3.6*1000000+C31*'E Balans VL '!N19/100/3.6*1000000</f>
        <v>987.40718878325094</v>
      </c>
      <c r="G9" s="34"/>
      <c r="H9" s="33"/>
      <c r="I9" s="33"/>
      <c r="J9" s="40">
        <f>C31*'E Balans VL '!D19/100/3.6*1000000+C31*'E Balans VL '!E19/100/3.6*1000000</f>
        <v>0</v>
      </c>
      <c r="K9" s="33"/>
      <c r="L9" s="33"/>
      <c r="M9" s="33"/>
      <c r="N9" s="33">
        <f>C31*'E Balans VL '!Y19/100/3.6*1000000</f>
        <v>90.478134073338211</v>
      </c>
      <c r="O9" s="33"/>
      <c r="P9" s="33"/>
      <c r="R9" s="32"/>
    </row>
    <row r="10" spans="1:18">
      <c r="A10" s="6" t="s">
        <v>40</v>
      </c>
      <c r="B10" s="37">
        <f t="shared" si="0"/>
        <v>280.96514099000001</v>
      </c>
      <c r="C10" s="33"/>
      <c r="D10" s="37">
        <f>IF( ISERROR(IND_voed_gas_kWh/1000),0,IND_voed_gas_kWh/1000)*0.902</f>
        <v>519.89436139717998</v>
      </c>
      <c r="E10" s="33">
        <f>C32*'E Balans VL '!I20/100/3.6*1000000</f>
        <v>7.1425196807197713</v>
      </c>
      <c r="F10" s="33">
        <f>C32*'E Balans VL '!L20/100/3.6*1000000+C32*'E Balans VL '!N20/100/3.6*1000000</f>
        <v>63.578193755540333</v>
      </c>
      <c r="G10" s="34"/>
      <c r="H10" s="33"/>
      <c r="I10" s="33"/>
      <c r="J10" s="40">
        <f>C32*'E Balans VL '!D20/100/3.6*1000000+C32*'E Balans VL '!E20/100/3.6*1000000</f>
        <v>0</v>
      </c>
      <c r="K10" s="33"/>
      <c r="L10" s="33"/>
      <c r="M10" s="33"/>
      <c r="N10" s="33">
        <f>C32*'E Balans VL '!Y20/100/3.6*1000000</f>
        <v>105.36954373095618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476.08528924999996</v>
      </c>
      <c r="C15" s="33"/>
      <c r="D15" s="37">
        <f>IF( ISERROR(IND_rest_gas_kWh/1000),0,IND_rest_gas_kWh/1000)*0.902</f>
        <v>491.08468113606</v>
      </c>
      <c r="E15" s="33">
        <f>C37*'E Balans VL '!I15/100/3.6*1000000</f>
        <v>25.838524516863526</v>
      </c>
      <c r="F15" s="33">
        <f>C37*'E Balans VL '!L15/100/3.6*1000000+C37*'E Balans VL '!N15/100/3.6*1000000</f>
        <v>103.76457972920215</v>
      </c>
      <c r="G15" s="34"/>
      <c r="H15" s="33"/>
      <c r="I15" s="33"/>
      <c r="J15" s="40">
        <f>C37*'E Balans VL '!D15/100/3.6*1000000+C37*'E Balans VL '!E15/100/3.6*1000000</f>
        <v>3.8596784521067704</v>
      </c>
      <c r="K15" s="33"/>
      <c r="L15" s="33"/>
      <c r="M15" s="33"/>
      <c r="N15" s="33">
        <f>C37*'E Balans VL '!Y15/100/3.6*1000000</f>
        <v>26.714140422210697</v>
      </c>
      <c r="O15" s="33"/>
      <c r="P15" s="33"/>
      <c r="R15" s="32"/>
    </row>
    <row r="16" spans="1:18">
      <c r="A16" s="16" t="s">
        <v>477</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1941.590966318</v>
      </c>
      <c r="C18" s="21">
        <f>C5+C16</f>
        <v>0</v>
      </c>
      <c r="D18" s="21">
        <f>MAX((D5+D16),0)</f>
        <v>1805.20771083708</v>
      </c>
      <c r="E18" s="21">
        <f>MAX((E5+E16),0)</f>
        <v>327.00157601165546</v>
      </c>
      <c r="F18" s="21">
        <f>MAX((F5+F16),0)</f>
        <v>1171.1800275840505</v>
      </c>
      <c r="G18" s="21"/>
      <c r="H18" s="21"/>
      <c r="I18" s="21"/>
      <c r="J18" s="21">
        <f>MAX((J5+J16),0)</f>
        <v>3.8596784521067704</v>
      </c>
      <c r="K18" s="21"/>
      <c r="L18" s="21">
        <f>MAX((L5+L16),0)</f>
        <v>0</v>
      </c>
      <c r="M18" s="21"/>
      <c r="N18" s="21">
        <f>MAX((N5+N16),0)</f>
        <v>224.44760901878527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0.21621508297756575</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419.80125189093843</v>
      </c>
      <c r="C22" s="23">
        <f ca="1">C18*C20</f>
        <v>0</v>
      </c>
      <c r="D22" s="23">
        <f>D18*D20</f>
        <v>364.65195758909016</v>
      </c>
      <c r="E22" s="23">
        <f>E18*E20</f>
        <v>74.22935775464579</v>
      </c>
      <c r="F22" s="23">
        <f>F18*F20</f>
        <v>312.7050673649415</v>
      </c>
      <c r="G22" s="23"/>
      <c r="H22" s="23"/>
      <c r="I22" s="23"/>
      <c r="J22" s="23">
        <f>J18*J20</f>
        <v>1.3663261720457966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37.626024778000001</v>
      </c>
      <c r="C30" s="39">
        <f>IF(ISERROR(B30*3.6/1000000/'E Balans VL '!Z18*100),0,B30*3.6/1000000/'E Balans VL '!Z18*100)</f>
        <v>7.972147969747467E-3</v>
      </c>
      <c r="D30" s="232" t="s">
        <v>621</v>
      </c>
    </row>
    <row r="31" spans="1:18">
      <c r="A31" s="6" t="s">
        <v>32</v>
      </c>
      <c r="B31" s="37">
        <f>IF( ISERROR(IND_ander_ele_kWh/1000),0,IND_ander_ele_kWh/1000)</f>
        <v>1146.9145113</v>
      </c>
      <c r="C31" s="39">
        <f>IF(ISERROR(B31*3.6/1000000/'E Balans VL '!Z19*100),0,B31*3.6/1000000/'E Balans VL '!Z19*100)</f>
        <v>4.8276236039412015E-2</v>
      </c>
      <c r="D31" s="232" t="s">
        <v>621</v>
      </c>
    </row>
    <row r="32" spans="1:18">
      <c r="A32" s="167" t="s">
        <v>40</v>
      </c>
      <c r="B32" s="37">
        <f>IF( ISERROR(IND_voed_ele_kWh/1000),0,IND_voed_ele_kWh/1000)</f>
        <v>280.96514099000001</v>
      </c>
      <c r="C32" s="39">
        <f>IF(ISERROR(B32*3.6/1000000/'E Balans VL '!Z20*100),0,B32*3.6/1000000/'E Balans VL '!Z20*100)</f>
        <v>4.6938405704315504E-2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476.08528924999996</v>
      </c>
      <c r="C37" s="39">
        <f>IF(ISERROR(B37*3.6/1000000/'E Balans VL '!Z15*100),0,B37*3.6/1000000/'E Balans VL '!Z15*100)</f>
        <v>3.8436208887886376E-3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892.66174491600009</v>
      </c>
      <c r="C5" s="17">
        <f>'Eigen informatie GS &amp; warmtenet'!B60</f>
        <v>0</v>
      </c>
      <c r="D5" s="30">
        <f>IF(ISERROR(SUM(LB_lb_gas_kWh,LB_rest_gas_kWh)/1000),0,SUM(LB_lb_gas_kWh,LB_rest_gas_kWh)/1000)*0.902</f>
        <v>67473.938195264447</v>
      </c>
      <c r="E5" s="17">
        <f>B17*'E Balans VL '!I25/3.6*1000000/100</f>
        <v>17.68439686244156</v>
      </c>
      <c r="F5" s="17">
        <f>B17*('E Balans VL '!L25/3.6*1000000+'E Balans VL '!N25/3.6*1000000)/100</f>
        <v>3255.2856158527579</v>
      </c>
      <c r="G5" s="18"/>
      <c r="H5" s="17"/>
      <c r="I5" s="17"/>
      <c r="J5" s="17">
        <f>('E Balans VL '!D25+'E Balans VL '!E25)/3.6*1000000*landbouw!B17/100</f>
        <v>211.95386277129478</v>
      </c>
      <c r="K5" s="17"/>
      <c r="L5" s="17">
        <f>L6*(-1)</f>
        <v>0</v>
      </c>
      <c r="M5" s="17"/>
      <c r="N5" s="17">
        <f>N6*(-1)</f>
        <v>0</v>
      </c>
      <c r="O5" s="17"/>
      <c r="P5" s="17"/>
      <c r="R5" s="32"/>
    </row>
    <row r="6" spans="1:18">
      <c r="A6" s="16" t="s">
        <v>477</v>
      </c>
      <c r="B6" s="17" t="s">
        <v>204</v>
      </c>
      <c r="C6" s="17">
        <f>'lokale energieproductie'!O41+'lokale energieproductie'!O34</f>
        <v>32708.571428571431</v>
      </c>
      <c r="D6" s="300">
        <f>('lokale energieproductie'!P34+'lokale energieproductie'!P41)*(-1)</f>
        <v>-65417.14285714287</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892.66174491600009</v>
      </c>
      <c r="C8" s="21">
        <f>C5+C6</f>
        <v>32708.571428571431</v>
      </c>
      <c r="D8" s="21">
        <f>MAX((D5+D6),0)</f>
        <v>2056.7953381215775</v>
      </c>
      <c r="E8" s="21">
        <f>MAX((E5+E6),0)</f>
        <v>17.68439686244156</v>
      </c>
      <c r="F8" s="21">
        <f>MAX((F5+F6),0)</f>
        <v>3255.2856158527579</v>
      </c>
      <c r="G8" s="21"/>
      <c r="H8" s="21"/>
      <c r="I8" s="21"/>
      <c r="J8" s="21">
        <f>MAX((J5+J6),0)</f>
        <v>211.95386277129478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0.21621508297756575</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193.0069332479116</v>
      </c>
      <c r="C12" s="23">
        <f ca="1">C8*C10</f>
        <v>7773.0957983193293</v>
      </c>
      <c r="D12" s="23">
        <f>D8*D10</f>
        <v>415.47265830055869</v>
      </c>
      <c r="E12" s="23">
        <f>E8*E10</f>
        <v>4.0143580877742338</v>
      </c>
      <c r="F12" s="23">
        <f>F8*F10</f>
        <v>869.16125943268639</v>
      </c>
      <c r="G12" s="23"/>
      <c r="H12" s="23"/>
      <c r="I12" s="23"/>
      <c r="J12" s="23">
        <f>J8*J10</f>
        <v>75.03166742103835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0.12587121889197106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133.82957397490287</v>
      </c>
      <c r="C26" s="242">
        <f>B26*'GWP N2O_CH4'!B5</f>
        <v>2810.4210534729605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34.603556644648002</v>
      </c>
      <c r="C27" s="242">
        <f>B27*'GWP N2O_CH4'!B5</f>
        <v>726.67468953760806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1.6797172867192824</v>
      </c>
      <c r="C28" s="242">
        <f>B28*'GWP N2O_CH4'!B4</f>
        <v>520.71235888297758</v>
      </c>
      <c r="D28" s="50"/>
    </row>
    <row r="29" spans="1:4">
      <c r="A29" s="41" t="s">
        <v>266</v>
      </c>
      <c r="B29" s="242">
        <f>B34*'ha_N2O bodem landbouw'!B4</f>
        <v>8.5221747103854</v>
      </c>
      <c r="C29" s="242">
        <f>B29*'GWP N2O_CH4'!B4</f>
        <v>2641.8741602194741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1.917952418282022E-3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4.4315799627255257E-5</v>
      </c>
      <c r="C5" s="427" t="s">
        <v>204</v>
      </c>
      <c r="D5" s="412">
        <f>SUM(D6:D11)</f>
        <v>7.2529487991630337E-5</v>
      </c>
      <c r="E5" s="412">
        <f>SUM(E6:E11)</f>
        <v>3.281428647809887E-4</v>
      </c>
      <c r="F5" s="425" t="s">
        <v>204</v>
      </c>
      <c r="G5" s="412">
        <f>SUM(G6:G11)</f>
        <v>0.11854373552732668</v>
      </c>
      <c r="H5" s="412">
        <f>SUM(H6:H11)</f>
        <v>2.5097442091533192E-2</v>
      </c>
      <c r="I5" s="427" t="s">
        <v>204</v>
      </c>
      <c r="J5" s="427" t="s">
        <v>204</v>
      </c>
      <c r="K5" s="427" t="s">
        <v>204</v>
      </c>
      <c r="L5" s="427" t="s">
        <v>204</v>
      </c>
      <c r="M5" s="412">
        <f>SUM(M6:M11)</f>
        <v>4.4815537730754649E-3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3.7147553652351106E-5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5.8534494042390283E-5</v>
      </c>
      <c r="E6" s="818">
        <f>vkm_GW_PW*SUMIFS(TableVerdeelsleutelVkm[LPG],TableVerdeelsleutelVkm[Voertuigtype],"Lichte voertuigen")*SUMIFS(TableECFTransport[EnergieConsumptieFactor (PJ per km)],TableECFTransport[Index],CONCATENATE($A6,"_LPG_LPG"))</f>
        <v>2.6719618383916252E-4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7.2143489651482734E-2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2.0371194089414311E-2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2.88016852535439E-3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8.9041364466492174E-7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3.0691547507282649E-2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6.2352492471783166E-7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9.6555989415539843E-4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6.2695816667592874E-6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1.3994993949240054E-5</v>
      </c>
      <c r="E8" s="415">
        <f>vkm_NGW_PW*SUMIFS(TableVerdeelsleutelVkm[LPG],TableVerdeelsleutelVkm[Voertuigtype],"Lichte voertuigen")*SUMIFS(TableECFTransport[EnergieConsumptieFactor (PJ per km)],TableECFTransport[Index],CONCATENATE($A8,"_LPG_LPG"))</f>
        <v>6.0946680941826196E-5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1.5343038809265642E-2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4.7256175034287844E-3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6.2432167207783398E-4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8.2506634799468879E-9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3.6565955929565293E-4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6.9737653804212716E-9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1.1503681487842545E-5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12.309944340904238</v>
      </c>
      <c r="C14" s="21"/>
      <c r="D14" s="21">
        <f t="shared" ref="D14:M14" si="0">((D5)*10^9/3600)+D12</f>
        <v>20.147079997675092</v>
      </c>
      <c r="E14" s="21">
        <f t="shared" si="0"/>
        <v>91.150795772496863</v>
      </c>
      <c r="F14" s="21"/>
      <c r="G14" s="21">
        <f t="shared" si="0"/>
        <v>32928.815424257409</v>
      </c>
      <c r="H14" s="21">
        <f t="shared" si="0"/>
        <v>6971.5116920925529</v>
      </c>
      <c r="I14" s="21"/>
      <c r="J14" s="21"/>
      <c r="K14" s="21"/>
      <c r="L14" s="21"/>
      <c r="M14" s="21">
        <f t="shared" si="0"/>
        <v>1244.8760480765181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0.21621508297756575</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2.6615956371178258</v>
      </c>
      <c r="C18" s="23"/>
      <c r="D18" s="23">
        <f t="shared" ref="D18:M18" si="1">D14*D16</f>
        <v>4.0697101595303691</v>
      </c>
      <c r="E18" s="23">
        <f t="shared" si="1"/>
        <v>20.691230640356789</v>
      </c>
      <c r="F18" s="23"/>
      <c r="G18" s="23">
        <f t="shared" si="1"/>
        <v>8791.993718276728</v>
      </c>
      <c r="H18" s="23">
        <f t="shared" si="1"/>
        <v>1735.9064113310458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9.6736653875370427E-6</v>
      </c>
      <c r="C50" s="311">
        <f t="shared" ref="C50:P50" si="2">SUM(C51:C52)</f>
        <v>0</v>
      </c>
      <c r="D50" s="311">
        <f t="shared" si="2"/>
        <v>0</v>
      </c>
      <c r="E50" s="311">
        <f t="shared" si="2"/>
        <v>0</v>
      </c>
      <c r="F50" s="311">
        <f t="shared" si="2"/>
        <v>0</v>
      </c>
      <c r="G50" s="311">
        <f t="shared" si="2"/>
        <v>1.7248350190306847E-3</v>
      </c>
      <c r="H50" s="311">
        <f t="shared" si="2"/>
        <v>0</v>
      </c>
      <c r="I50" s="311">
        <f t="shared" si="2"/>
        <v>0</v>
      </c>
      <c r="J50" s="311">
        <f t="shared" si="2"/>
        <v>0</v>
      </c>
      <c r="K50" s="311">
        <f t="shared" si="2"/>
        <v>0</v>
      </c>
      <c r="L50" s="311">
        <f t="shared" si="2"/>
        <v>0</v>
      </c>
      <c r="M50" s="311">
        <f t="shared" si="2"/>
        <v>5.3842666189783484E-5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9.6736653875370427E-6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1.7248350190306847E-3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5.3842666189783484E-5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2.6871292743158453</v>
      </c>
      <c r="C54" s="21">
        <f t="shared" ref="C54:P54" si="3">(C50)*10^9/3600</f>
        <v>0</v>
      </c>
      <c r="D54" s="21">
        <f t="shared" si="3"/>
        <v>0</v>
      </c>
      <c r="E54" s="21">
        <f t="shared" si="3"/>
        <v>0</v>
      </c>
      <c r="F54" s="21">
        <f t="shared" si="3"/>
        <v>0</v>
      </c>
      <c r="G54" s="21">
        <f t="shared" si="3"/>
        <v>479.12083861963464</v>
      </c>
      <c r="H54" s="21">
        <f t="shared" si="3"/>
        <v>0</v>
      </c>
      <c r="I54" s="21">
        <f t="shared" si="3"/>
        <v>0</v>
      </c>
      <c r="J54" s="21">
        <f t="shared" si="3"/>
        <v>0</v>
      </c>
      <c r="K54" s="21">
        <f t="shared" si="3"/>
        <v>0</v>
      </c>
      <c r="L54" s="21">
        <f t="shared" si="3"/>
        <v>0</v>
      </c>
      <c r="M54" s="21">
        <f t="shared" si="3"/>
        <v>14.956296163828746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0.21621508297756575</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0.58099787901764655</v>
      </c>
      <c r="C58" s="23">
        <f t="shared" ref="C58:P58" ca="1" si="4">C54*C56</f>
        <v>0</v>
      </c>
      <c r="D58" s="23">
        <f t="shared" si="4"/>
        <v>0</v>
      </c>
      <c r="E58" s="23">
        <f t="shared" si="4"/>
        <v>0</v>
      </c>
      <c r="F58" s="23">
        <f t="shared" si="4"/>
        <v>0</v>
      </c>
      <c r="G58" s="23">
        <f t="shared" si="4"/>
        <v>127.92526391144246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2429.6073040749579</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N31</f>
        <v>22896</v>
      </c>
      <c r="C8" s="534">
        <f>B50</f>
        <v>26936.470588235297</v>
      </c>
      <c r="D8" s="961"/>
      <c r="E8" s="961">
        <f>E50</f>
        <v>0</v>
      </c>
      <c r="F8" s="962"/>
      <c r="G8" s="535"/>
      <c r="H8" s="961">
        <f>I50</f>
        <v>0</v>
      </c>
      <c r="I8" s="961">
        <f>G50+F50</f>
        <v>0</v>
      </c>
      <c r="J8" s="961">
        <f>H50+D50+C50</f>
        <v>0</v>
      </c>
      <c r="K8" s="961"/>
      <c r="L8" s="961"/>
      <c r="M8" s="961"/>
      <c r="N8" s="536"/>
      <c r="O8" s="537">
        <f>C8*$C$12+D8*$D$12+E8*$E$12+F8*$F$12+G8*$G$12+H8*$H$12+I8*$I$12+J8*$J$12</f>
        <v>5441.1670588235302</v>
      </c>
      <c r="P8" s="1205"/>
      <c r="Q8" s="1206"/>
      <c r="S8" s="925"/>
      <c r="T8" s="1180"/>
      <c r="U8" s="1180"/>
    </row>
    <row r="9" spans="1:21" s="523" customFormat="1" ht="17.45" customHeight="1" thickBot="1">
      <c r="A9" s="538" t="s">
        <v>237</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25325.607304074958</v>
      </c>
      <c r="C10" s="547">
        <f t="shared" ref="C10:L10" si="0">SUM(C8:C9)</f>
        <v>26936.470588235297</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5441.1670588235302</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O31</f>
        <v>32708.571428571431</v>
      </c>
      <c r="C17" s="559">
        <f>B51</f>
        <v>38480.672268907569</v>
      </c>
      <c r="D17" s="560"/>
      <c r="E17" s="560">
        <f>E51</f>
        <v>0</v>
      </c>
      <c r="F17" s="967"/>
      <c r="G17" s="561"/>
      <c r="H17" s="559">
        <f>I51</f>
        <v>0</v>
      </c>
      <c r="I17" s="560">
        <f>G51+F51</f>
        <v>0</v>
      </c>
      <c r="J17" s="560">
        <f>H51+D51+C51</f>
        <v>0</v>
      </c>
      <c r="K17" s="560"/>
      <c r="L17" s="560"/>
      <c r="M17" s="560"/>
      <c r="N17" s="968"/>
      <c r="O17" s="562">
        <f>C17*$C$22+E17*$E$22+H17*$H$22+I17*$I$22+J17*$J$22+D17*$D$22+F17*$F$22+G17*$G$22+K17*$K$22+L17*$L$22</f>
        <v>7773.0957983193293</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32708.571428571431</v>
      </c>
      <c r="C20" s="546">
        <f>SUM(C17:C19)</f>
        <v>38480.672268907569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7773.0957983193293</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12002</v>
      </c>
      <c r="C28" s="724">
        <v>2590</v>
      </c>
      <c r="D28" s="617"/>
      <c r="E28" s="616"/>
      <c r="F28" s="616"/>
      <c r="G28" s="616" t="s">
        <v>887</v>
      </c>
      <c r="H28" s="616" t="s">
        <v>888</v>
      </c>
      <c r="I28" s="616"/>
      <c r="J28" s="723"/>
      <c r="K28" s="723"/>
      <c r="L28" s="616" t="s">
        <v>889</v>
      </c>
      <c r="M28" s="616">
        <v>1532</v>
      </c>
      <c r="N28" s="616">
        <v>6894</v>
      </c>
      <c r="O28" s="616">
        <v>9848.5714285714294</v>
      </c>
      <c r="P28" s="616">
        <v>19697.142857142859</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12002</v>
      </c>
      <c r="C29" s="724">
        <v>2590</v>
      </c>
      <c r="D29" s="617"/>
      <c r="E29" s="616"/>
      <c r="F29" s="616"/>
      <c r="G29" s="616" t="s">
        <v>887</v>
      </c>
      <c r="H29" s="616" t="s">
        <v>888</v>
      </c>
      <c r="I29" s="616"/>
      <c r="J29" s="723"/>
      <c r="K29" s="723"/>
      <c r="L29" s="616" t="s">
        <v>889</v>
      </c>
      <c r="M29" s="616">
        <v>1558</v>
      </c>
      <c r="N29" s="616">
        <v>7011</v>
      </c>
      <c r="O29" s="616">
        <v>10015.714285714286</v>
      </c>
      <c r="P29" s="616">
        <v>20031.428571428572</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12002</v>
      </c>
      <c r="C30" s="724">
        <v>2590</v>
      </c>
      <c r="D30" s="617"/>
      <c r="E30" s="616"/>
      <c r="F30" s="616"/>
      <c r="G30" s="616" t="s">
        <v>887</v>
      </c>
      <c r="H30" s="616" t="s">
        <v>888</v>
      </c>
      <c r="I30" s="616"/>
      <c r="J30" s="723"/>
      <c r="K30" s="723"/>
      <c r="L30" s="616" t="s">
        <v>889</v>
      </c>
      <c r="M30" s="616">
        <v>1998</v>
      </c>
      <c r="N30" s="616">
        <v>8991</v>
      </c>
      <c r="O30" s="616">
        <v>12844.285714285714</v>
      </c>
      <c r="P30" s="616">
        <v>25688.571428571431</v>
      </c>
      <c r="Q30" s="616">
        <v>0</v>
      </c>
      <c r="R30" s="616">
        <v>0</v>
      </c>
      <c r="S30" s="616">
        <v>0</v>
      </c>
      <c r="T30" s="616">
        <v>0</v>
      </c>
      <c r="U30" s="616">
        <v>0</v>
      </c>
      <c r="V30" s="616">
        <v>0</v>
      </c>
      <c r="W30" s="616">
        <v>0</v>
      </c>
      <c r="X30" s="616"/>
      <c r="Y30" s="616">
        <v>10</v>
      </c>
      <c r="Z30" s="616" t="s">
        <v>105</v>
      </c>
      <c r="AA30" s="618" t="s">
        <v>105</v>
      </c>
    </row>
    <row r="31" spans="1:27" s="554" customFormat="1" hidden="1">
      <c r="A31" s="572" t="s">
        <v>269</v>
      </c>
      <c r="B31" s="573"/>
      <c r="C31" s="573"/>
      <c r="D31" s="573"/>
      <c r="E31" s="573"/>
      <c r="F31" s="573"/>
      <c r="G31" s="573"/>
      <c r="H31" s="573"/>
      <c r="I31" s="573"/>
      <c r="J31" s="573"/>
      <c r="K31" s="573"/>
      <c r="L31" s="574"/>
      <c r="M31" s="574">
        <f>SUM(M28:M30)</f>
        <v>5088</v>
      </c>
      <c r="N31" s="574">
        <f>SUM(N28:N30)</f>
        <v>22896</v>
      </c>
      <c r="O31" s="574">
        <f>SUM(O28:O30)</f>
        <v>32708.571428571431</v>
      </c>
      <c r="P31" s="574">
        <f>SUM(P28:P30)</f>
        <v>65417.14285714287</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276</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277</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278</v>
      </c>
      <c r="B34" s="578"/>
      <c r="C34" s="578"/>
      <c r="D34" s="578"/>
      <c r="E34" s="578"/>
      <c r="F34" s="578"/>
      <c r="G34" s="578"/>
      <c r="H34" s="578"/>
      <c r="I34" s="578"/>
      <c r="J34" s="578"/>
      <c r="K34" s="578"/>
      <c r="L34" s="579"/>
      <c r="M34" s="579">
        <f>SUMIF($AA$28:$AA$30,"landbouw",M28:M30)</f>
        <v>5088</v>
      </c>
      <c r="N34" s="579">
        <f>SUMIF($AA$28:$AA$30,"landbouw",N28:N30)</f>
        <v>22896</v>
      </c>
      <c r="O34" s="579">
        <f>SUMIF($AA$28:$AA$30,"landbouw",O28:O30)</f>
        <v>32708.571428571431</v>
      </c>
      <c r="P34" s="579">
        <f>SUMIF($AA$28:$AA$30,"landbouw",P28:P30)</f>
        <v>65417.14285714287</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270</v>
      </c>
      <c r="B36" s="613" t="s">
        <v>89</v>
      </c>
      <c r="C36" s="613" t="s">
        <v>90</v>
      </c>
      <c r="D36" s="613"/>
      <c r="E36" s="613"/>
      <c r="F36" s="613"/>
      <c r="G36" s="613" t="s">
        <v>91</v>
      </c>
      <c r="H36" s="613" t="s">
        <v>92</v>
      </c>
      <c r="I36" s="613"/>
      <c r="J36" s="613"/>
      <c r="K36" s="613"/>
      <c r="L36" s="613" t="s">
        <v>93</v>
      </c>
      <c r="M36" s="614" t="s">
        <v>287</v>
      </c>
      <c r="N36" s="614" t="s">
        <v>94</v>
      </c>
      <c r="O36" s="614" t="s">
        <v>95</v>
      </c>
      <c r="P36" s="614" t="s">
        <v>522</v>
      </c>
      <c r="Q36" s="614" t="s">
        <v>96</v>
      </c>
      <c r="R36" s="614" t="s">
        <v>97</v>
      </c>
      <c r="S36" s="614" t="s">
        <v>98</v>
      </c>
      <c r="T36" s="614" t="s">
        <v>99</v>
      </c>
      <c r="U36" s="614" t="s">
        <v>100</v>
      </c>
      <c r="V36" s="614" t="s">
        <v>101</v>
      </c>
      <c r="W36" s="613" t="s">
        <v>102</v>
      </c>
      <c r="X36" s="613" t="s">
        <v>886</v>
      </c>
      <c r="Y36" s="613" t="s">
        <v>288</v>
      </c>
      <c r="Z36" s="613" t="s">
        <v>103</v>
      </c>
      <c r="AA36" s="615" t="s">
        <v>289</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269</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276</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277</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278</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271</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272</v>
      </c>
      <c r="C46" s="596" t="s">
        <v>273</v>
      </c>
      <c r="D46" s="596"/>
      <c r="E46" s="596"/>
      <c r="F46" s="596"/>
      <c r="G46" s="596"/>
      <c r="H46" s="596"/>
      <c r="I46" s="597"/>
      <c r="J46" s="596"/>
      <c r="K46" s="596"/>
      <c r="L46" s="596"/>
      <c r="M46" s="596"/>
      <c r="N46" s="596"/>
      <c r="O46" s="596"/>
      <c r="P46" s="591"/>
    </row>
    <row r="47" spans="1:28">
      <c r="A47" s="593" t="s">
        <v>269</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522</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274</v>
      </c>
      <c r="B50" s="608">
        <f t="shared" ref="B50:I50" si="2">$C$47*P31</f>
        <v>26936.470588235297</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275</v>
      </c>
      <c r="B51" s="611">
        <f t="shared" ref="B51:I51" si="3">$B$47*P31</f>
        <v>38480.672268907569</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10678.474442449</v>
      </c>
      <c r="D10" s="930">
        <f ca="1">tertiair!C16</f>
        <v>0</v>
      </c>
      <c r="E10" s="930">
        <f ca="1">tertiair!D16</f>
        <v>10428.357000743439</v>
      </c>
      <c r="F10" s="930">
        <f>tertiair!E16</f>
        <v>171.16345415996335</v>
      </c>
      <c r="G10" s="930">
        <f ca="1">tertiair!F16</f>
        <v>2531.1774663991114</v>
      </c>
      <c r="H10" s="930">
        <f>tertiair!G16</f>
        <v>0</v>
      </c>
      <c r="I10" s="930">
        <f>tertiair!H16</f>
        <v>0</v>
      </c>
      <c r="J10" s="930">
        <f>tertiair!I16</f>
        <v>0</v>
      </c>
      <c r="K10" s="930">
        <f>tertiair!J16</f>
        <v>2.417503329114622E-2</v>
      </c>
      <c r="L10" s="930">
        <f>tertiair!K16</f>
        <v>0</v>
      </c>
      <c r="M10" s="930">
        <f ca="1">tertiair!L16</f>
        <v>0</v>
      </c>
      <c r="N10" s="930">
        <f>tertiair!M16</f>
        <v>0</v>
      </c>
      <c r="O10" s="930">
        <f ca="1">tertiair!N16</f>
        <v>853.0779882169918</v>
      </c>
      <c r="P10" s="930">
        <f>tertiair!O16</f>
        <v>0</v>
      </c>
      <c r="Q10" s="931">
        <f>tertiair!P16</f>
        <v>0</v>
      </c>
      <c r="R10" s="628">
        <f ca="1">SUM(C10:Q10)</f>
        <v>24662.274527001795</v>
      </c>
      <c r="S10" s="67"/>
    </row>
    <row r="11" spans="1:19" s="437" customFormat="1">
      <c r="A11" s="736" t="s">
        <v>214</v>
      </c>
      <c r="B11" s="741"/>
      <c r="C11" s="930">
        <f>huishoudens!B8</f>
        <v>18233.868147365269</v>
      </c>
      <c r="D11" s="930">
        <f>huishoudens!C8</f>
        <v>0</v>
      </c>
      <c r="E11" s="930">
        <f>huishoudens!D8</f>
        <v>47560.154805503997</v>
      </c>
      <c r="F11" s="930">
        <f>huishoudens!E8</f>
        <v>836.09759344858321</v>
      </c>
      <c r="G11" s="930">
        <f>huishoudens!F8</f>
        <v>22731.838617999911</v>
      </c>
      <c r="H11" s="930">
        <f>huishoudens!G8</f>
        <v>0</v>
      </c>
      <c r="I11" s="930">
        <f>huishoudens!H8</f>
        <v>0</v>
      </c>
      <c r="J11" s="930">
        <f>huishoudens!I8</f>
        <v>0</v>
      </c>
      <c r="K11" s="930">
        <f>huishoudens!J8</f>
        <v>419.21570601492647</v>
      </c>
      <c r="L11" s="930">
        <f>huishoudens!K8</f>
        <v>0</v>
      </c>
      <c r="M11" s="930">
        <f>huishoudens!L8</f>
        <v>0</v>
      </c>
      <c r="N11" s="930">
        <f>huishoudens!M8</f>
        <v>0</v>
      </c>
      <c r="O11" s="930">
        <f>huishoudens!N8</f>
        <v>5926.6136321238728</v>
      </c>
      <c r="P11" s="930">
        <f>huishoudens!O8</f>
        <v>154.77000000000001</v>
      </c>
      <c r="Q11" s="931">
        <f>huishoudens!P8</f>
        <v>457.6</v>
      </c>
      <c r="R11" s="628">
        <f>SUM(C11:Q11)</f>
        <v>96320.158502456587</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1941.590966318</v>
      </c>
      <c r="D13" s="930">
        <f>industrie!C18</f>
        <v>0</v>
      </c>
      <c r="E13" s="930">
        <f>industrie!D18</f>
        <v>1805.20771083708</v>
      </c>
      <c r="F13" s="930">
        <f>industrie!E18</f>
        <v>327.00157601165546</v>
      </c>
      <c r="G13" s="930">
        <f>industrie!F18</f>
        <v>1171.1800275840505</v>
      </c>
      <c r="H13" s="930">
        <f>industrie!G18</f>
        <v>0</v>
      </c>
      <c r="I13" s="930">
        <f>industrie!H18</f>
        <v>0</v>
      </c>
      <c r="J13" s="930">
        <f>industrie!I18</f>
        <v>0</v>
      </c>
      <c r="K13" s="930">
        <f>industrie!J18</f>
        <v>3.8596784521067704</v>
      </c>
      <c r="L13" s="930">
        <f>industrie!K18</f>
        <v>0</v>
      </c>
      <c r="M13" s="930">
        <f>industrie!L18</f>
        <v>0</v>
      </c>
      <c r="N13" s="930">
        <f>industrie!M18</f>
        <v>0</v>
      </c>
      <c r="O13" s="930">
        <f>industrie!N18</f>
        <v>224.44760901878527</v>
      </c>
      <c r="P13" s="930">
        <f>industrie!O18</f>
        <v>0</v>
      </c>
      <c r="Q13" s="931">
        <f>industrie!P18</f>
        <v>0</v>
      </c>
      <c r="R13" s="628">
        <f>SUM(C13:Q13)</f>
        <v>5473.2875682216782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30853.933556132266</v>
      </c>
      <c r="D16" s="660">
        <f t="shared" ref="D16:R16" ca="1" si="0">SUM(D9:D15)</f>
        <v>0</v>
      </c>
      <c r="E16" s="660">
        <f t="shared" ca="1" si="0"/>
        <v>59793.719517084515</v>
      </c>
      <c r="F16" s="660">
        <f t="shared" si="0"/>
        <v>1334.262623620202</v>
      </c>
      <c r="G16" s="660">
        <f t="shared" ca="1" si="0"/>
        <v>26434.196111983074</v>
      </c>
      <c r="H16" s="660">
        <f t="shared" si="0"/>
        <v>0</v>
      </c>
      <c r="I16" s="660">
        <f t="shared" si="0"/>
        <v>0</v>
      </c>
      <c r="J16" s="660">
        <f t="shared" si="0"/>
        <v>0</v>
      </c>
      <c r="K16" s="660">
        <f t="shared" si="0"/>
        <v>423.0995595003244</v>
      </c>
      <c r="L16" s="660">
        <f t="shared" si="0"/>
        <v>0</v>
      </c>
      <c r="M16" s="660">
        <f t="shared" ca="1" si="0"/>
        <v>0</v>
      </c>
      <c r="N16" s="660">
        <f t="shared" si="0"/>
        <v>0</v>
      </c>
      <c r="O16" s="660">
        <f t="shared" ca="1" si="0"/>
        <v>7004.13922935965</v>
      </c>
      <c r="P16" s="660">
        <f t="shared" si="0"/>
        <v>154.77000000000001</v>
      </c>
      <c r="Q16" s="660">
        <f t="shared" si="0"/>
        <v>457.6</v>
      </c>
      <c r="R16" s="660">
        <f t="shared" ca="1" si="0"/>
        <v>126455.72059768006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2.6871292743158453</v>
      </c>
      <c r="D19" s="930">
        <f>transport!C54</f>
        <v>0</v>
      </c>
      <c r="E19" s="930">
        <f>transport!D54</f>
        <v>0</v>
      </c>
      <c r="F19" s="930">
        <f>transport!E54</f>
        <v>0</v>
      </c>
      <c r="G19" s="930">
        <f>transport!F54</f>
        <v>0</v>
      </c>
      <c r="H19" s="930">
        <f>transport!G54</f>
        <v>479.12083861963464</v>
      </c>
      <c r="I19" s="930">
        <f>transport!H54</f>
        <v>0</v>
      </c>
      <c r="J19" s="930">
        <f>transport!I54</f>
        <v>0</v>
      </c>
      <c r="K19" s="930">
        <f>transport!J54</f>
        <v>0</v>
      </c>
      <c r="L19" s="930">
        <f>transport!K54</f>
        <v>0</v>
      </c>
      <c r="M19" s="930">
        <f>transport!L54</f>
        <v>0</v>
      </c>
      <c r="N19" s="930">
        <f>transport!M54</f>
        <v>14.956296163828746</v>
      </c>
      <c r="O19" s="930">
        <f>transport!N54</f>
        <v>0</v>
      </c>
      <c r="P19" s="930">
        <f>transport!O54</f>
        <v>0</v>
      </c>
      <c r="Q19" s="931">
        <f>transport!P54</f>
        <v>0</v>
      </c>
      <c r="R19" s="628">
        <f>SUM(C19:Q19)</f>
        <v>496.76426405777926</v>
      </c>
      <c r="S19" s="67"/>
    </row>
    <row r="20" spans="1:19" s="437" customFormat="1">
      <c r="A20" s="736" t="s">
        <v>296</v>
      </c>
      <c r="B20" s="741"/>
      <c r="C20" s="930">
        <f>transport!B14</f>
        <v>12.309944340904238</v>
      </c>
      <c r="D20" s="930">
        <f>transport!C14</f>
        <v>0</v>
      </c>
      <c r="E20" s="930">
        <f>transport!D14</f>
        <v>20.147079997675092</v>
      </c>
      <c r="F20" s="930">
        <f>transport!E14</f>
        <v>91.150795772496863</v>
      </c>
      <c r="G20" s="930">
        <f>transport!F14</f>
        <v>0</v>
      </c>
      <c r="H20" s="930">
        <f>transport!G14</f>
        <v>32928.815424257409</v>
      </c>
      <c r="I20" s="930">
        <f>transport!H14</f>
        <v>6971.5116920925529</v>
      </c>
      <c r="J20" s="930">
        <f>transport!I14</f>
        <v>0</v>
      </c>
      <c r="K20" s="930">
        <f>transport!J14</f>
        <v>0</v>
      </c>
      <c r="L20" s="930">
        <f>transport!K14</f>
        <v>0</v>
      </c>
      <c r="M20" s="930">
        <f>transport!L14</f>
        <v>0</v>
      </c>
      <c r="N20" s="930">
        <f>transport!M14</f>
        <v>1244.8760480765181</v>
      </c>
      <c r="O20" s="930">
        <f>transport!N14</f>
        <v>0</v>
      </c>
      <c r="P20" s="930">
        <f>transport!O14</f>
        <v>0</v>
      </c>
      <c r="Q20" s="931">
        <f>transport!P14</f>
        <v>0</v>
      </c>
      <c r="R20" s="628">
        <f>SUM(C20:Q20)</f>
        <v>41268.810984537558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14.997073615220083</v>
      </c>
      <c r="D22" s="739">
        <f t="shared" ref="D22:R22" si="1">SUM(D18:D21)</f>
        <v>0</v>
      </c>
      <c r="E22" s="739">
        <f t="shared" si="1"/>
        <v>20.147079997675092</v>
      </c>
      <c r="F22" s="739">
        <f t="shared" si="1"/>
        <v>91.150795772496863</v>
      </c>
      <c r="G22" s="739">
        <f t="shared" si="1"/>
        <v>0</v>
      </c>
      <c r="H22" s="739">
        <f t="shared" si="1"/>
        <v>33407.936262877047</v>
      </c>
      <c r="I22" s="739">
        <f t="shared" si="1"/>
        <v>6971.5116920925529</v>
      </c>
      <c r="J22" s="739">
        <f t="shared" si="1"/>
        <v>0</v>
      </c>
      <c r="K22" s="739">
        <f t="shared" si="1"/>
        <v>0</v>
      </c>
      <c r="L22" s="739">
        <f t="shared" si="1"/>
        <v>0</v>
      </c>
      <c r="M22" s="739">
        <f t="shared" si="1"/>
        <v>0</v>
      </c>
      <c r="N22" s="739">
        <f t="shared" si="1"/>
        <v>1259.8323442403469</v>
      </c>
      <c r="O22" s="739">
        <f t="shared" si="1"/>
        <v>0</v>
      </c>
      <c r="P22" s="739">
        <f t="shared" si="1"/>
        <v>0</v>
      </c>
      <c r="Q22" s="739">
        <f t="shared" si="1"/>
        <v>0</v>
      </c>
      <c r="R22" s="739">
        <f t="shared" si="1"/>
        <v>41765.575248595334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892.66174491600009</v>
      </c>
      <c r="D24" s="930">
        <f>+landbouw!C8</f>
        <v>32708.571428571431</v>
      </c>
      <c r="E24" s="930">
        <f>+landbouw!D8</f>
        <v>2056.7953381215775</v>
      </c>
      <c r="F24" s="930">
        <f>+landbouw!E8</f>
        <v>17.68439686244156</v>
      </c>
      <c r="G24" s="930">
        <f>+landbouw!F8</f>
        <v>3255.2856158527579</v>
      </c>
      <c r="H24" s="930">
        <f>+landbouw!G8</f>
        <v>0</v>
      </c>
      <c r="I24" s="930">
        <f>+landbouw!H8</f>
        <v>0</v>
      </c>
      <c r="J24" s="930">
        <f>+landbouw!I8</f>
        <v>0</v>
      </c>
      <c r="K24" s="930">
        <f>+landbouw!J8</f>
        <v>211.95386277129478</v>
      </c>
      <c r="L24" s="930">
        <f>+landbouw!K8</f>
        <v>0</v>
      </c>
      <c r="M24" s="930">
        <f>+landbouw!L8</f>
        <v>0</v>
      </c>
      <c r="N24" s="930">
        <f>+landbouw!M8</f>
        <v>0</v>
      </c>
      <c r="O24" s="930">
        <f>+landbouw!N8</f>
        <v>0</v>
      </c>
      <c r="P24" s="930">
        <f>+landbouw!O8</f>
        <v>0</v>
      </c>
      <c r="Q24" s="931">
        <f>+landbouw!P8</f>
        <v>0</v>
      </c>
      <c r="R24" s="628">
        <f>SUM(C24:Q24)</f>
        <v>39142.952387095502</v>
      </c>
      <c r="S24" s="67"/>
    </row>
    <row r="25" spans="1:19" s="437" customFormat="1" ht="15" thickBot="1">
      <c r="A25" s="758" t="s">
        <v>788</v>
      </c>
      <c r="B25" s="933"/>
      <c r="C25" s="934">
        <f>IF(Onbekend_ele_kWh="---",0,Onbekend_ele_kWh)/1000+IF(REST_rest_ele_kWh="---",0,REST_rest_ele_kWh)/1000</f>
        <v>797.41641203000006</v>
      </c>
      <c r="D25" s="934"/>
      <c r="E25" s="934">
        <f>IF(onbekend_gas_kWh="---",0,onbekend_gas_kWh)/1000+IF(REST_rest_gas_kWh="---",0,REST_rest_gas_kWh)/1000</f>
        <v>1961.9100283999999</v>
      </c>
      <c r="F25" s="934"/>
      <c r="G25" s="934"/>
      <c r="H25" s="934"/>
      <c r="I25" s="934"/>
      <c r="J25" s="934"/>
      <c r="K25" s="934"/>
      <c r="L25" s="934"/>
      <c r="M25" s="934"/>
      <c r="N25" s="934"/>
      <c r="O25" s="934"/>
      <c r="P25" s="934"/>
      <c r="Q25" s="935"/>
      <c r="R25" s="628">
        <f>SUM(C25:Q25)</f>
        <v>2759.3264404299998</v>
      </c>
      <c r="S25" s="67"/>
    </row>
    <row r="26" spans="1:19" s="437" customFormat="1" ht="15.75" thickBot="1">
      <c r="A26" s="633" t="s">
        <v>789</v>
      </c>
      <c r="B26" s="744"/>
      <c r="C26" s="739">
        <f>SUM(C24:C25)</f>
        <v>1690.078156946</v>
      </c>
      <c r="D26" s="739">
        <f t="shared" ref="D26:R26" si="2">SUM(D24:D25)</f>
        <v>32708.571428571431</v>
      </c>
      <c r="E26" s="739">
        <f t="shared" si="2"/>
        <v>4018.7053665215772</v>
      </c>
      <c r="F26" s="739">
        <f t="shared" si="2"/>
        <v>17.68439686244156</v>
      </c>
      <c r="G26" s="739">
        <f t="shared" si="2"/>
        <v>3255.2856158527579</v>
      </c>
      <c r="H26" s="739">
        <f t="shared" si="2"/>
        <v>0</v>
      </c>
      <c r="I26" s="739">
        <f t="shared" si="2"/>
        <v>0</v>
      </c>
      <c r="J26" s="739">
        <f t="shared" si="2"/>
        <v>0</v>
      </c>
      <c r="K26" s="739">
        <f t="shared" si="2"/>
        <v>211.95386277129478</v>
      </c>
      <c r="L26" s="739">
        <f t="shared" si="2"/>
        <v>0</v>
      </c>
      <c r="M26" s="739">
        <f t="shared" si="2"/>
        <v>0</v>
      </c>
      <c r="N26" s="739">
        <f t="shared" si="2"/>
        <v>0</v>
      </c>
      <c r="O26" s="739">
        <f t="shared" si="2"/>
        <v>0</v>
      </c>
      <c r="P26" s="739">
        <f t="shared" si="2"/>
        <v>0</v>
      </c>
      <c r="Q26" s="739">
        <f t="shared" si="2"/>
        <v>0</v>
      </c>
      <c r="R26" s="739">
        <f t="shared" si="2"/>
        <v>41902.278827525501</v>
      </c>
      <c r="S26" s="67"/>
    </row>
    <row r="27" spans="1:19" s="437" customFormat="1" ht="17.25" thickTop="1" thickBot="1">
      <c r="A27" s="634" t="s">
        <v>109</v>
      </c>
      <c r="B27" s="732"/>
      <c r="C27" s="635">
        <f ca="1">C22+C16+C26</f>
        <v>32559.008786693488</v>
      </c>
      <c r="D27" s="635">
        <f t="shared" ref="D27:R27" ca="1" si="3">D22+D16+D26</f>
        <v>32708.571428571431</v>
      </c>
      <c r="E27" s="635">
        <f t="shared" ca="1" si="3"/>
        <v>63832.571963603768</v>
      </c>
      <c r="F27" s="635">
        <f t="shared" si="3"/>
        <v>1443.0978162551405</v>
      </c>
      <c r="G27" s="635">
        <f t="shared" ca="1" si="3"/>
        <v>29689.481727835831</v>
      </c>
      <c r="H27" s="635">
        <f t="shared" si="3"/>
        <v>33407.936262877047</v>
      </c>
      <c r="I27" s="635">
        <f t="shared" si="3"/>
        <v>6971.5116920925529</v>
      </c>
      <c r="J27" s="635">
        <f t="shared" si="3"/>
        <v>0</v>
      </c>
      <c r="K27" s="635">
        <f t="shared" si="3"/>
        <v>635.05342227161918</v>
      </c>
      <c r="L27" s="635">
        <f t="shared" si="3"/>
        <v>0</v>
      </c>
      <c r="M27" s="635">
        <f t="shared" ca="1" si="3"/>
        <v>0</v>
      </c>
      <c r="N27" s="635">
        <f t="shared" si="3"/>
        <v>1259.8323442403469</v>
      </c>
      <c r="O27" s="635">
        <f t="shared" ca="1" si="3"/>
        <v>7004.13922935965</v>
      </c>
      <c r="P27" s="635">
        <f t="shared" si="3"/>
        <v>154.77000000000001</v>
      </c>
      <c r="Q27" s="635">
        <f t="shared" si="3"/>
        <v>457.6</v>
      </c>
      <c r="R27" s="635">
        <f t="shared" ca="1" si="3"/>
        <v>210123.5746738009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2308.8472376479253</v>
      </c>
      <c r="D40" s="930">
        <f ca="1">tertiair!C20</f>
        <v>0</v>
      </c>
      <c r="E40" s="930">
        <f ca="1">tertiair!D20</f>
        <v>2106.528114150175</v>
      </c>
      <c r="F40" s="930">
        <f>tertiair!E20</f>
        <v>38.85410409431168</v>
      </c>
      <c r="G40" s="930">
        <f ca="1">tertiair!F20</f>
        <v>675.82438352856275</v>
      </c>
      <c r="H40" s="930">
        <f>tertiair!G20</f>
        <v>0</v>
      </c>
      <c r="I40" s="930">
        <f>tertiair!H20</f>
        <v>0</v>
      </c>
      <c r="J40" s="930">
        <f>tertiair!I20</f>
        <v>0</v>
      </c>
      <c r="K40" s="930">
        <f>tertiair!J20</f>
        <v>8.5579617850657617E-3</v>
      </c>
      <c r="L40" s="930">
        <f>tertiair!K20</f>
        <v>0</v>
      </c>
      <c r="M40" s="930">
        <f ca="1">tertiair!L20</f>
        <v>0</v>
      </c>
      <c r="N40" s="930">
        <f>tertiair!M20</f>
        <v>0</v>
      </c>
      <c r="O40" s="930">
        <f ca="1">tertiair!N20</f>
        <v>0</v>
      </c>
      <c r="P40" s="930">
        <f>tertiair!O20</f>
        <v>0</v>
      </c>
      <c r="Q40" s="702">
        <f>tertiair!P20</f>
        <v>0</v>
      </c>
      <c r="R40" s="777">
        <f t="shared" ca="1" si="4"/>
        <v>5130.0623973827605</v>
      </c>
    </row>
    <row r="41" spans="1:18">
      <c r="A41" s="749" t="s">
        <v>214</v>
      </c>
      <c r="B41" s="756"/>
      <c r="C41" s="930">
        <f ca="1">huishoudens!B12</f>
        <v>3942.4373144845749</v>
      </c>
      <c r="D41" s="930">
        <f ca="1">huishoudens!C12</f>
        <v>0</v>
      </c>
      <c r="E41" s="930">
        <f>huishoudens!D12</f>
        <v>9607.1512707118072</v>
      </c>
      <c r="F41" s="930">
        <f>huishoudens!E12</f>
        <v>189.7941537128284</v>
      </c>
      <c r="G41" s="930">
        <f>huishoudens!F12</f>
        <v>6069.4009110059769</v>
      </c>
      <c r="H41" s="930">
        <f>huishoudens!G12</f>
        <v>0</v>
      </c>
      <c r="I41" s="930">
        <f>huishoudens!H12</f>
        <v>0</v>
      </c>
      <c r="J41" s="930">
        <f>huishoudens!I12</f>
        <v>0</v>
      </c>
      <c r="K41" s="930">
        <f>huishoudens!J12</f>
        <v>148.40235992928396</v>
      </c>
      <c r="L41" s="930">
        <f>huishoudens!K12</f>
        <v>0</v>
      </c>
      <c r="M41" s="930">
        <f>huishoudens!L12</f>
        <v>0</v>
      </c>
      <c r="N41" s="930">
        <f>huishoudens!M12</f>
        <v>0</v>
      </c>
      <c r="O41" s="930">
        <f>huishoudens!N12</f>
        <v>0</v>
      </c>
      <c r="P41" s="930">
        <f>huishoudens!O12</f>
        <v>0</v>
      </c>
      <c r="Q41" s="702">
        <f>huishoudens!P12</f>
        <v>0</v>
      </c>
      <c r="R41" s="777">
        <f t="shared" ca="1" si="4"/>
        <v>19957.186009844474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419.80125189093843</v>
      </c>
      <c r="D43" s="930">
        <f ca="1">industrie!C22</f>
        <v>0</v>
      </c>
      <c r="E43" s="930">
        <f>industrie!D22</f>
        <v>364.65195758909016</v>
      </c>
      <c r="F43" s="930">
        <f>industrie!E22</f>
        <v>74.22935775464579</v>
      </c>
      <c r="G43" s="930">
        <f>industrie!F22</f>
        <v>312.7050673649415</v>
      </c>
      <c r="H43" s="930">
        <f>industrie!G22</f>
        <v>0</v>
      </c>
      <c r="I43" s="930">
        <f>industrie!H22</f>
        <v>0</v>
      </c>
      <c r="J43" s="930">
        <f>industrie!I22</f>
        <v>0</v>
      </c>
      <c r="K43" s="930">
        <f>industrie!J22</f>
        <v>1.3663261720457966</v>
      </c>
      <c r="L43" s="930">
        <f>industrie!K22</f>
        <v>0</v>
      </c>
      <c r="M43" s="930">
        <f>industrie!L22</f>
        <v>0</v>
      </c>
      <c r="N43" s="930">
        <f>industrie!M22</f>
        <v>0</v>
      </c>
      <c r="O43" s="930">
        <f>industrie!N22</f>
        <v>0</v>
      </c>
      <c r="P43" s="930">
        <f>industrie!O22</f>
        <v>0</v>
      </c>
      <c r="Q43" s="702">
        <f>industrie!P22</f>
        <v>0</v>
      </c>
      <c r="R43" s="776">
        <f t="shared" ca="1" si="4"/>
        <v>1172.7539607716617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6671.085804023438</v>
      </c>
      <c r="D46" s="660">
        <f t="shared" ref="D46:Q46" ca="1" si="5">SUM(D39:D45)</f>
        <v>0</v>
      </c>
      <c r="E46" s="660">
        <f t="shared" ca="1" si="5"/>
        <v>12078.331342451072</v>
      </c>
      <c r="F46" s="660">
        <f t="shared" si="5"/>
        <v>302.87761556178589</v>
      </c>
      <c r="G46" s="660">
        <f t="shared" ca="1" si="5"/>
        <v>7057.9303618994818</v>
      </c>
      <c r="H46" s="660">
        <f t="shared" si="5"/>
        <v>0</v>
      </c>
      <c r="I46" s="660">
        <f t="shared" si="5"/>
        <v>0</v>
      </c>
      <c r="J46" s="660">
        <f t="shared" si="5"/>
        <v>0</v>
      </c>
      <c r="K46" s="660">
        <f t="shared" si="5"/>
        <v>149.77724406311484</v>
      </c>
      <c r="L46" s="660">
        <f t="shared" si="5"/>
        <v>0</v>
      </c>
      <c r="M46" s="660">
        <f t="shared" ca="1" si="5"/>
        <v>0</v>
      </c>
      <c r="N46" s="660">
        <f t="shared" si="5"/>
        <v>0</v>
      </c>
      <c r="O46" s="660">
        <f t="shared" ca="1" si="5"/>
        <v>0</v>
      </c>
      <c r="P46" s="660">
        <f t="shared" si="5"/>
        <v>0</v>
      </c>
      <c r="Q46" s="660">
        <f t="shared" si="5"/>
        <v>0</v>
      </c>
      <c r="R46" s="660">
        <f ca="1">SUM(R39:R45)</f>
        <v>26260.002367998895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0.58099787901764655</v>
      </c>
      <c r="D49" s="930">
        <f ca="1">transport!C58</f>
        <v>0</v>
      </c>
      <c r="E49" s="930">
        <f>transport!D58</f>
        <v>0</v>
      </c>
      <c r="F49" s="930">
        <f>transport!E58</f>
        <v>0</v>
      </c>
      <c r="G49" s="930">
        <f>transport!F58</f>
        <v>0</v>
      </c>
      <c r="H49" s="930">
        <f>transport!G58</f>
        <v>127.92526391144246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128.50626179046012</v>
      </c>
    </row>
    <row r="50" spans="1:18">
      <c r="A50" s="752" t="s">
        <v>296</v>
      </c>
      <c r="B50" s="762"/>
      <c r="C50" s="631">
        <f ca="1">transport!B18</f>
        <v>2.6615956371178258</v>
      </c>
      <c r="D50" s="631">
        <f>transport!C18</f>
        <v>0</v>
      </c>
      <c r="E50" s="631">
        <f>transport!D18</f>
        <v>4.0697101595303691</v>
      </c>
      <c r="F50" s="631">
        <f>transport!E18</f>
        <v>20.691230640356789</v>
      </c>
      <c r="G50" s="631">
        <f>transport!F18</f>
        <v>0</v>
      </c>
      <c r="H50" s="631">
        <f>transport!G18</f>
        <v>8791.993718276728</v>
      </c>
      <c r="I50" s="631">
        <f>transport!H18</f>
        <v>1735.9064113310458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10555.322666044778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3.2425935161354724</v>
      </c>
      <c r="D52" s="660">
        <f t="shared" ref="D52:Q52" ca="1" si="6">SUM(D48:D51)</f>
        <v>0</v>
      </c>
      <c r="E52" s="660">
        <f t="shared" si="6"/>
        <v>4.0697101595303691</v>
      </c>
      <c r="F52" s="660">
        <f t="shared" si="6"/>
        <v>20.691230640356789</v>
      </c>
      <c r="G52" s="660">
        <f t="shared" si="6"/>
        <v>0</v>
      </c>
      <c r="H52" s="660">
        <f t="shared" si="6"/>
        <v>8919.91898218817</v>
      </c>
      <c r="I52" s="660">
        <f t="shared" si="6"/>
        <v>1735.9064113310458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10683.828927835239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193.0069332479116</v>
      </c>
      <c r="D54" s="631">
        <f ca="1">+landbouw!C12</f>
        <v>7773.0957983193293</v>
      </c>
      <c r="E54" s="631">
        <f>+landbouw!D12</f>
        <v>415.47265830055869</v>
      </c>
      <c r="F54" s="631">
        <f>+landbouw!E12</f>
        <v>4.0143580877742338</v>
      </c>
      <c r="G54" s="631">
        <f>+landbouw!F12</f>
        <v>869.16125943268639</v>
      </c>
      <c r="H54" s="631">
        <f>+landbouw!G12</f>
        <v>0</v>
      </c>
      <c r="I54" s="631">
        <f>+landbouw!H12</f>
        <v>0</v>
      </c>
      <c r="J54" s="631">
        <f>+landbouw!I12</f>
        <v>0</v>
      </c>
      <c r="K54" s="631">
        <f>+landbouw!J12</f>
        <v>75.03166742103835</v>
      </c>
      <c r="L54" s="631">
        <f>+landbouw!K12</f>
        <v>0</v>
      </c>
      <c r="M54" s="631">
        <f>+landbouw!L12</f>
        <v>0</v>
      </c>
      <c r="N54" s="631">
        <f>+landbouw!M12</f>
        <v>0</v>
      </c>
      <c r="O54" s="631">
        <f>+landbouw!N12</f>
        <v>0</v>
      </c>
      <c r="P54" s="631">
        <f>+landbouw!O12</f>
        <v>0</v>
      </c>
      <c r="Q54" s="632">
        <f>+landbouw!P12</f>
        <v>0</v>
      </c>
      <c r="R54" s="659">
        <f ca="1">SUM(C54:Q54)</f>
        <v>9329.7826748092994</v>
      </c>
    </row>
    <row r="55" spans="1:18" ht="15" thickBot="1">
      <c r="A55" s="752" t="s">
        <v>788</v>
      </c>
      <c r="B55" s="762"/>
      <c r="C55" s="631">
        <f ca="1">C25*'EF ele_warmte'!B12</f>
        <v>172.41345569473921</v>
      </c>
      <c r="D55" s="631"/>
      <c r="E55" s="631">
        <f>E25*EF_CO2_aardgas</f>
        <v>396.30582573679999</v>
      </c>
      <c r="F55" s="631"/>
      <c r="G55" s="631"/>
      <c r="H55" s="631"/>
      <c r="I55" s="631"/>
      <c r="J55" s="631"/>
      <c r="K55" s="631"/>
      <c r="L55" s="631"/>
      <c r="M55" s="631"/>
      <c r="N55" s="631"/>
      <c r="O55" s="631"/>
      <c r="P55" s="631"/>
      <c r="Q55" s="632"/>
      <c r="R55" s="659">
        <f ca="1">SUM(C55:Q55)</f>
        <v>568.71928143153923</v>
      </c>
    </row>
    <row r="56" spans="1:18" ht="15.75" thickBot="1">
      <c r="A56" s="750" t="s">
        <v>789</v>
      </c>
      <c r="B56" s="763"/>
      <c r="C56" s="660">
        <f ca="1">SUM(C54:C55)</f>
        <v>365.42038894265079</v>
      </c>
      <c r="D56" s="660">
        <f t="shared" ref="D56:Q56" ca="1" si="7">SUM(D54:D55)</f>
        <v>7773.0957983193293</v>
      </c>
      <c r="E56" s="660">
        <f t="shared" si="7"/>
        <v>811.77848403735868</v>
      </c>
      <c r="F56" s="660">
        <f t="shared" si="7"/>
        <v>4.0143580877742338</v>
      </c>
      <c r="G56" s="660">
        <f t="shared" si="7"/>
        <v>869.16125943268639</v>
      </c>
      <c r="H56" s="660">
        <f t="shared" si="7"/>
        <v>0</v>
      </c>
      <c r="I56" s="660">
        <f t="shared" si="7"/>
        <v>0</v>
      </c>
      <c r="J56" s="660">
        <f t="shared" si="7"/>
        <v>0</v>
      </c>
      <c r="K56" s="660">
        <f t="shared" si="7"/>
        <v>75.03166742103835</v>
      </c>
      <c r="L56" s="660">
        <f t="shared" si="7"/>
        <v>0</v>
      </c>
      <c r="M56" s="660">
        <f t="shared" si="7"/>
        <v>0</v>
      </c>
      <c r="N56" s="660">
        <f t="shared" si="7"/>
        <v>0</v>
      </c>
      <c r="O56" s="660">
        <f t="shared" si="7"/>
        <v>0</v>
      </c>
      <c r="P56" s="660">
        <f t="shared" si="7"/>
        <v>0</v>
      </c>
      <c r="Q56" s="661">
        <f t="shared" si="7"/>
        <v>0</v>
      </c>
      <c r="R56" s="662">
        <f ca="1">SUM(R54:R55)</f>
        <v>9898.5019562408379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7039.7487864822242</v>
      </c>
      <c r="D61" s="668">
        <f t="shared" ref="D61:Q61" ca="1" si="8">D46+D52+D56</f>
        <v>7773.0957983193293</v>
      </c>
      <c r="E61" s="668">
        <f t="shared" ca="1" si="8"/>
        <v>12894.179536647962</v>
      </c>
      <c r="F61" s="668">
        <f t="shared" si="8"/>
        <v>327.58320428991686</v>
      </c>
      <c r="G61" s="668">
        <f t="shared" ca="1" si="8"/>
        <v>7927.091621332168</v>
      </c>
      <c r="H61" s="668">
        <f t="shared" si="8"/>
        <v>8919.91898218817</v>
      </c>
      <c r="I61" s="668">
        <f t="shared" si="8"/>
        <v>1735.9064113310458</v>
      </c>
      <c r="J61" s="668">
        <f t="shared" si="8"/>
        <v>0</v>
      </c>
      <c r="K61" s="668">
        <f t="shared" si="8"/>
        <v>224.80891148415319</v>
      </c>
      <c r="L61" s="668">
        <f t="shared" si="8"/>
        <v>0</v>
      </c>
      <c r="M61" s="668">
        <f t="shared" ca="1" si="8"/>
        <v>0</v>
      </c>
      <c r="N61" s="668">
        <f t="shared" si="8"/>
        <v>0</v>
      </c>
      <c r="O61" s="668">
        <f t="shared" ca="1" si="8"/>
        <v>0</v>
      </c>
      <c r="P61" s="668">
        <f t="shared" si="8"/>
        <v>0</v>
      </c>
      <c r="Q61" s="668">
        <f t="shared" si="8"/>
        <v>0</v>
      </c>
      <c r="R61" s="668">
        <f ca="1">R46+R52+R56</f>
        <v>46842.333252074968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0.21621508297756573</v>
      </c>
      <c r="D63" s="709">
        <f t="shared" ca="1" si="9"/>
        <v>0.23764705882352943</v>
      </c>
      <c r="E63" s="941">
        <f t="shared" ca="1" si="9"/>
        <v>0.20200000000000001</v>
      </c>
      <c r="F63" s="709">
        <f t="shared" si="9"/>
        <v>0.22699999999999998</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2429.6073040749579</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22896</v>
      </c>
      <c r="D76" s="951">
        <f>'lokale energieproductie'!C8</f>
        <v>26936.470588235297</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5441.1670588235302</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2429.6073040749579</v>
      </c>
      <c r="C78" s="683">
        <f>SUM(C72:C77)</f>
        <v>22896</v>
      </c>
      <c r="D78" s="684">
        <f t="shared" ref="D78:H78" si="10">SUM(D76:D77)</f>
        <v>26936.470588235297</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5441.1670588235302</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32708.571428571431</v>
      </c>
      <c r="D87" s="705">
        <f>'lokale energieproductie'!C17</f>
        <v>38480.672268907569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7773.0957983193293</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32708.571428571431</v>
      </c>
      <c r="D90" s="683">
        <f t="shared" ref="D90:H90" si="12">SUM(D87:D89)</f>
        <v>38480.672268907569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7773.0957983193293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18233.868147365269</v>
      </c>
      <c r="C4" s="441">
        <f>huishoudens!C8</f>
        <v>0</v>
      </c>
      <c r="D4" s="441">
        <f>huishoudens!D8</f>
        <v>47560.154805503997</v>
      </c>
      <c r="E4" s="441">
        <f>huishoudens!E8</f>
        <v>836.09759344858321</v>
      </c>
      <c r="F4" s="441">
        <f>huishoudens!F8</f>
        <v>22731.838617999911</v>
      </c>
      <c r="G4" s="441">
        <f>huishoudens!G8</f>
        <v>0</v>
      </c>
      <c r="H4" s="441">
        <f>huishoudens!H8</f>
        <v>0</v>
      </c>
      <c r="I4" s="441">
        <f>huishoudens!I8</f>
        <v>0</v>
      </c>
      <c r="J4" s="441">
        <f>huishoudens!J8</f>
        <v>419.21570601492647</v>
      </c>
      <c r="K4" s="441">
        <f>huishoudens!K8</f>
        <v>0</v>
      </c>
      <c r="L4" s="441">
        <f>huishoudens!L8</f>
        <v>0</v>
      </c>
      <c r="M4" s="441">
        <f>huishoudens!M8</f>
        <v>0</v>
      </c>
      <c r="N4" s="441">
        <f>huishoudens!N8</f>
        <v>5926.6136321238728</v>
      </c>
      <c r="O4" s="441">
        <f>huishoudens!O8</f>
        <v>154.77000000000001</v>
      </c>
      <c r="P4" s="442">
        <f>huishoudens!P8</f>
        <v>457.6</v>
      </c>
      <c r="Q4" s="443">
        <f>SUM(B4:P4)</f>
        <v>96320.158502456587</v>
      </c>
    </row>
    <row r="5" spans="1:17">
      <c r="A5" s="440" t="s">
        <v>149</v>
      </c>
      <c r="B5" s="441">
        <f ca="1">tertiair!B16</f>
        <v>10055.586442448999</v>
      </c>
      <c r="C5" s="441">
        <f ca="1">tertiair!C16</f>
        <v>0</v>
      </c>
      <c r="D5" s="441">
        <f ca="1">tertiair!D16</f>
        <v>10428.357000743439</v>
      </c>
      <c r="E5" s="441">
        <f>tertiair!E16</f>
        <v>171.16345415996335</v>
      </c>
      <c r="F5" s="441">
        <f ca="1">tertiair!F16</f>
        <v>2531.1774663991114</v>
      </c>
      <c r="G5" s="441">
        <f>tertiair!G16</f>
        <v>0</v>
      </c>
      <c r="H5" s="441">
        <f>tertiair!H16</f>
        <v>0</v>
      </c>
      <c r="I5" s="441">
        <f>tertiair!I16</f>
        <v>0</v>
      </c>
      <c r="J5" s="441">
        <f>tertiair!J16</f>
        <v>2.417503329114622E-2</v>
      </c>
      <c r="K5" s="441">
        <f>tertiair!K16</f>
        <v>0</v>
      </c>
      <c r="L5" s="441">
        <f ca="1">tertiair!L16</f>
        <v>0</v>
      </c>
      <c r="M5" s="441">
        <f>tertiair!M16</f>
        <v>0</v>
      </c>
      <c r="N5" s="441">
        <f ca="1">tertiair!N16</f>
        <v>853.0779882169918</v>
      </c>
      <c r="O5" s="441">
        <f>tertiair!O16</f>
        <v>0</v>
      </c>
      <c r="P5" s="442">
        <f>tertiair!P16</f>
        <v>0</v>
      </c>
      <c r="Q5" s="440">
        <f t="shared" ref="Q5:Q14" ca="1" si="0">SUM(B5:P5)</f>
        <v>24039.386527001796</v>
      </c>
    </row>
    <row r="6" spans="1:17">
      <c r="A6" s="440" t="s">
        <v>187</v>
      </c>
      <c r="B6" s="441">
        <f>'openbare verlichting'!B8</f>
        <v>622.88800000000003</v>
      </c>
      <c r="C6" s="441"/>
      <c r="D6" s="441"/>
      <c r="E6" s="441"/>
      <c r="F6" s="441"/>
      <c r="G6" s="441"/>
      <c r="H6" s="441"/>
      <c r="I6" s="441"/>
      <c r="J6" s="441"/>
      <c r="K6" s="441"/>
      <c r="L6" s="441"/>
      <c r="M6" s="441"/>
      <c r="N6" s="441"/>
      <c r="O6" s="441"/>
      <c r="P6" s="442"/>
      <c r="Q6" s="440">
        <f t="shared" si="0"/>
        <v>622.88800000000003</v>
      </c>
    </row>
    <row r="7" spans="1:17">
      <c r="A7" s="440" t="s">
        <v>105</v>
      </c>
      <c r="B7" s="441">
        <f>landbouw!B8</f>
        <v>892.66174491600009</v>
      </c>
      <c r="C7" s="441">
        <f>landbouw!C8</f>
        <v>32708.571428571431</v>
      </c>
      <c r="D7" s="441">
        <f>landbouw!D8</f>
        <v>2056.7953381215775</v>
      </c>
      <c r="E7" s="441">
        <f>landbouw!E8</f>
        <v>17.68439686244156</v>
      </c>
      <c r="F7" s="441">
        <f>landbouw!F8</f>
        <v>3255.2856158527579</v>
      </c>
      <c r="G7" s="441">
        <f>landbouw!G8</f>
        <v>0</v>
      </c>
      <c r="H7" s="441">
        <f>landbouw!H8</f>
        <v>0</v>
      </c>
      <c r="I7" s="441">
        <f>landbouw!I8</f>
        <v>0</v>
      </c>
      <c r="J7" s="441">
        <f>landbouw!J8</f>
        <v>211.95386277129478</v>
      </c>
      <c r="K7" s="441">
        <f>landbouw!K8</f>
        <v>0</v>
      </c>
      <c r="L7" s="441">
        <f>landbouw!L8</f>
        <v>0</v>
      </c>
      <c r="M7" s="441">
        <f>landbouw!M8</f>
        <v>0</v>
      </c>
      <c r="N7" s="441">
        <f>landbouw!N8</f>
        <v>0</v>
      </c>
      <c r="O7" s="441">
        <f>landbouw!O8</f>
        <v>0</v>
      </c>
      <c r="P7" s="442">
        <f>landbouw!P8</f>
        <v>0</v>
      </c>
      <c r="Q7" s="440">
        <f t="shared" si="0"/>
        <v>39142.952387095502</v>
      </c>
    </row>
    <row r="8" spans="1:17">
      <c r="A8" s="440" t="s">
        <v>600</v>
      </c>
      <c r="B8" s="441">
        <f>industrie!B18</f>
        <v>1941.590966318</v>
      </c>
      <c r="C8" s="441">
        <f>industrie!C18</f>
        <v>0</v>
      </c>
      <c r="D8" s="441">
        <f>industrie!D18</f>
        <v>1805.20771083708</v>
      </c>
      <c r="E8" s="441">
        <f>industrie!E18</f>
        <v>327.00157601165546</v>
      </c>
      <c r="F8" s="441">
        <f>industrie!F18</f>
        <v>1171.1800275840505</v>
      </c>
      <c r="G8" s="441">
        <f>industrie!G18</f>
        <v>0</v>
      </c>
      <c r="H8" s="441">
        <f>industrie!H18</f>
        <v>0</v>
      </c>
      <c r="I8" s="441">
        <f>industrie!I18</f>
        <v>0</v>
      </c>
      <c r="J8" s="441">
        <f>industrie!J18</f>
        <v>3.8596784521067704</v>
      </c>
      <c r="K8" s="441">
        <f>industrie!K18</f>
        <v>0</v>
      </c>
      <c r="L8" s="441">
        <f>industrie!L18</f>
        <v>0</v>
      </c>
      <c r="M8" s="441">
        <f>industrie!M18</f>
        <v>0</v>
      </c>
      <c r="N8" s="441">
        <f>industrie!N18</f>
        <v>224.44760901878527</v>
      </c>
      <c r="O8" s="441">
        <f>industrie!O18</f>
        <v>0</v>
      </c>
      <c r="P8" s="442">
        <f>industrie!P18</f>
        <v>0</v>
      </c>
      <c r="Q8" s="440">
        <f t="shared" si="0"/>
        <v>5473.2875682216782</v>
      </c>
    </row>
    <row r="9" spans="1:17" s="446" customFormat="1">
      <c r="A9" s="444" t="s">
        <v>549</v>
      </c>
      <c r="B9" s="445">
        <f>transport!B14</f>
        <v>12.309944340904238</v>
      </c>
      <c r="C9" s="445">
        <f>transport!C14</f>
        <v>0</v>
      </c>
      <c r="D9" s="445">
        <f>transport!D14</f>
        <v>20.147079997675092</v>
      </c>
      <c r="E9" s="445">
        <f>transport!E14</f>
        <v>91.150795772496863</v>
      </c>
      <c r="F9" s="445">
        <f>transport!F14</f>
        <v>0</v>
      </c>
      <c r="G9" s="445">
        <f>transport!G14</f>
        <v>32928.815424257409</v>
      </c>
      <c r="H9" s="445">
        <f>transport!H14</f>
        <v>6971.5116920925529</v>
      </c>
      <c r="I9" s="445">
        <f>transport!I14</f>
        <v>0</v>
      </c>
      <c r="J9" s="445">
        <f>transport!J14</f>
        <v>0</v>
      </c>
      <c r="K9" s="445">
        <f>transport!K14</f>
        <v>0</v>
      </c>
      <c r="L9" s="445">
        <f>transport!L14</f>
        <v>0</v>
      </c>
      <c r="M9" s="445">
        <f>transport!M14</f>
        <v>1244.8760480765181</v>
      </c>
      <c r="N9" s="445">
        <f>transport!N14</f>
        <v>0</v>
      </c>
      <c r="O9" s="445">
        <f>transport!O14</f>
        <v>0</v>
      </c>
      <c r="P9" s="445">
        <f>transport!P14</f>
        <v>0</v>
      </c>
      <c r="Q9" s="444">
        <f>SUM(B9:P9)</f>
        <v>41268.810984537558</v>
      </c>
    </row>
    <row r="10" spans="1:17">
      <c r="A10" s="440" t="s">
        <v>539</v>
      </c>
      <c r="B10" s="441">
        <f>transport!B54</f>
        <v>2.6871292743158453</v>
      </c>
      <c r="C10" s="441">
        <f>transport!C54</f>
        <v>0</v>
      </c>
      <c r="D10" s="441">
        <f>transport!D54</f>
        <v>0</v>
      </c>
      <c r="E10" s="441">
        <f>transport!E54</f>
        <v>0</v>
      </c>
      <c r="F10" s="441">
        <f>transport!F54</f>
        <v>0</v>
      </c>
      <c r="G10" s="441">
        <f>transport!G54</f>
        <v>479.12083861963464</v>
      </c>
      <c r="H10" s="441">
        <f>transport!H54</f>
        <v>0</v>
      </c>
      <c r="I10" s="441">
        <f>transport!I54</f>
        <v>0</v>
      </c>
      <c r="J10" s="441">
        <f>transport!J54</f>
        <v>0</v>
      </c>
      <c r="K10" s="441">
        <f>transport!K54</f>
        <v>0</v>
      </c>
      <c r="L10" s="441">
        <f>transport!L54</f>
        <v>0</v>
      </c>
      <c r="M10" s="441">
        <f>transport!M54</f>
        <v>14.956296163828746</v>
      </c>
      <c r="N10" s="441">
        <f>transport!N54</f>
        <v>0</v>
      </c>
      <c r="O10" s="441">
        <f>transport!O54</f>
        <v>0</v>
      </c>
      <c r="P10" s="442">
        <f>transport!P54</f>
        <v>0</v>
      </c>
      <c r="Q10" s="440">
        <f t="shared" si="0"/>
        <v>496.76426405777926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797.41641203000006</v>
      </c>
      <c r="C14" s="448"/>
      <c r="D14" s="448">
        <f>'SEAP template'!E25</f>
        <v>1961.9100283999999</v>
      </c>
      <c r="E14" s="448"/>
      <c r="F14" s="448"/>
      <c r="G14" s="448"/>
      <c r="H14" s="448"/>
      <c r="I14" s="448"/>
      <c r="J14" s="448"/>
      <c r="K14" s="448"/>
      <c r="L14" s="448"/>
      <c r="M14" s="448"/>
      <c r="N14" s="448"/>
      <c r="O14" s="448"/>
      <c r="P14" s="449"/>
      <c r="Q14" s="440">
        <f t="shared" si="0"/>
        <v>2759.3264404299998</v>
      </c>
    </row>
    <row r="15" spans="1:17" s="450" customFormat="1">
      <c r="A15" s="956" t="s">
        <v>543</v>
      </c>
      <c r="B15" s="896">
        <f ca="1">SUM(B4:B14)</f>
        <v>32559.008786693488</v>
      </c>
      <c r="C15" s="896">
        <f t="shared" ref="C15:Q15" ca="1" si="1">SUM(C4:C14)</f>
        <v>32708.571428571431</v>
      </c>
      <c r="D15" s="896">
        <f t="shared" ca="1" si="1"/>
        <v>63832.571963603768</v>
      </c>
      <c r="E15" s="896">
        <f t="shared" si="1"/>
        <v>1443.0978162551405</v>
      </c>
      <c r="F15" s="896">
        <f t="shared" ca="1" si="1"/>
        <v>29689.481727835831</v>
      </c>
      <c r="G15" s="896">
        <f t="shared" si="1"/>
        <v>33407.936262877047</v>
      </c>
      <c r="H15" s="896">
        <f t="shared" si="1"/>
        <v>6971.5116920925529</v>
      </c>
      <c r="I15" s="896">
        <f t="shared" si="1"/>
        <v>0</v>
      </c>
      <c r="J15" s="896">
        <f t="shared" si="1"/>
        <v>635.05342227161918</v>
      </c>
      <c r="K15" s="896">
        <f t="shared" si="1"/>
        <v>0</v>
      </c>
      <c r="L15" s="896">
        <f t="shared" ca="1" si="1"/>
        <v>0</v>
      </c>
      <c r="M15" s="896">
        <f t="shared" si="1"/>
        <v>1259.8323442403469</v>
      </c>
      <c r="N15" s="896">
        <f t="shared" ca="1" si="1"/>
        <v>7004.13922935965</v>
      </c>
      <c r="O15" s="896">
        <f t="shared" si="1"/>
        <v>154.77000000000001</v>
      </c>
      <c r="P15" s="896">
        <f t="shared" si="1"/>
        <v>457.6</v>
      </c>
      <c r="Q15" s="896">
        <f t="shared" ca="1" si="1"/>
        <v>210123.5746738009</v>
      </c>
    </row>
    <row r="17" spans="1:17">
      <c r="A17" s="451" t="s">
        <v>544</v>
      </c>
      <c r="B17" s="714">
        <f ca="1">huishoudens!B10</f>
        <v>0.21621508297756575</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3942.4373144845749</v>
      </c>
      <c r="C22" s="441">
        <f t="shared" ref="C22:C32" ca="1" si="3">C4*$C$17</f>
        <v>0</v>
      </c>
      <c r="D22" s="441">
        <f t="shared" ref="D22:D32" si="4">D4*$D$17</f>
        <v>9607.1512707118072</v>
      </c>
      <c r="E22" s="441">
        <f t="shared" ref="E22:E32" si="5">E4*$E$17</f>
        <v>189.7941537128284</v>
      </c>
      <c r="F22" s="441">
        <f t="shared" ref="F22:F32" si="6">F4*$F$17</f>
        <v>6069.4009110059769</v>
      </c>
      <c r="G22" s="441">
        <f t="shared" ref="G22:G32" si="7">G4*$G$17</f>
        <v>0</v>
      </c>
      <c r="H22" s="441">
        <f t="shared" ref="H22:H32" si="8">H4*$H$17</f>
        <v>0</v>
      </c>
      <c r="I22" s="441">
        <f t="shared" ref="I22:I32" si="9">I4*$I$17</f>
        <v>0</v>
      </c>
      <c r="J22" s="441">
        <f t="shared" ref="J22:J32" si="10">J4*$J$17</f>
        <v>148.40235992928396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19957.186009844474</v>
      </c>
    </row>
    <row r="23" spans="1:17">
      <c r="A23" s="440" t="s">
        <v>149</v>
      </c>
      <c r="B23" s="441">
        <f t="shared" ca="1" si="2"/>
        <v>2174.1694570421955</v>
      </c>
      <c r="C23" s="441">
        <f t="shared" ca="1" si="3"/>
        <v>0</v>
      </c>
      <c r="D23" s="441">
        <f t="shared" ca="1" si="4"/>
        <v>2106.528114150175</v>
      </c>
      <c r="E23" s="441">
        <f t="shared" si="5"/>
        <v>38.85410409431168</v>
      </c>
      <c r="F23" s="441">
        <f t="shared" ca="1" si="6"/>
        <v>675.82438352856275</v>
      </c>
      <c r="G23" s="441">
        <f t="shared" si="7"/>
        <v>0</v>
      </c>
      <c r="H23" s="441">
        <f t="shared" si="8"/>
        <v>0</v>
      </c>
      <c r="I23" s="441">
        <f t="shared" si="9"/>
        <v>0</v>
      </c>
      <c r="J23" s="441">
        <f t="shared" si="10"/>
        <v>8.5579617850657617E-3</v>
      </c>
      <c r="K23" s="441">
        <f t="shared" si="11"/>
        <v>0</v>
      </c>
      <c r="L23" s="441">
        <f t="shared" ca="1" si="12"/>
        <v>0</v>
      </c>
      <c r="M23" s="441">
        <f t="shared" si="13"/>
        <v>0</v>
      </c>
      <c r="N23" s="441">
        <f t="shared" ca="1" si="14"/>
        <v>0</v>
      </c>
      <c r="O23" s="441">
        <f t="shared" si="15"/>
        <v>0</v>
      </c>
      <c r="P23" s="442">
        <f t="shared" si="16"/>
        <v>0</v>
      </c>
      <c r="Q23" s="440">
        <f t="shared" ref="Q23:Q32" ca="1" si="17">SUM(B23:P23)</f>
        <v>4995.3846167770307</v>
      </c>
    </row>
    <row r="24" spans="1:17">
      <c r="A24" s="440" t="s">
        <v>187</v>
      </c>
      <c r="B24" s="441">
        <f t="shared" ca="1" si="2"/>
        <v>134.67778060572999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134.67778060572999</v>
      </c>
    </row>
    <row r="25" spans="1:17">
      <c r="A25" s="440" t="s">
        <v>105</v>
      </c>
      <c r="B25" s="441">
        <f t="shared" ca="1" si="2"/>
        <v>193.0069332479116</v>
      </c>
      <c r="C25" s="441">
        <f t="shared" ca="1" si="3"/>
        <v>7773.0957983193293</v>
      </c>
      <c r="D25" s="441">
        <f t="shared" si="4"/>
        <v>415.47265830055869</v>
      </c>
      <c r="E25" s="441">
        <f t="shared" si="5"/>
        <v>4.0143580877742338</v>
      </c>
      <c r="F25" s="441">
        <f t="shared" si="6"/>
        <v>869.16125943268639</v>
      </c>
      <c r="G25" s="441">
        <f t="shared" si="7"/>
        <v>0</v>
      </c>
      <c r="H25" s="441">
        <f t="shared" si="8"/>
        <v>0</v>
      </c>
      <c r="I25" s="441">
        <f t="shared" si="9"/>
        <v>0</v>
      </c>
      <c r="J25" s="441">
        <f t="shared" si="10"/>
        <v>75.03166742103835</v>
      </c>
      <c r="K25" s="441">
        <f t="shared" si="11"/>
        <v>0</v>
      </c>
      <c r="L25" s="441">
        <f t="shared" si="12"/>
        <v>0</v>
      </c>
      <c r="M25" s="441">
        <f t="shared" si="13"/>
        <v>0</v>
      </c>
      <c r="N25" s="441">
        <f t="shared" si="14"/>
        <v>0</v>
      </c>
      <c r="O25" s="441">
        <f t="shared" si="15"/>
        <v>0</v>
      </c>
      <c r="P25" s="442">
        <f t="shared" si="16"/>
        <v>0</v>
      </c>
      <c r="Q25" s="440">
        <f t="shared" ca="1" si="17"/>
        <v>9329.7826748092994</v>
      </c>
    </row>
    <row r="26" spans="1:17">
      <c r="A26" s="440" t="s">
        <v>600</v>
      </c>
      <c r="B26" s="441">
        <f t="shared" ca="1" si="2"/>
        <v>419.80125189093843</v>
      </c>
      <c r="C26" s="441">
        <f t="shared" ca="1" si="3"/>
        <v>0</v>
      </c>
      <c r="D26" s="441">
        <f t="shared" si="4"/>
        <v>364.65195758909016</v>
      </c>
      <c r="E26" s="441">
        <f t="shared" si="5"/>
        <v>74.22935775464579</v>
      </c>
      <c r="F26" s="441">
        <f t="shared" si="6"/>
        <v>312.7050673649415</v>
      </c>
      <c r="G26" s="441">
        <f t="shared" si="7"/>
        <v>0</v>
      </c>
      <c r="H26" s="441">
        <f t="shared" si="8"/>
        <v>0</v>
      </c>
      <c r="I26" s="441">
        <f t="shared" si="9"/>
        <v>0</v>
      </c>
      <c r="J26" s="441">
        <f t="shared" si="10"/>
        <v>1.3663261720457966</v>
      </c>
      <c r="K26" s="441">
        <f t="shared" si="11"/>
        <v>0</v>
      </c>
      <c r="L26" s="441">
        <f t="shared" si="12"/>
        <v>0</v>
      </c>
      <c r="M26" s="441">
        <f t="shared" si="13"/>
        <v>0</v>
      </c>
      <c r="N26" s="441">
        <f t="shared" si="14"/>
        <v>0</v>
      </c>
      <c r="O26" s="441">
        <f t="shared" si="15"/>
        <v>0</v>
      </c>
      <c r="P26" s="442">
        <f t="shared" si="16"/>
        <v>0</v>
      </c>
      <c r="Q26" s="440">
        <f t="shared" ca="1" si="17"/>
        <v>1172.7539607716617</v>
      </c>
    </row>
    <row r="27" spans="1:17" s="446" customFormat="1">
      <c r="A27" s="444" t="s">
        <v>549</v>
      </c>
      <c r="B27" s="708">
        <f t="shared" ca="1" si="2"/>
        <v>2.6615956371178258</v>
      </c>
      <c r="C27" s="445">
        <f t="shared" ca="1" si="3"/>
        <v>0</v>
      </c>
      <c r="D27" s="445">
        <f t="shared" si="4"/>
        <v>4.0697101595303691</v>
      </c>
      <c r="E27" s="445">
        <f t="shared" si="5"/>
        <v>20.691230640356789</v>
      </c>
      <c r="F27" s="445">
        <f t="shared" si="6"/>
        <v>0</v>
      </c>
      <c r="G27" s="445">
        <f t="shared" si="7"/>
        <v>8791.993718276728</v>
      </c>
      <c r="H27" s="445">
        <f t="shared" si="8"/>
        <v>1735.9064113310458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10555.322666044778</v>
      </c>
    </row>
    <row r="28" spans="1:17">
      <c r="A28" s="440" t="s">
        <v>539</v>
      </c>
      <c r="B28" s="441">
        <f t="shared" ca="1" si="2"/>
        <v>0.58099787901764655</v>
      </c>
      <c r="C28" s="441">
        <f t="shared" ca="1" si="3"/>
        <v>0</v>
      </c>
      <c r="D28" s="441">
        <f t="shared" si="4"/>
        <v>0</v>
      </c>
      <c r="E28" s="441">
        <f t="shared" si="5"/>
        <v>0</v>
      </c>
      <c r="F28" s="441">
        <f t="shared" si="6"/>
        <v>0</v>
      </c>
      <c r="G28" s="441">
        <f t="shared" si="7"/>
        <v>127.92526391144246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128.50626179046012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172.41345569473921</v>
      </c>
      <c r="C32" s="441">
        <f t="shared" ca="1" si="3"/>
        <v>0</v>
      </c>
      <c r="D32" s="441">
        <f t="shared" si="4"/>
        <v>396.30582573679999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568.71928143153923</v>
      </c>
    </row>
    <row r="33" spans="1:17" s="450" customFormat="1">
      <c r="A33" s="956" t="s">
        <v>543</v>
      </c>
      <c r="B33" s="896">
        <f ca="1">SUM(B22:B32)</f>
        <v>7039.7487864822251</v>
      </c>
      <c r="C33" s="896">
        <f t="shared" ref="C33:Q33" ca="1" si="18">SUM(C22:C32)</f>
        <v>7773.0957983193293</v>
      </c>
      <c r="D33" s="896">
        <f t="shared" ca="1" si="18"/>
        <v>12894.179536647962</v>
      </c>
      <c r="E33" s="896">
        <f t="shared" si="18"/>
        <v>327.58320428991686</v>
      </c>
      <c r="F33" s="896">
        <f t="shared" ca="1" si="18"/>
        <v>7927.091621332168</v>
      </c>
      <c r="G33" s="896">
        <f t="shared" si="18"/>
        <v>8919.91898218817</v>
      </c>
      <c r="H33" s="896">
        <f t="shared" si="18"/>
        <v>1735.9064113310458</v>
      </c>
      <c r="I33" s="896">
        <f t="shared" si="18"/>
        <v>0</v>
      </c>
      <c r="J33" s="896">
        <f t="shared" si="18"/>
        <v>224.80891148415319</v>
      </c>
      <c r="K33" s="896">
        <f t="shared" si="18"/>
        <v>0</v>
      </c>
      <c r="L33" s="896">
        <f t="shared" ca="1" si="18"/>
        <v>0</v>
      </c>
      <c r="M33" s="896">
        <f t="shared" si="18"/>
        <v>0</v>
      </c>
      <c r="N33" s="896">
        <f t="shared" ca="1" si="18"/>
        <v>0</v>
      </c>
      <c r="O33" s="896">
        <f t="shared" si="18"/>
        <v>0</v>
      </c>
      <c r="P33" s="896">
        <f t="shared" si="18"/>
        <v>0</v>
      </c>
      <c r="Q33" s="896">
        <f t="shared" ca="1" si="18"/>
        <v>46842.333252074975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2429.6073040749579</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22896</v>
      </c>
      <c r="D8" s="973">
        <f>'SEAP template'!D76</f>
        <v>26936.470588235297</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5441.1670588235302</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2429.6073040749579</v>
      </c>
      <c r="C10" s="977">
        <f>SUM(C4:C9)</f>
        <v>22896</v>
      </c>
      <c r="D10" s="977">
        <f t="shared" ref="D10:H10" si="0">SUM(D8:D9)</f>
        <v>26936.470588235297</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5441.1670588235302</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0.21621508297756575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32708.571428571431</v>
      </c>
      <c r="D17" s="974">
        <f>'SEAP template'!D87</f>
        <v>38480.672268907569</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7773.0957983193293</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32708.571428571431</v>
      </c>
      <c r="D20" s="977">
        <f t="shared" ref="D20:H20" si="2">SUM(D17:D19)</f>
        <v>38480.672268907569</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7773.0957983193293</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0.21621508297756575</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2022-07-26T10:57:47Z</dcterms:modified>
</cp:coreProperties>
</file>