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F7DE3296-B41C-471E-8A2D-80485131D899}"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42" i="18"/>
  <c r="V42" i="18"/>
  <c r="U42" i="18"/>
  <c r="T42" i="18"/>
  <c r="S42" i="18"/>
  <c r="R42" i="18"/>
  <c r="Q42" i="18"/>
  <c r="P42" i="18"/>
  <c r="O42" i="18"/>
  <c r="N42" i="18"/>
  <c r="M42" i="18"/>
  <c r="W41" i="18"/>
  <c r="V41" i="18"/>
  <c r="U41" i="18"/>
  <c r="T41" i="18"/>
  <c r="S41" i="18"/>
  <c r="R41" i="18"/>
  <c r="Q41" i="18"/>
  <c r="P41" i="18"/>
  <c r="O41" i="18"/>
  <c r="N41" i="18"/>
  <c r="M41" i="18"/>
  <c r="W40" i="18"/>
  <c r="V40" i="18"/>
  <c r="U40" i="18"/>
  <c r="T40" i="18"/>
  <c r="S40" i="18"/>
  <c r="R40" i="18"/>
  <c r="Q40" i="18"/>
  <c r="P40" i="18"/>
  <c r="O40" i="18"/>
  <c r="N40" i="18"/>
  <c r="M40" i="18"/>
  <c r="W39" i="18"/>
  <c r="H9" i="18"/>
  <c r="M77" i="14"/>
  <c r="M9" i="59"/>
  <c r="V39" i="18"/>
  <c r="U39" i="18"/>
  <c r="T39" i="18"/>
  <c r="S39" i="18"/>
  <c r="E9" i="18"/>
  <c r="F77" i="14"/>
  <c r="F9" i="59"/>
  <c r="R39" i="18"/>
  <c r="Q39" i="18"/>
  <c r="P39" i="18"/>
  <c r="C9" i="18"/>
  <c r="D77" i="14"/>
  <c r="D9" i="59"/>
  <c r="O39" i="18"/>
  <c r="N39" i="18"/>
  <c r="B9" i="18"/>
  <c r="M39" i="18"/>
  <c r="W35" i="18"/>
  <c r="V35" i="18"/>
  <c r="U35" i="18"/>
  <c r="T35" i="18"/>
  <c r="S35" i="18"/>
  <c r="R35" i="18"/>
  <c r="Q35" i="18"/>
  <c r="P35" i="18"/>
  <c r="O35" i="18"/>
  <c r="N35" i="18"/>
  <c r="M35" i="18"/>
  <c r="W34" i="18"/>
  <c r="V34" i="18"/>
  <c r="U34" i="18"/>
  <c r="T34" i="18"/>
  <c r="S34" i="18"/>
  <c r="F13" i="15"/>
  <c r="R34" i="18"/>
  <c r="Q34" i="18"/>
  <c r="P34" i="18"/>
  <c r="O34" i="18"/>
  <c r="C13" i="15"/>
  <c r="N34" i="18"/>
  <c r="B13" i="15"/>
  <c r="M34" i="18"/>
  <c r="W33" i="18"/>
  <c r="V33" i="18"/>
  <c r="U33" i="18"/>
  <c r="T33" i="18"/>
  <c r="S33" i="18"/>
  <c r="R33" i="18"/>
  <c r="Q33" i="18"/>
  <c r="P33" i="18"/>
  <c r="O33" i="18"/>
  <c r="N33" i="18"/>
  <c r="M33" i="18"/>
  <c r="W32" i="18"/>
  <c r="V32" i="18"/>
  <c r="U32" i="18"/>
  <c r="T32" i="18"/>
  <c r="S32" i="18"/>
  <c r="R32" i="18"/>
  <c r="Q32" i="18"/>
  <c r="P32" i="18"/>
  <c r="O32" i="18"/>
  <c r="N32" i="18"/>
  <c r="B8" i="18"/>
  <c r="M32"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8" i="18"/>
  <c r="I9" i="18"/>
  <c r="I77" i="14"/>
  <c r="I9" i="59"/>
  <c r="B17" i="18"/>
  <c r="B20" i="18"/>
  <c r="C6" i="17"/>
  <c r="E10" i="59"/>
  <c r="G77" i="14"/>
  <c r="G9" i="59"/>
  <c r="G10" i="59"/>
  <c r="J9" i="18"/>
  <c r="J77" i="14"/>
  <c r="J9" i="59"/>
  <c r="E20" i="59"/>
  <c r="C48" i="18"/>
  <c r="I51"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51" i="18"/>
  <c r="I52" i="18"/>
  <c r="H17" i="18"/>
  <c r="E52" i="18"/>
  <c r="E17" i="18"/>
  <c r="H52" i="18"/>
  <c r="D52" i="18"/>
  <c r="G52" i="18"/>
  <c r="C52" i="18"/>
  <c r="F52" i="18"/>
  <c r="B52" i="18"/>
  <c r="C17" i="18"/>
  <c r="Q14" i="48"/>
  <c r="O24" i="48"/>
  <c r="O30" i="48"/>
  <c r="P24" i="48"/>
  <c r="P30" i="48"/>
  <c r="E78" i="14"/>
  <c r="E90" i="14"/>
  <c r="N78" i="14"/>
  <c r="B51" i="18"/>
  <c r="C8" i="18"/>
  <c r="C10" i="18"/>
  <c r="Q77" i="14"/>
  <c r="P9" i="59"/>
  <c r="O9" i="18"/>
  <c r="G78" i="14"/>
  <c r="C77" i="14"/>
  <c r="C9" i="59"/>
  <c r="F51" i="18"/>
  <c r="G51" i="18"/>
  <c r="I8" i="18"/>
  <c r="H51" i="18"/>
  <c r="C51" i="18"/>
  <c r="E51"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<sst xmlns="http://schemas.openxmlformats.org/spreadsheetml/2006/main" count="2426" uniqueCount="891">
  <si>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</si>
  <si>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</si>
  <si>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</si>
  <si>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</si>
  <si>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</si>
  <si>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</si>
  <si>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</si>
  <si>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</si>
  <si>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</si>
  <si>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</si>
  <si>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</si>
  <si>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</si>
  <si>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</si>
  <si>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</si>
  <si>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</si>
  <si>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</si>
  <si>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</si>
  <si>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</si>
  <si>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</si>
  <si>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</si>
  <si>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</si>
  <si>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</si>
  <si>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</si>
  <si>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</si>
  <si>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</si>
  <si>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</si>
  <si>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</si>
  <si>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</si>
  <si>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</si>
  <si>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</si>
  <si>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</si>
  <si>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</si>
  <si>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</si>
  <si>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</si>
  <si>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</si>
  <si>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</si>
  <si>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</si>
  <si>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</si>
  <si>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</si>
  <si>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</si>
  <si>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</si>
  <si>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</si>
  <si>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</si>
  <si>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</si>
  <si>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</si>
  <si>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</si>
  <si>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</si>
  <si>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</si>
  <si>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</si>
  <si>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</si>
  <si>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</si>
  <si>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</si>
  <si>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</si>
  <si>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</si>
  <si>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</si>
  <si>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</si>
  <si>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</si>
  <si>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</si>
  <si>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</si>
  <si>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</si>
  <si>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</si>
  <si>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</si>
  <si>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</si>
  <si>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</si>
  <si>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</si>
  <si>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</si>
  <si>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</si>
  <si>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</si>
  <si>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</si>
  <si>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</si>
  <si>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</si>
  <si>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</si>
  <si>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</si>
  <si>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</si>
  <si>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</si>
  <si>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</si>
  <si>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</si>
  <si>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</si>
  <si>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</si>
  <si>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</si>
  <si>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</si>
  <si>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</si>
  <si>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</si>
  <si>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</si>
  <si>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</si>
  <si>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</si>
  <si>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</si>
  <si>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</si>
  <si>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</si>
  <si>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</si>
  <si>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</si>
  <si>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</si>
  <si>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</si>
  <si>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</si>
  <si>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</si>
  <si>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</si>
  <si>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</si>
  <si>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</si>
  <si>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</si>
  <si>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</si>
  <si>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</si>
  <si>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</si>
  <si>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</si>
  <si>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</si>
  <si>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</si>
  <si>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</si>
  <si>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</si>
  <si>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</si>
  <si>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</si>
  <si>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</si>
  <si>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</si>
  <si>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</si>
  <si>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</si>
  <si>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</si>
  <si>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</si>
  <si>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</si>
  <si>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</si>
  <si>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</si>
  <si>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</si>
  <si>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</si>
  <si>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</si>
  <si>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</si>
  <si>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</si>
  <si>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</si>
  <si>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</si>
  <si>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</si>
  <si>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</si>
  <si>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</si>
  <si>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</si>
  <si>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</si>
  <si>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</si>
  <si>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</si>
  <si>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</si>
  <si>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</si>
  <si>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</si>
  <si>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</si>
  <si>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</si>
  <si>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</si>
  <si>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</si>
  <si>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</si>
  <si>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</si>
  <si>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</si>
  <si>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</si>
  <si>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</si>
  <si>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</si>
  <si>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</si>
  <si>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</si>
  <si>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</si>
  <si>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</si>
  <si>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</si>
  <si>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</si>
  <si>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</si>
  <si>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</si>
  <si>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</si>
  <si>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</si>
  <si>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</si>
  <si>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</si>
  <si>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</si>
  <si>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</si>
  <si>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</si>
  <si>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</si>
  <si>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</si>
  <si>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</si>
  <si>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</si>
  <si>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</si>
  <si>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</si>
  <si>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</si>
  <si>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</si>
  <si>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</si>
  <si>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</si>
  <si>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</si>
  <si>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</si>
  <si>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</si>
  <si>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</si>
  <si>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</si>
  <si>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</si>
  <si>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</si>
  <si>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</si>
  <si>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</si>
  <si>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</si>
  <si>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</si>
  <si>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</si>
  <si>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</si>
  <si>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</si>
  <si>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</si>
  <si>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</si>
  <si>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</si>
  <si>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</si>
  <si>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</si>
  <si>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</si>
  <si>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</si>
  <si>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</si>
  <si>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</si>
  <si>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</si>
  <si>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</si>
  <si>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</si>
  <si>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</si>
  <si>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</si>
  <si>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</si>
  <si>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</si>
  <si>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</si>
  <si>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</si>
  <si>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</si>
  <si>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</si>
  <si>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</si>
  <si>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</si>
  <si>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</si>
  <si>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</si>
  <si>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</si>
  <si>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</si>
  <si>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</si>
  <si>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</si>
  <si>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</si>
  <si>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</si>
  <si>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</si>
  <si>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</si>
  <si>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</si>
  <si>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</si>
  <si>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</si>
  <si>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</si>
  <si>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</si>
  <si>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</si>
  <si>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</si>
  <si>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</si>
  <si>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</si>
  <si>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</si>
  <si>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</si>
  <si>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</si>
  <si>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</si>
  <si>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</si>
  <si>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</si>
  <si>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</si>
  <si>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</si>
  <si>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</si>
  <si>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</si>
  <si>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</si>
  <si>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</si>
  <si>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</si>
  <si>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</si>
  <si>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</si>
  <si>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</si>
  <si>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</si>
  <si>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</si>
  <si>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</si>
  <si>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</si>
  <si>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</si>
  <si>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</si>
  <si>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</si>
  <si>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</si>
  <si>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</si>
  <si>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</si>
  <si>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</si>
  <si>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</si>
  <si>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</si>
  <si>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</si>
  <si>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</si>
  <si>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</si>
  <si>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</si>
  <si>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</si>
  <si>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</si>
  <si>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</si>
  <si>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</si>
  <si>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</si>
  <si>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</si>
  <si>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</si>
  <si>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</si>
  <si>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</si>
  <si>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</si>
  <si>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</si>
  <si>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</si>
  <si>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</si>
  <si>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</si>
  <si>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</si>
  <si>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</si>
  <si>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</si>
  <si>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</si>
  <si>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</si>
  <si>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</si>
  <si>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</si>
  <si>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</si>
  <si>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</si>
  <si>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</si>
  <si>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</si>
  <si>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</si>
  <si>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</si>
  <si>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</si>
  <si>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</si>
  <si>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</si>
  <si>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</si>
  <si>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</si>
  <si>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</si>
  <si>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</si>
  <si>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</si>
  <si>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</si>
  <si>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</si>
  <si>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</si>
  <si>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</si>
  <si>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</si>
  <si>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</si>
  <si>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</si>
  <si>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</si>
  <si>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</si>
  <si>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</si>
  <si>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</si>
  <si>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</si>
  <si>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</si>
  <si>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</si>
  <si>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</si>
  <si>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</si>
  <si>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</si>
  <si>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</si>
  <si>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</si>
  <si>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</si>
  <si>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</si>
  <si>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</si>
  <si>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</si>
  <si>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</si>
  <si>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</si>
  <si>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</si>
  <si>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</si>
  <si>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</si>
  <si>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</si>
  <si>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</si>
  <si>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</si>
  <si>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</si>
  <si>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</si>
  <si>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</si>
  <si>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</si>
  <si>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</si>
  <si>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</si>
  <si>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</si>
  <si>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</si>
  <si>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</si>
  <si>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</si>
  <si>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</si>
  <si>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</si>
  <si>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</si>
  <si>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</si>
  <si>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</si>
  <si>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</si>
  <si>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</si>
  <si>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</si>
  <si>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</si>
  <si>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</si>
  <si>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</si>
  <si>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</si>
  <si>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</si>
  <si>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</si>
  <si>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</si>
  <si>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</si>
  <si>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</si>
  <si>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</si>
  <si>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</si>
  <si>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</si>
  <si>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</si>
  <si>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</si>
  <si>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</si>
  <si>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</si>
  <si>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</si>
  <si>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</si>
  <si>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</si>
  <si>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</si>
  <si>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</si>
  <si>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</si>
  <si>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</si>
  <si>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</si>
  <si>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</si>
  <si>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</si>
  <si>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</si>
  <si>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</si>
  <si>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</si>
  <si>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</si>
  <si>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</si>
  <si>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</si>
  <si>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</si>
  <si>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</si>
  <si>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</si>
  <si>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</si>
  <si>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</si>
  <si>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</si>
  <si>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</si>
  <si>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</si>
  <si>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</si>
  <si>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</si>
  <si>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</si>
  <si>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</si>
  <si>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</si>
  <si>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</si>
  <si>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</si>
  <si>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</si>
  <si>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</si>
  <si>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</si>
  <si>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</si>
  <si>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</si>
  <si>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</si>
  <si>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</si>
  <si>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</si>
  <si>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</si>
  <si>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</si>
  <si>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</si>
  <si>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</si>
  <si>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</si>
  <si>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</si>
  <si>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</si>
  <si>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</si>
  <si>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</si>
  <si>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</si>
  <si>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</si>
  <si>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</si>
  <si>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</si>
  <si>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</si>
  <si>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</si>
  <si>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</si>
  <si>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</si>
  <si>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</si>
  <si>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</si>
  <si>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</si>
  <si>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</si>
  <si>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</si>
  <si>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</si>
  <si>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</si>
  <si>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</si>
  <si>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</si>
  <si>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</si>
  <si>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</si>
  <si>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</si>
  <si>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</si>
  <si>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</si>
  <si>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</si>
  <si>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</si>
  <si>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</si>
  <si>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</si>
  <si>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</si>
  <si>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</si>
  <si>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</si>
  <si>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</si>
  <si>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</si>
  <si>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</si>
  <si>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</si>
  <si>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</si>
  <si>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</si>
  <si>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</si>
  <si>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</si>
  <si>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</si>
  <si>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</si>
  <si>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</si>
  <si>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</si>
  <si>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</si>
  <si>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</si>
  <si>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</si>
  <si>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</si>
  <si>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</si>
  <si>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</si>
  <si>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</si>
  <si>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</si>
  <si>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</si>
  <si>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</si>
  <si>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</si>
  <si>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</si>
  <si>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</si>
  <si>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</si>
  <si>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</si>
  <si>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</si>
  <si>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</si>
  <si>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</si>
  <si>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</si>
  <si>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</si>
  <si>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</si>
  <si>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</si>
  <si>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</si>
  <si>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</si>
  <si>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</si>
  <si>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</si>
  <si>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</si>
  <si>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</si>
  <si>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</si>
  <si>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</si>
  <si>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</si>
  <si>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</si>
  <si>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</si>
  <si>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</si>
  <si>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</si>
  <si>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</si>
  <si>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</si>
  <si>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</si>
  <si>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</si>
  <si>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</si>
  <si>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</si>
  <si>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</si>
  <si>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</si>
  <si>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</si>
  <si>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</si>
  <si>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</si>
  <si>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</si>
  <si>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</si>
  <si>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</si>
  <si>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</si>
  <si>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</si>
  <si>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</si>
  <si>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</si>
  <si>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</si>
  <si>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</si>
  <si>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</si>
  <si>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</si>
  <si>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</si>
  <si>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</si>
  <si>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</si>
  <si>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</si>
  <si>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</si>
  <si>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</si>
  <si>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</si>
  <si>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</si>
  <si>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</si>
  <si>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</si>
  <si>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</si>
  <si>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</si>
  <si>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</si>
  <si>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</si>
  <si>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</si>
  <si>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</si>
  <si>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</si>
  <si>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</si>
  <si>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</si>
  <si>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</si>
  <si>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</si>
  <si>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</si>
  <si>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</si>
  <si>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</si>
  <si>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</si>
  <si>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</si>
  <si>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</si>
  <si>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</si>
  <si>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</si>
  <si>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</si>
  <si>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</si>
  <si>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</si>
  <si>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</si>
  <si>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</si>
  <si>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</si>
  <si>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</si>
  <si>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</si>
  <si>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</si>
  <si>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</si>
  <si>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</si>
  <si>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</si>
  <si>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</si>
  <si>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</si>
  <si>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</si>
  <si>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</si>
  <si>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</si>
  <si>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</si>
  <si>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</si>
  <si>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</si>
  <si>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</si>
  <si>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</si>
  <si>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</si>
  <si>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</si>
  <si>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</si>
  <si>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</si>
  <si>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</si>
  <si>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</si>
  <si>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</si>
  <si>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</si>
  <si>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</si>
  <si>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</si>
  <si>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</si>
  <si>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</si>
  <si>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</si>
  <si>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</si>
  <si>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</si>
  <si>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</si>
  <si>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</si>
  <si>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</si>
  <si>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</si>
  <si>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</si>
  <si>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</si>
  <si>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</si>
  <si>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</si>
  <si>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</si>
  <si>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</si>
  <si>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</si>
  <si>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</si>
  <si>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</si>
  <si>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</si>
  <si>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</si>
  <si>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</si>
  <si>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</si>
  <si>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</si>
  <si>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</si>
  <si>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</si>
  <si>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</si>
  <si>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</si>
  <si>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</si>
  <si>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</si>
  <si>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</si>
  <si>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</si>
  <si>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</si>
  <si>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</si>
  <si>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</si>
  <si>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</si>
  <si>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</si>
  <si>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</si>
  <si>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</si>
  <si>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</si>
  <si>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</si>
  <si>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</si>
  <si>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</si>
  <si>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</si>
  <si>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</si>
  <si>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</si>
  <si>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</si>
  <si>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</si>
  <si>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</si>
  <si>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</si>
  <si>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</si>
  <si>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</si>
  <si>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</si>
  <si>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</si>
  <si>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</si>
  <si>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</si>
  <si>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</si>
  <si>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</si>
  <si>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</si>
  <si>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</si>
  <si>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</si>
  <si>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</si>
  <si>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</si>
  <si>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</si>
  <si>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</si>
  <si>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</si>
  <si>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</si>
  <si>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</si>
  <si>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</si>
  <si>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</si>
  <si>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</si>
  <si>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</si>
  <si>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</si>
  <si>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</si>
  <si>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</si>
  <si>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</si>
  <si>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</si>
  <si>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</si>
  <si>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</si>
  <si>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</si>
  <si>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</si>
  <si>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</si>
  <si>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</si>
  <si>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</si>
  <si>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</si>
  <si>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</si>
  <si>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</si>
  <si>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</si>
  <si>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</si>
  <si>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</si>
  <si>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</si>
  <si>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</si>
  <si>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</si>
  <si>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</si>
  <si>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</si>
  <si>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</si>
  <si>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</si>
  <si>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</si>
  <si>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</si>
  <si>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</si>
  <si>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</si>
  <si>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</si>
  <si>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</si>
  <si>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</si>
  <si>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</si>
  <si>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</si>
  <si>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</si>
  <si>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</si>
  <si>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</si>
  <si>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</si>
  <si>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</si>
  <si>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</si>
  <si>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</si>
  <si>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</si>
  <si>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</si>
  <si>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</si>
  <si>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</si>
  <si>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</si>
  <si>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</si>
  <si>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</si>
  <si>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</si>
  <si>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</si>
  <si>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</si>
  <si>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</si>
  <si>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</si>
  <si>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</si>
  <si>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</si>
  <si>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</si>
  <si>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</si>
  <si>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</si>
  <si>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</si>
  <si>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</si>
  <si>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</si>
  <si>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</si>
  <si>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</si>
  <si>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</si>
  <si>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</si>
  <si>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</si>
  <si>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</si>
  <si>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</si>
  <si>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</si>
  <si>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</si>
  <si>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</si>
  <si>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</si>
  <si>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</si>
  <si>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</si>
  <si>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</si>
  <si>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</si>
  <si>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</si>
  <si>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</si>
  <si>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</si>
  <si>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</si>
  <si>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</si>
  <si>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</si>
  <si>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</si>
  <si>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</si>
  <si>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</si>
  <si>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</si>
  <si>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</si>
  <si>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</si>
  <si>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</si>
  <si>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</si>
  <si>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</si>
  <si>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</si>
  <si>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</si>
  <si>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</si>
  <si>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</si>
  <si>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</si>
  <si>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</si>
  <si>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</si>
  <si>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</si>
  <si>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</si>
  <si>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</si>
  <si>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</si>
  <si>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</si>
  <si>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</si>
  <si>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</si>
  <si>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</si>
  <si>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</si>
  <si>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</si>
  <si>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</si>
  <si>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</si>
  <si>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</si>
  <si>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</si>
  <si>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</si>
  <si>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</si>
  <si>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</si>
  <si>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</si>
  <si>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</si>
  <si>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</si>
  <si>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</si>
  <si>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</si>
  <si>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</si>
  <si>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</si>
  <si>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</si>
  <si>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</si>
  <si>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</si>
  <si>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</si>
  <si>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</si>
  <si>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</si>
  <si>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</si>
  <si>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</si>
  <si>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</si>
  <si>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</si>
  <si>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</si>
  <si>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</si>
  <si>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</si>
  <si>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</si>
  <si>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</si>
  <si>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</si>
  <si>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</si>
  <si>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</si>
  <si>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</si>
  <si>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</si>
  <si>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</si>
  <si>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</si>
  <si>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</si>
  <si>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</si>
  <si>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</si>
  <si>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</si>
  <si>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</si>
  <si>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</si>
  <si>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</si>
  <si>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</si>
  <si>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</si>
  <si>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</si>
  <si>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</si>
  <si>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</si>
  <si>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</si>
  <si>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</si>
  <si>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</si>
  <si>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</si>
  <si>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</si>
  <si>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</si>
  <si>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</si>
  <si>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</si>
  <si>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</si>
  <si>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</si>
  <si>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</si>
  <si>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</si>
  <si>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</si>
  <si>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</si>
  <si>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</si>
  <si>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</si>
  <si>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</si>
  <si>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</si>
  <si>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</si>
  <si>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</si>
  <si>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</si>
  <si>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</si>
  <si>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</si>
  <si>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</si>
  <si>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</si>
  <si>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</si>
  <si>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</si>
  <si>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</si>
  <si>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</si>
  <si>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</si>
  <si>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</si>
  <si>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</si>
  <si>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</si>
  <si>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</si>
  <si>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</si>
  <si>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</si>
  <si>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</si>
  <si>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</si>
  <si>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</si>
  <si>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</si>
  <si>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</si>
  <si>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</si>
  <si>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</si>
  <si>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</si>
  <si>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</si>
  <si>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</si>
  <si>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</si>
  <si>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</si>
  <si>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</si>
  <si>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</si>
  <si>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</si>
  <si>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</si>
  <si>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</si>
  <si>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</si>
  <si>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</si>
  <si>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</si>
  <si>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</si>
  <si>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</si>
  <si>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</si>
  <si>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</si>
  <si>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</si>
  <si>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</si>
  <si>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</si>
  <si>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</si>
  <si>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</si>
  <si>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</si>
  <si>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</si>
  <si>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</si>
  <si>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</si>
  <si>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</si>
  <si>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</si>
  <si>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</si>
  <si>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</si>
  <si>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</si>
  <si>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</si>
  <si>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</si>
  <si>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</si>
  <si>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</si>
  <si>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</si>
  <si>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</si>
  <si>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</si>
  <si>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</si>
  <si>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</si>
  <si>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</si>
  <si>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</si>
  <si>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</si>
  <si>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</si>
  <si>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</si>
  <si>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</si>
  <si>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</si>
  <si>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11024</t>
  </si>
  <si>
    <t>KONTICH</t>
  </si>
  <si>
    <t>Paarden&amp;pony's 200 - 600 kg</t>
  </si>
  <si>
    <t>Paarden&amp;pony's &lt; 200 kg</t>
  </si>
  <si>
    <t>vloeibaar gas (MWh)</t>
  </si>
  <si>
    <t>interne verbrandingsmotor</t>
  </si>
  <si>
    <t>WKK interne verbrandinsgmotor (gas)</t>
  </si>
  <si>
    <t>IVEKA</t>
  </si>
  <si>
    <t>brandstofcel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</si>
</sst>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5380DEB3-DF1D-4099-8326-F4B022EE9CBE}"/>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176871.45242602046</c:v>
                </c:pt>
                <c:pt idx="1">
                  <c:v>100625.63764591153</c:v>
                </c:pt>
                <c:pt idx="2">
                  <c:v>1384.1869999999999</c:v>
                </c:pt>
                <c:pt idx="3">
                  <c:v>60618.003644287593</c:v>
                </c:pt>
                <c:pt idx="4">
                  <c:v>28385.977066960961</c:v>
                </c:pt>
                <c:pt idx="5">
                  <c:v>398237.82531661069</c:v>
                </c:pt>
                <c:pt idx="6">
                  <c:v>2025.2617521051527</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176871.45242602046</c:v>
                </c:pt>
                <c:pt idx="1">
                  <c:v>100625.63764591153</c:v>
                </c:pt>
                <c:pt idx="2">
                  <c:v>1384.1869999999999</c:v>
                </c:pt>
                <c:pt idx="3">
                  <c:v>60618.003644287593</c:v>
                </c:pt>
                <c:pt idx="4">
                  <c:v>28385.977066960961</c:v>
                </c:pt>
                <c:pt idx="5">
                  <c:v>398237.82531661069</c:v>
                </c:pt>
                <c:pt idx="6">
                  <c:v>2025.2617521051527</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35593.439922959282</c:v>
                </c:pt>
                <c:pt idx="2">
                  <c:v>21729.208156375826</c:v>
                </c:pt>
                <c:pt idx="3">
                  <c:v>290.69182728055108</c:v>
                </c:pt>
                <c:pt idx="4">
                  <c:v>14782.791477011438</c:v>
                </c:pt>
                <c:pt idx="5">
                  <c:v>5886.160261474869</c:v>
                </c:pt>
                <c:pt idx="6">
                  <c:v>102099.32944414022</c:v>
                </c:pt>
                <c:pt idx="7">
                  <c:v>523.84010235134019</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35593.439922959282</c:v>
                </c:pt>
                <c:pt idx="2">
                  <c:v>21729.208156375826</c:v>
                </c:pt>
                <c:pt idx="3">
                  <c:v>290.69182728055108</c:v>
                </c:pt>
                <c:pt idx="4">
                  <c:v>14782.791477011438</c:v>
                </c:pt>
                <c:pt idx="5">
                  <c:v>5886.160261474869</c:v>
                </c:pt>
                <c:pt idx="6">
                  <c:v>102099.32944414022</c:v>
                </c:pt>
                <c:pt idx="7">
                  <c:v>523.84010235134019</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11024</v>
      </c>
      <c r="B6" s="380"/>
      <c r="C6" s="381"/>
    </row>
    <row r="7" spans="1:7" s="378" customFormat="1" ht="15.75" customHeight="1">
      <c r="A7" s="382" t="str">
        <f>txtMunicipality</f>
        <v>KONTICH</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0.2100090719538264</v>
      </c>
      <c r="C17" s="488">
        <f ca="1">'EF ele_warmte'!B22</f>
        <v>0.23764662505779607</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0.2100090719538264</v>
      </c>
      <c r="C29" s="489">
        <f ca="1">'EF ele_warmte'!B22</f>
        <v>0.23764662505779607</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8547</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909.23</v>
      </c>
      <c r="C14" s="322"/>
      <c r="D14" s="322"/>
      <c r="E14" s="322"/>
      <c r="F14" s="322"/>
    </row>
    <row r="15" spans="1:6">
      <c r="A15" s="1248" t="s">
        <v>177</v>
      </c>
      <c r="B15" s="1249">
        <v>305</v>
      </c>
      <c r="C15" s="322"/>
      <c r="D15" s="322"/>
      <c r="E15" s="322"/>
      <c r="F15" s="322"/>
    </row>
    <row r="16" spans="1:6">
      <c r="A16" s="1248" t="s">
        <v>6</v>
      </c>
      <c r="B16" s="1249">
        <v>827</v>
      </c>
      <c r="C16" s="322"/>
      <c r="D16" s="322"/>
      <c r="E16" s="322"/>
      <c r="F16" s="322"/>
    </row>
    <row r="17" spans="1:6">
      <c r="A17" s="1248" t="s">
        <v>7</v>
      </c>
      <c r="B17" s="1249">
        <v>83</v>
      </c>
      <c r="C17" s="322"/>
      <c r="D17" s="322"/>
      <c r="E17" s="322"/>
      <c r="F17" s="322"/>
    </row>
    <row r="18" spans="1:6">
      <c r="A18" s="1248" t="s">
        <v>8</v>
      </c>
      <c r="B18" s="1249">
        <v>596</v>
      </c>
      <c r="C18" s="322"/>
      <c r="D18" s="322"/>
      <c r="E18" s="322"/>
      <c r="F18" s="322"/>
    </row>
    <row r="19" spans="1:6">
      <c r="A19" s="1248" t="s">
        <v>9</v>
      </c>
      <c r="B19" s="1249">
        <v>462</v>
      </c>
      <c r="C19" s="322"/>
      <c r="D19" s="322"/>
      <c r="E19" s="322"/>
      <c r="F19" s="322"/>
    </row>
    <row r="20" spans="1:6">
      <c r="A20" s="1248" t="s">
        <v>10</v>
      </c>
      <c r="B20" s="1249">
        <v>438</v>
      </c>
      <c r="C20" s="322"/>
      <c r="D20" s="322"/>
      <c r="E20" s="322"/>
      <c r="F20" s="322"/>
    </row>
    <row r="21" spans="1:6">
      <c r="A21" s="1248" t="s">
        <v>11</v>
      </c>
      <c r="B21" s="1249">
        <v>0</v>
      </c>
      <c r="C21" s="322"/>
      <c r="D21" s="322"/>
      <c r="E21" s="322"/>
      <c r="F21" s="322"/>
    </row>
    <row r="22" spans="1:6">
      <c r="A22" s="1248" t="s">
        <v>12</v>
      </c>
      <c r="B22" s="1249">
        <v>0</v>
      </c>
      <c r="C22" s="322"/>
      <c r="D22" s="322"/>
      <c r="E22" s="322"/>
      <c r="F22" s="322"/>
    </row>
    <row r="23" spans="1:6">
      <c r="A23" s="1248" t="s">
        <v>13</v>
      </c>
      <c r="B23" s="1249">
        <v>0</v>
      </c>
      <c r="C23" s="322"/>
      <c r="D23" s="322"/>
      <c r="E23" s="322"/>
      <c r="F23" s="322"/>
    </row>
    <row r="24" spans="1:6">
      <c r="A24" s="1248" t="s">
        <v>14</v>
      </c>
      <c r="B24" s="1249">
        <v>0</v>
      </c>
      <c r="C24" s="322"/>
      <c r="D24" s="322"/>
      <c r="E24" s="322"/>
      <c r="F24" s="322"/>
    </row>
    <row r="25" spans="1:6">
      <c r="A25" s="1248" t="s">
        <v>15</v>
      </c>
      <c r="B25" s="1249">
        <v>0</v>
      </c>
      <c r="C25" s="322"/>
      <c r="D25" s="322"/>
      <c r="E25" s="322"/>
      <c r="F25" s="322"/>
    </row>
    <row r="26" spans="1:6">
      <c r="A26" s="1248" t="s">
        <v>16</v>
      </c>
      <c r="B26" s="1249">
        <v>98</v>
      </c>
      <c r="C26" s="322"/>
      <c r="D26" s="322"/>
      <c r="E26" s="322"/>
      <c r="F26" s="322"/>
    </row>
    <row r="27" spans="1:6">
      <c r="A27" s="1248" t="s">
        <v>17</v>
      </c>
      <c r="B27" s="1249">
        <v>8</v>
      </c>
      <c r="C27" s="322"/>
      <c r="D27" s="322"/>
      <c r="E27" s="322"/>
      <c r="F27" s="322"/>
    </row>
    <row r="28" spans="1:6">
      <c r="A28" s="1248" t="s">
        <v>18</v>
      </c>
      <c r="B28" s="1250">
        <v>0</v>
      </c>
      <c r="C28" s="322"/>
      <c r="D28" s="322"/>
      <c r="E28" s="322"/>
      <c r="F28" s="322"/>
    </row>
    <row r="29" spans="1:6">
      <c r="A29" s="1248" t="s">
        <v>884</v>
      </c>
      <c r="B29" s="1250">
        <v>94</v>
      </c>
      <c r="C29" s="322"/>
      <c r="D29" s="322"/>
      <c r="E29" s="322"/>
      <c r="F29" s="322"/>
    </row>
    <row r="30" spans="1:6">
      <c r="A30" s="1243" t="s">
        <v>885</v>
      </c>
      <c r="B30" s="1251">
        <v>17</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2</v>
      </c>
      <c r="D38" s="1249">
        <v>31206588.144000001</v>
      </c>
      <c r="E38" s="1249">
        <v>5</v>
      </c>
      <c r="F38" s="1249">
        <v>649100.56396000006</v>
      </c>
    </row>
    <row r="39" spans="1:6">
      <c r="A39" s="1248" t="s">
        <v>29</v>
      </c>
      <c r="B39" s="1248" t="s">
        <v>30</v>
      </c>
      <c r="C39" s="1249">
        <v>6893</v>
      </c>
      <c r="D39" s="1249">
        <v>110230088.56999999</v>
      </c>
      <c r="E39" s="1249">
        <v>8372</v>
      </c>
      <c r="F39" s="1249">
        <v>33049110.131000001</v>
      </c>
    </row>
    <row r="40" spans="1:6">
      <c r="A40" s="1248" t="s">
        <v>29</v>
      </c>
      <c r="B40" s="1248" t="s">
        <v>28</v>
      </c>
      <c r="C40" s="1249">
        <v>0</v>
      </c>
      <c r="D40" s="1249">
        <v>0</v>
      </c>
      <c r="E40" s="1249">
        <v>1</v>
      </c>
      <c r="F40" s="1249">
        <v>0</v>
      </c>
    </row>
    <row r="41" spans="1:6">
      <c r="A41" s="1248" t="s">
        <v>31</v>
      </c>
      <c r="B41" s="1248" t="s">
        <v>32</v>
      </c>
      <c r="C41" s="1249">
        <v>94</v>
      </c>
      <c r="D41" s="1249">
        <v>4718849.8591999998</v>
      </c>
      <c r="E41" s="1249">
        <v>155</v>
      </c>
      <c r="F41" s="1249">
        <v>3136367.6751000001</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4</v>
      </c>
      <c r="D44" s="1249">
        <v>167444.08812999999</v>
      </c>
      <c r="E44" s="1249">
        <v>19</v>
      </c>
      <c r="F44" s="1249">
        <v>437875.52646000002</v>
      </c>
    </row>
    <row r="45" spans="1:6">
      <c r="A45" s="1248" t="s">
        <v>31</v>
      </c>
      <c r="B45" s="1248" t="s">
        <v>36</v>
      </c>
      <c r="C45" s="1249">
        <v>3</v>
      </c>
      <c r="D45" s="1249">
        <v>48966.697988</v>
      </c>
      <c r="E45" s="1249">
        <v>3</v>
      </c>
      <c r="F45" s="1249">
        <v>36779.908453999997</v>
      </c>
    </row>
    <row r="46" spans="1:6">
      <c r="A46" s="1248" t="s">
        <v>31</v>
      </c>
      <c r="B46" s="1248" t="s">
        <v>37</v>
      </c>
      <c r="C46" s="1249">
        <v>0</v>
      </c>
      <c r="D46" s="1249">
        <v>0</v>
      </c>
      <c r="E46" s="1249">
        <v>0</v>
      </c>
      <c r="F46" s="1249">
        <v>0</v>
      </c>
    </row>
    <row r="47" spans="1:6">
      <c r="A47" s="1248" t="s">
        <v>31</v>
      </c>
      <c r="B47" s="1248" t="s">
        <v>38</v>
      </c>
      <c r="C47" s="1249">
        <v>3</v>
      </c>
      <c r="D47" s="1249">
        <v>138624.27103999999</v>
      </c>
      <c r="E47" s="1249">
        <v>4</v>
      </c>
      <c r="F47" s="1249">
        <v>1330119.56</v>
      </c>
    </row>
    <row r="48" spans="1:6">
      <c r="A48" s="1248" t="s">
        <v>31</v>
      </c>
      <c r="B48" s="1248" t="s">
        <v>28</v>
      </c>
      <c r="C48" s="1249">
        <v>38</v>
      </c>
      <c r="D48" s="1249">
        <v>5680338.4272999996</v>
      </c>
      <c r="E48" s="1249">
        <v>38</v>
      </c>
      <c r="F48" s="1249">
        <v>4684447.4280000003</v>
      </c>
    </row>
    <row r="49" spans="1:6">
      <c r="A49" s="1248" t="s">
        <v>31</v>
      </c>
      <c r="B49" s="1248" t="s">
        <v>39</v>
      </c>
      <c r="C49" s="1249">
        <v>3</v>
      </c>
      <c r="D49" s="1249">
        <v>226967.74780000001</v>
      </c>
      <c r="E49" s="1249">
        <v>5</v>
      </c>
      <c r="F49" s="1249">
        <v>159772.99752</v>
      </c>
    </row>
    <row r="50" spans="1:6">
      <c r="A50" s="1248" t="s">
        <v>31</v>
      </c>
      <c r="B50" s="1248" t="s">
        <v>40</v>
      </c>
      <c r="C50" s="1249">
        <v>10</v>
      </c>
      <c r="D50" s="1249">
        <v>1011655.8697</v>
      </c>
      <c r="E50" s="1249">
        <v>11</v>
      </c>
      <c r="F50" s="1249">
        <v>1082883.7541</v>
      </c>
    </row>
    <row r="51" spans="1:6">
      <c r="A51" s="1248" t="s">
        <v>41</v>
      </c>
      <c r="B51" s="1248" t="s">
        <v>42</v>
      </c>
      <c r="C51" s="1249">
        <v>6</v>
      </c>
      <c r="D51" s="1249">
        <v>71780735.947999999</v>
      </c>
      <c r="E51" s="1249">
        <v>48</v>
      </c>
      <c r="F51" s="1249">
        <v>3403019.7897000001</v>
      </c>
    </row>
    <row r="52" spans="1:6">
      <c r="A52" s="1248" t="s">
        <v>41</v>
      </c>
      <c r="B52" s="1248" t="s">
        <v>28</v>
      </c>
      <c r="C52" s="1249">
        <v>3</v>
      </c>
      <c r="D52" s="1249">
        <v>31116.035055</v>
      </c>
      <c r="E52" s="1249">
        <v>8</v>
      </c>
      <c r="F52" s="1249">
        <v>127409.71405</v>
      </c>
    </row>
    <row r="53" spans="1:6">
      <c r="A53" s="1248" t="s">
        <v>43</v>
      </c>
      <c r="B53" s="1248" t="s">
        <v>44</v>
      </c>
      <c r="C53" s="1249">
        <v>147</v>
      </c>
      <c r="D53" s="1249">
        <v>4433210.7227999996</v>
      </c>
      <c r="E53" s="1249">
        <v>354</v>
      </c>
      <c r="F53" s="1249">
        <v>1541293.4025999999</v>
      </c>
    </row>
    <row r="54" spans="1:6">
      <c r="A54" s="1248" t="s">
        <v>45</v>
      </c>
      <c r="B54" s="1248" t="s">
        <v>46</v>
      </c>
      <c r="C54" s="1249">
        <v>0</v>
      </c>
      <c r="D54" s="1249">
        <v>0</v>
      </c>
      <c r="E54" s="1249">
        <v>1</v>
      </c>
      <c r="F54" s="1249">
        <v>1384187</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39</v>
      </c>
      <c r="D57" s="1249">
        <v>3426676.4761000001</v>
      </c>
      <c r="E57" s="1249">
        <v>72</v>
      </c>
      <c r="F57" s="1249">
        <v>1736315.2032999999</v>
      </c>
    </row>
    <row r="58" spans="1:6">
      <c r="A58" s="1248" t="s">
        <v>48</v>
      </c>
      <c r="B58" s="1248" t="s">
        <v>50</v>
      </c>
      <c r="C58" s="1249">
        <v>52</v>
      </c>
      <c r="D58" s="1249">
        <v>3290943.2818</v>
      </c>
      <c r="E58" s="1249">
        <v>57</v>
      </c>
      <c r="F58" s="1249">
        <v>1126221.5562</v>
      </c>
    </row>
    <row r="59" spans="1:6">
      <c r="A59" s="1248" t="s">
        <v>48</v>
      </c>
      <c r="B59" s="1248" t="s">
        <v>51</v>
      </c>
      <c r="C59" s="1249">
        <v>172</v>
      </c>
      <c r="D59" s="1249">
        <v>19057962.243000001</v>
      </c>
      <c r="E59" s="1249">
        <v>312</v>
      </c>
      <c r="F59" s="1249">
        <v>19007439.16</v>
      </c>
    </row>
    <row r="60" spans="1:6">
      <c r="A60" s="1248" t="s">
        <v>48</v>
      </c>
      <c r="B60" s="1248" t="s">
        <v>52</v>
      </c>
      <c r="C60" s="1249">
        <v>63</v>
      </c>
      <c r="D60" s="1249">
        <v>2800258.6074000001</v>
      </c>
      <c r="E60" s="1249">
        <v>81</v>
      </c>
      <c r="F60" s="1249">
        <v>2576826.3059999999</v>
      </c>
    </row>
    <row r="61" spans="1:6">
      <c r="A61" s="1248" t="s">
        <v>48</v>
      </c>
      <c r="B61" s="1248" t="s">
        <v>53</v>
      </c>
      <c r="C61" s="1249">
        <v>288</v>
      </c>
      <c r="D61" s="1249">
        <v>22010738.322999999</v>
      </c>
      <c r="E61" s="1249">
        <v>527</v>
      </c>
      <c r="F61" s="1249">
        <v>15533348.99</v>
      </c>
    </row>
    <row r="62" spans="1:6">
      <c r="A62" s="1248" t="s">
        <v>48</v>
      </c>
      <c r="B62" s="1248" t="s">
        <v>54</v>
      </c>
      <c r="C62" s="1249">
        <v>11</v>
      </c>
      <c r="D62" s="1249">
        <v>1615565.0382000001</v>
      </c>
      <c r="E62" s="1249">
        <v>10</v>
      </c>
      <c r="F62" s="1249">
        <v>579167.48361999996</v>
      </c>
    </row>
    <row r="63" spans="1:6">
      <c r="A63" s="1248" t="s">
        <v>48</v>
      </c>
      <c r="B63" s="1248" t="s">
        <v>28</v>
      </c>
      <c r="C63" s="1249">
        <v>111</v>
      </c>
      <c r="D63" s="1249">
        <v>7820859.2999</v>
      </c>
      <c r="E63" s="1249">
        <v>102</v>
      </c>
      <c r="F63" s="1249">
        <v>2124982.6557999998</v>
      </c>
    </row>
    <row r="64" spans="1:6">
      <c r="A64" s="1248" t="s">
        <v>55</v>
      </c>
      <c r="B64" s="1248" t="s">
        <v>56</v>
      </c>
      <c r="C64" s="1249">
        <v>0</v>
      </c>
      <c r="D64" s="1249">
        <v>0</v>
      </c>
      <c r="E64" s="1249">
        <v>0</v>
      </c>
      <c r="F64" s="1249">
        <v>0</v>
      </c>
    </row>
    <row r="65" spans="1:6">
      <c r="A65" s="1248" t="s">
        <v>55</v>
      </c>
      <c r="B65" s="1248" t="s">
        <v>28</v>
      </c>
      <c r="C65" s="1249">
        <v>2</v>
      </c>
      <c r="D65" s="1249">
        <v>38819.529691999996</v>
      </c>
      <c r="E65" s="1249">
        <v>4</v>
      </c>
      <c r="F65" s="1249">
        <v>15524.24159</v>
      </c>
    </row>
    <row r="66" spans="1:6">
      <c r="A66" s="1248" t="s">
        <v>55</v>
      </c>
      <c r="B66" s="1248" t="s">
        <v>57</v>
      </c>
      <c r="C66" s="1249">
        <v>0</v>
      </c>
      <c r="D66" s="1249">
        <v>0</v>
      </c>
      <c r="E66" s="1249">
        <v>16</v>
      </c>
      <c r="F66" s="1249">
        <v>605331.31484999997</v>
      </c>
    </row>
    <row r="67" spans="1:6">
      <c r="A67" s="1248" t="s">
        <v>55</v>
      </c>
      <c r="B67" s="1248" t="s">
        <v>58</v>
      </c>
      <c r="C67" s="1249">
        <v>0</v>
      </c>
      <c r="D67" s="1249">
        <v>0</v>
      </c>
      <c r="E67" s="1249">
        <v>0</v>
      </c>
      <c r="F67" s="1249">
        <v>0</v>
      </c>
    </row>
    <row r="68" spans="1:6">
      <c r="A68" s="1243" t="s">
        <v>55</v>
      </c>
      <c r="B68" s="1243" t="s">
        <v>59</v>
      </c>
      <c r="C68" s="1251">
        <v>4</v>
      </c>
      <c r="D68" s="1251">
        <v>56501.664854000002</v>
      </c>
      <c r="E68" s="1251">
        <v>10</v>
      </c>
      <c r="F68" s="1251">
        <v>233089.22683999999</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140926219</v>
      </c>
      <c r="E73" s="439"/>
      <c r="F73" s="322"/>
    </row>
    <row r="74" spans="1:6">
      <c r="A74" s="1248" t="s">
        <v>63</v>
      </c>
      <c r="B74" s="1248" t="s">
        <v>626</v>
      </c>
      <c r="C74" s="1261" t="s">
        <v>628</v>
      </c>
      <c r="D74" s="1249">
        <v>23002816.527618293</v>
      </c>
      <c r="E74" s="439"/>
      <c r="F74" s="322"/>
    </row>
    <row r="75" spans="1:6">
      <c r="A75" s="1248" t="s">
        <v>64</v>
      </c>
      <c r="B75" s="1248" t="s">
        <v>625</v>
      </c>
      <c r="C75" s="1261" t="s">
        <v>629</v>
      </c>
      <c r="D75" s="1249">
        <v>33337000</v>
      </c>
      <c r="E75" s="439"/>
      <c r="F75" s="322"/>
    </row>
    <row r="76" spans="1:6">
      <c r="A76" s="1248" t="s">
        <v>64</v>
      </c>
      <c r="B76" s="1248" t="s">
        <v>626</v>
      </c>
      <c r="C76" s="1261" t="s">
        <v>630</v>
      </c>
      <c r="D76" s="1249">
        <v>3611806.5276182946</v>
      </c>
      <c r="E76" s="439"/>
      <c r="F76" s="322"/>
    </row>
    <row r="77" spans="1:6">
      <c r="A77" s="1248" t="s">
        <v>65</v>
      </c>
      <c r="B77" s="1248" t="s">
        <v>625</v>
      </c>
      <c r="C77" s="1261" t="s">
        <v>631</v>
      </c>
      <c r="D77" s="1249">
        <v>211397283</v>
      </c>
      <c r="E77" s="439"/>
      <c r="F77" s="322"/>
    </row>
    <row r="78" spans="1:6">
      <c r="A78" s="1243" t="s">
        <v>65</v>
      </c>
      <c r="B78" s="1243" t="s">
        <v>626</v>
      </c>
      <c r="C78" s="1243" t="s">
        <v>632</v>
      </c>
      <c r="D78" s="1251">
        <v>24424389</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547762.94476341119</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0</v>
      </c>
      <c r="C90" s="322"/>
      <c r="D90" s="322"/>
      <c r="E90" s="322"/>
      <c r="F90" s="322"/>
    </row>
    <row r="91" spans="1:6">
      <c r="A91" s="1248" t="s">
        <v>67</v>
      </c>
      <c r="B91" s="1249">
        <v>3214.898930463828</v>
      </c>
      <c r="C91" s="322"/>
      <c r="D91" s="322"/>
      <c r="E91" s="322"/>
      <c r="F91" s="322"/>
    </row>
    <row r="92" spans="1:6">
      <c r="A92" s="1243" t="s">
        <v>68</v>
      </c>
      <c r="B92" s="1244">
        <v>5472.0514745087667</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5036</v>
      </c>
      <c r="C97" s="322"/>
      <c r="D97" s="322"/>
      <c r="E97" s="322"/>
      <c r="F97" s="322"/>
    </row>
    <row r="98" spans="1:6">
      <c r="A98" s="1248" t="s">
        <v>71</v>
      </c>
      <c r="B98" s="1249">
        <v>8</v>
      </c>
      <c r="C98" s="322"/>
      <c r="D98" s="322"/>
      <c r="E98" s="322"/>
      <c r="F98" s="322"/>
    </row>
    <row r="99" spans="1:6">
      <c r="A99" s="1248" t="s">
        <v>72</v>
      </c>
      <c r="B99" s="1249">
        <v>24</v>
      </c>
      <c r="C99" s="322"/>
      <c r="D99" s="322"/>
      <c r="E99" s="322"/>
      <c r="F99" s="322"/>
    </row>
    <row r="100" spans="1:6">
      <c r="A100" s="1248" t="s">
        <v>73</v>
      </c>
      <c r="B100" s="1249">
        <v>636</v>
      </c>
      <c r="C100" s="322"/>
      <c r="D100" s="322"/>
      <c r="E100" s="322"/>
      <c r="F100" s="322"/>
    </row>
    <row r="101" spans="1:6">
      <c r="A101" s="1248" t="s">
        <v>74</v>
      </c>
      <c r="B101" s="1249">
        <v>60</v>
      </c>
      <c r="C101" s="322"/>
      <c r="D101" s="322"/>
      <c r="E101" s="322"/>
      <c r="F101" s="322"/>
    </row>
    <row r="102" spans="1:6">
      <c r="A102" s="1248" t="s">
        <v>75</v>
      </c>
      <c r="B102" s="1249">
        <v>89</v>
      </c>
      <c r="C102" s="322"/>
      <c r="D102" s="322"/>
      <c r="E102" s="322"/>
      <c r="F102" s="322"/>
    </row>
    <row r="103" spans="1:6">
      <c r="A103" s="1248" t="s">
        <v>76</v>
      </c>
      <c r="B103" s="1249">
        <v>100</v>
      </c>
      <c r="C103" s="322"/>
      <c r="D103" s="322"/>
      <c r="E103" s="322"/>
      <c r="F103" s="322"/>
    </row>
    <row r="104" spans="1:6">
      <c r="A104" s="1248" t="s">
        <v>77</v>
      </c>
      <c r="B104" s="1249">
        <v>1453</v>
      </c>
      <c r="C104" s="322"/>
      <c r="D104" s="322"/>
      <c r="E104" s="322"/>
      <c r="F104" s="322"/>
    </row>
    <row r="105" spans="1:6">
      <c r="A105" s="1243" t="s">
        <v>78</v>
      </c>
      <c r="B105" s="1251">
        <v>3</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1</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28</v>
      </c>
      <c r="C123" s="1249">
        <v>16</v>
      </c>
      <c r="D123" s="322"/>
      <c r="E123" s="322"/>
      <c r="F123" s="322"/>
    </row>
    <row r="124" spans="1:6">
      <c r="A124" s="1248" t="s">
        <v>88</v>
      </c>
      <c r="B124" s="1249">
        <v>1</v>
      </c>
      <c r="C124" s="1249">
        <v>1</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128</v>
      </c>
      <c r="C129" s="322"/>
      <c r="D129" s="322"/>
      <c r="E129" s="322"/>
      <c r="F129" s="322"/>
    </row>
    <row r="130" spans="1:6">
      <c r="A130" s="1248" t="s">
        <v>284</v>
      </c>
      <c r="B130" s="1249">
        <v>0</v>
      </c>
      <c r="C130" s="322"/>
      <c r="D130" s="322"/>
      <c r="E130" s="322"/>
      <c r="F130" s="322"/>
    </row>
    <row r="131" spans="1:6">
      <c r="A131" s="1248" t="s">
        <v>285</v>
      </c>
      <c r="B131" s="1249">
        <v>4</v>
      </c>
      <c r="C131" s="322"/>
      <c r="D131" s="322"/>
      <c r="E131" s="322"/>
      <c r="F131" s="322"/>
    </row>
    <row r="132" spans="1:6">
      <c r="A132" s="1243" t="s">
        <v>286</v>
      </c>
      <c r="B132" s="1244">
        <v>14</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109261.2906459411</v>
      </c>
      <c r="C3" s="43" t="s">
        <v>163</v>
      </c>
      <c r="D3" s="43"/>
      <c r="E3" s="153"/>
      <c r="F3" s="43"/>
      <c r="G3" s="43"/>
      <c r="H3" s="43"/>
      <c r="I3" s="43"/>
      <c r="J3" s="43"/>
      <c r="K3" s="96"/>
    </row>
    <row r="4" spans="1:11">
      <c r="A4" s="348" t="s">
        <v>164</v>
      </c>
      <c r="B4" s="49">
        <f>IF(ISERROR('SEAP template'!B78+'SEAP template'!C78),0,'SEAP template'!B78+'SEAP template'!C78)</f>
        <v>51874.867071639259</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10263.462639110676</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0.2100090719538264</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14662.090784312752</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61697.02927927929</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0.23764662505779607</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1384.1869999999999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1384.1869999999999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0.2100090719538264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290.69182728055108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33049.110131000001</v>
      </c>
      <c r="C5" s="17">
        <f>IF(ISERROR('Eigen informatie GS &amp; warmtenet'!B57),0,'Eigen informatie GS &amp; warmtenet'!B57)</f>
        <v>0</v>
      </c>
      <c r="D5" s="30">
        <f>(SUM(HH_hh_gas_kWh,HH_rest_gas_kWh)/1000)*0.902</f>
        <v>99427.539890139989</v>
      </c>
      <c r="E5" s="17">
        <f>B32*B41</f>
        <v>1029.9607940711921</v>
      </c>
      <c r="F5" s="17">
        <f>B36*B45</f>
        <v>28002.595315606759</v>
      </c>
      <c r="G5" s="18"/>
      <c r="H5" s="17"/>
      <c r="I5" s="17"/>
      <c r="J5" s="17">
        <f>B35*B44+C35*C44</f>
        <v>516.41787374765568</v>
      </c>
      <c r="K5" s="17"/>
      <c r="L5" s="17"/>
      <c r="M5" s="17"/>
      <c r="N5" s="17">
        <f>B34*B43+C34*C43</f>
        <v>10584.37949099105</v>
      </c>
      <c r="O5" s="17">
        <f>B52*B53*B54</f>
        <v>226.68333333333334</v>
      </c>
      <c r="P5" s="17">
        <f>B60*B61*B62/1000-B60*B61*B62/1000/B63</f>
        <v>819.86666666666667</v>
      </c>
    </row>
    <row r="6" spans="1:16">
      <c r="A6" s="16" t="s">
        <v>586</v>
      </c>
      <c r="B6" s="716">
        <f>kWh_PV_kleiner_dan_10kW</f>
        <v>3214.898930463828</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36264.009061463832</v>
      </c>
      <c r="C8" s="21">
        <f>C5</f>
        <v>0</v>
      </c>
      <c r="D8" s="21">
        <f>D5</f>
        <v>99427.539890139989</v>
      </c>
      <c r="E8" s="21">
        <f>E5</f>
        <v>1029.9607940711921</v>
      </c>
      <c r="F8" s="21">
        <f>F5</f>
        <v>28002.595315606759</v>
      </c>
      <c r="G8" s="21"/>
      <c r="H8" s="21"/>
      <c r="I8" s="21"/>
      <c r="J8" s="21">
        <f>J5</f>
        <v>516.41787374765568</v>
      </c>
      <c r="K8" s="21"/>
      <c r="L8" s="21">
        <f>L5</f>
        <v>0</v>
      </c>
      <c r="M8" s="21">
        <f>M5</f>
        <v>0</v>
      </c>
      <c r="N8" s="21">
        <f>N5</f>
        <v>10584.37949099105</v>
      </c>
      <c r="O8" s="21">
        <f>O5</f>
        <v>226.68333333333334</v>
      </c>
      <c r="P8" s="21">
        <f>P5</f>
        <v>819.86666666666667</v>
      </c>
    </row>
    <row r="9" spans="1:16">
      <c r="B9" s="19"/>
      <c r="C9" s="19"/>
      <c r="D9" s="253"/>
      <c r="E9" s="19"/>
      <c r="F9" s="19"/>
      <c r="G9" s="19"/>
      <c r="H9" s="19"/>
      <c r="I9" s="19"/>
      <c r="J9" s="19"/>
      <c r="K9" s="19"/>
      <c r="L9" s="19"/>
      <c r="M9" s="19"/>
      <c r="N9" s="19"/>
      <c r="O9" s="19"/>
      <c r="P9" s="19"/>
    </row>
    <row r="10" spans="1:16">
      <c r="A10" s="24" t="s">
        <v>207</v>
      </c>
      <c r="B10" s="25">
        <f ca="1">'EF ele_warmte'!B12</f>
        <v>0.2100090719538264</v>
      </c>
      <c r="C10" s="25">
        <f ca="1">'EF ele_warmte'!B22</f>
        <v>0.23764662505779607</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7615.7708883231708</v>
      </c>
      <c r="C12" s="23">
        <f ca="1">C10*C8</f>
        <v>0</v>
      </c>
      <c r="D12" s="23">
        <f>D8*D10</f>
        <v>20084.363057808278</v>
      </c>
      <c r="E12" s="23">
        <f>E10*E8</f>
        <v>233.80110025416062</v>
      </c>
      <c r="F12" s="23">
        <f>F10*F8</f>
        <v>7476.6929492670051</v>
      </c>
      <c r="G12" s="23"/>
      <c r="H12" s="23"/>
      <c r="I12" s="23"/>
      <c r="J12" s="23">
        <f>J10*J8</f>
        <v>182.8119273066701</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8547</v>
      </c>
      <c r="C26" s="36"/>
      <c r="D26" s="224"/>
    </row>
    <row r="27" spans="1:5" s="15" customFormat="1">
      <c r="A27" s="226" t="s">
        <v>655</v>
      </c>
      <c r="B27" s="37">
        <f>SUM(HH_hh_gas_aantal,HH_rest_gas_aantal)</f>
        <v>6893</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6548.35</v>
      </c>
      <c r="C31" s="34" t="s">
        <v>104</v>
      </c>
      <c r="D31" s="170"/>
    </row>
    <row r="32" spans="1:5">
      <c r="A32" s="167" t="s">
        <v>72</v>
      </c>
      <c r="B32" s="33">
        <f>IF((B21*($B$26-($B$27-0.05*$B$27)-$B$60))&lt;0,0,B21*($B$26-($B$27-0.05*$B$27)-$B$60))</f>
        <v>12.62064418242795</v>
      </c>
      <c r="C32" s="34" t="s">
        <v>104</v>
      </c>
      <c r="D32" s="170"/>
    </row>
    <row r="33" spans="1:6">
      <c r="A33" s="167" t="s">
        <v>73</v>
      </c>
      <c r="B33" s="33">
        <f>IF((B22*($B$26-($B$27-0.05*$B$27)-$B$60))&lt;0,0,B22*($B$26-($B$27-0.05*$B$27)-$B$60))</f>
        <v>439.49667762927163</v>
      </c>
      <c r="C33" s="34" t="s">
        <v>104</v>
      </c>
      <c r="D33" s="170"/>
    </row>
    <row r="34" spans="1:6">
      <c r="A34" s="167" t="s">
        <v>74</v>
      </c>
      <c r="B34" s="33">
        <f>IF((B24*($B$26-($B$27-0.05*$B$27)-$B$60))&lt;0,0,B24*($B$26-($B$27-0.05*$B$27)-$B$60))</f>
        <v>87.275034174231251</v>
      </c>
      <c r="C34" s="33">
        <f>B26*C24</f>
        <v>1749.2490233873932</v>
      </c>
      <c r="D34" s="229"/>
    </row>
    <row r="35" spans="1:6">
      <c r="A35" s="167" t="s">
        <v>76</v>
      </c>
      <c r="B35" s="33">
        <f>IF((B19*($B$26-($B$27-0.05*$B$27)-$B$60))&lt;0,0,B19*($B$26-($B$27-0.05*$B$27)-$B$60))</f>
        <v>42.620795619584207</v>
      </c>
      <c r="C35" s="33">
        <f>B35/2</f>
        <v>21.310397809792104</v>
      </c>
      <c r="D35" s="229"/>
    </row>
    <row r="36" spans="1:6">
      <c r="A36" s="167" t="s">
        <v>77</v>
      </c>
      <c r="B36" s="33">
        <f>IF((B18*($B$26-($B$27-0.05*$B$27)-$B$60))&lt;0,0,B18*($B$26-($B$27-0.05*$B$27)-$B$60))</f>
        <v>1373.636848394485</v>
      </c>
      <c r="C36" s="34" t="s">
        <v>104</v>
      </c>
      <c r="D36" s="170"/>
    </row>
    <row r="37" spans="1:6">
      <c r="A37" s="167" t="s">
        <v>78</v>
      </c>
      <c r="B37" s="33">
        <f>B60</f>
        <v>43</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145</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43</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42684.301354920004</v>
      </c>
      <c r="C5" s="17">
        <f>IF(ISERROR('Eigen informatie GS &amp; warmtenet'!B58),0,'Eigen informatie GS &amp; warmtenet'!B58)</f>
        <v>0</v>
      </c>
      <c r="D5" s="30">
        <f>SUM(D6:D12)</f>
        <v>54140.7489489988</v>
      </c>
      <c r="E5" s="17">
        <f>SUM(E6:E12)</f>
        <v>712.68723809647236</v>
      </c>
      <c r="F5" s="17">
        <f>SUM(F6:F12)</f>
        <v>7575.7696552924072</v>
      </c>
      <c r="G5" s="18"/>
      <c r="H5" s="17"/>
      <c r="I5" s="17"/>
      <c r="J5" s="17">
        <f>SUM(J6:J12)</f>
        <v>2.5686322664201726E-2</v>
      </c>
      <c r="K5" s="17"/>
      <c r="L5" s="17"/>
      <c r="M5" s="17"/>
      <c r="N5" s="17">
        <f>SUM(N6:N12)</f>
        <v>953.48095275738717</v>
      </c>
      <c r="O5" s="17">
        <f>B38*B39*B40</f>
        <v>0</v>
      </c>
      <c r="P5" s="17">
        <f>B46*B47*B48/1000-B46*B47*B48/1000/B49</f>
        <v>76.266666666666666</v>
      </c>
      <c r="R5" s="32"/>
    </row>
    <row r="6" spans="1:18">
      <c r="A6" s="32" t="s">
        <v>53</v>
      </c>
      <c r="B6" s="37">
        <f>B26</f>
        <v>15533.34899</v>
      </c>
      <c r="C6" s="33"/>
      <c r="D6" s="37">
        <f>IF(ISERROR(TER_kantoor_gas_kWh/1000),0,TER_kantoor_gas_kWh/1000)*0.902</f>
        <v>19853.685967345999</v>
      </c>
      <c r="E6" s="33">
        <f>$C$26*'E Balans VL '!I12/100/3.6*1000000</f>
        <v>8.843393219439061E-18</v>
      </c>
      <c r="F6" s="33">
        <f>$C$26*('E Balans VL '!L12+'E Balans VL '!N12)/100/3.6*1000000</f>
        <v>2099.8528376452896</v>
      </c>
      <c r="G6" s="34"/>
      <c r="H6" s="33"/>
      <c r="I6" s="33"/>
      <c r="J6" s="33">
        <f>$C$26*('E Balans VL '!D12+'E Balans VL '!E12)/100/3.6*1000000</f>
        <v>0</v>
      </c>
      <c r="K6" s="33"/>
      <c r="L6" s="33"/>
      <c r="M6" s="33"/>
      <c r="N6" s="33">
        <f>$C$26*'E Balans VL '!Y12/100/3.6*1000000</f>
        <v>19.52226344154197</v>
      </c>
      <c r="O6" s="33"/>
      <c r="P6" s="33"/>
      <c r="R6" s="32"/>
    </row>
    <row r="7" spans="1:18">
      <c r="A7" s="32" t="s">
        <v>52</v>
      </c>
      <c r="B7" s="37">
        <f t="shared" ref="B7:B12" si="0">B27</f>
        <v>2576.8263059999999</v>
      </c>
      <c r="C7" s="33"/>
      <c r="D7" s="37">
        <f>IF(ISERROR(TER_horeca_gas_kWh/1000),0,TER_horeca_gas_kWh/1000)*0.902</f>
        <v>2525.8332638748002</v>
      </c>
      <c r="E7" s="33">
        <f>$C$27*'E Balans VL '!I9/100/3.6*1000000</f>
        <v>32.911315275182076</v>
      </c>
      <c r="F7" s="33">
        <f>$C$27*('E Balans VL '!L9+'E Balans VL '!N9)/100/3.6*1000000</f>
        <v>291.0409531426256</v>
      </c>
      <c r="G7" s="34"/>
      <c r="H7" s="33"/>
      <c r="I7" s="33"/>
      <c r="J7" s="33">
        <f>$C$27*('E Balans VL '!D9+'E Balans VL '!E9)/100/3.6*1000000</f>
        <v>0</v>
      </c>
      <c r="K7" s="33"/>
      <c r="L7" s="33"/>
      <c r="M7" s="33"/>
      <c r="N7" s="33">
        <f>$C$27*'E Balans VL '!Y9/100/3.6*1000000</f>
        <v>0.61406864673274331</v>
      </c>
      <c r="O7" s="33"/>
      <c r="P7" s="33"/>
      <c r="R7" s="32"/>
    </row>
    <row r="8" spans="1:18">
      <c r="A8" s="6" t="s">
        <v>51</v>
      </c>
      <c r="B8" s="37">
        <f t="shared" si="0"/>
        <v>19007.439160000002</v>
      </c>
      <c r="C8" s="33"/>
      <c r="D8" s="37">
        <f>IF(ISERROR(TER_handel_gas_kWh/1000),0,TER_handel_gas_kWh/1000)*0.902</f>
        <v>17190.281943186001</v>
      </c>
      <c r="E8" s="33">
        <f>$C$28*'E Balans VL '!I13/100/3.6*1000000</f>
        <v>620.75211172625359</v>
      </c>
      <c r="F8" s="33">
        <f>$C$28*('E Balans VL '!L13+'E Balans VL '!N13)/100/3.6*1000000</f>
        <v>3290.983652056193</v>
      </c>
      <c r="G8" s="34"/>
      <c r="H8" s="33"/>
      <c r="I8" s="33"/>
      <c r="J8" s="33">
        <f>$C$28*('E Balans VL '!D13+'E Balans VL '!E13)/100/3.6*1000000</f>
        <v>0</v>
      </c>
      <c r="K8" s="33"/>
      <c r="L8" s="33"/>
      <c r="M8" s="33"/>
      <c r="N8" s="33">
        <f>$C$28*'E Balans VL '!Y13/100/3.6*1000000</f>
        <v>22.371228628477681</v>
      </c>
      <c r="O8" s="33"/>
      <c r="P8" s="33"/>
      <c r="R8" s="32"/>
    </row>
    <row r="9" spans="1:18">
      <c r="A9" s="32" t="s">
        <v>50</v>
      </c>
      <c r="B9" s="37">
        <f t="shared" si="0"/>
        <v>1126.2215561999999</v>
      </c>
      <c r="C9" s="33"/>
      <c r="D9" s="37">
        <f>IF(ISERROR(TER_gezond_gas_kWh/1000),0,TER_gezond_gas_kWh/1000)*0.902</f>
        <v>2968.4308401836001</v>
      </c>
      <c r="E9" s="33">
        <f>$C$29*'E Balans VL '!I10/100/3.6*1000000</f>
        <v>6.2891041538200451E-2</v>
      </c>
      <c r="F9" s="33">
        <f>$C$29*('E Balans VL '!L10+'E Balans VL '!N10)/100/3.6*1000000</f>
        <v>149.22016649368896</v>
      </c>
      <c r="G9" s="34"/>
      <c r="H9" s="33"/>
      <c r="I9" s="33"/>
      <c r="J9" s="33">
        <f>$C$29*('E Balans VL '!D10+'E Balans VL '!E10)/100/3.6*1000000</f>
        <v>0</v>
      </c>
      <c r="K9" s="33"/>
      <c r="L9" s="33"/>
      <c r="M9" s="33"/>
      <c r="N9" s="33">
        <f>$C$29*'E Balans VL '!Y10/100/3.6*1000000</f>
        <v>11.937191526972983</v>
      </c>
      <c r="O9" s="33"/>
      <c r="P9" s="33"/>
      <c r="R9" s="32"/>
    </row>
    <row r="10" spans="1:18">
      <c r="A10" s="32" t="s">
        <v>49</v>
      </c>
      <c r="B10" s="37">
        <f t="shared" si="0"/>
        <v>1736.3152032999999</v>
      </c>
      <c r="C10" s="33"/>
      <c r="D10" s="37">
        <f>IF(ISERROR(TER_ander_gas_kWh/1000),0,TER_ander_gas_kWh/1000)*0.902</f>
        <v>3090.8621814421999</v>
      </c>
      <c r="E10" s="33">
        <f>$C$30*'E Balans VL '!I14/100/3.6*1000000</f>
        <v>22.421776494309892</v>
      </c>
      <c r="F10" s="33">
        <f>$C$30*('E Balans VL '!L14+'E Balans VL '!N14)/100/3.6*1000000</f>
        <v>1146.0918805433439</v>
      </c>
      <c r="G10" s="34"/>
      <c r="H10" s="33"/>
      <c r="I10" s="33"/>
      <c r="J10" s="33">
        <f>$C$30*('E Balans VL '!D14+'E Balans VL '!E14)/100/3.6*1000000</f>
        <v>2.1034094552280613E-2</v>
      </c>
      <c r="K10" s="33"/>
      <c r="L10" s="33"/>
      <c r="M10" s="33"/>
      <c r="N10" s="33">
        <f>$C$30*'E Balans VL '!Y14/100/3.6*1000000</f>
        <v>732.19705170535872</v>
      </c>
      <c r="O10" s="33"/>
      <c r="P10" s="33"/>
      <c r="R10" s="32"/>
    </row>
    <row r="11" spans="1:18">
      <c r="A11" s="32" t="s">
        <v>54</v>
      </c>
      <c r="B11" s="37">
        <f t="shared" si="0"/>
        <v>579.16748361999998</v>
      </c>
      <c r="C11" s="33"/>
      <c r="D11" s="37">
        <f>IF(ISERROR(TER_onderwijs_gas_kWh/1000),0,TER_onderwijs_gas_kWh/1000)*0.902</f>
        <v>1457.2396644564001</v>
      </c>
      <c r="E11" s="33">
        <f>$C$31*'E Balans VL '!I11/100/3.6*1000000</f>
        <v>7.7941575546900586</v>
      </c>
      <c r="F11" s="33">
        <f>$C$31*('E Balans VL '!L11+'E Balans VL '!N11)/100/3.6*1000000</f>
        <v>90.51071572716431</v>
      </c>
      <c r="G11" s="34"/>
      <c r="H11" s="33"/>
      <c r="I11" s="33"/>
      <c r="J11" s="33">
        <f>$C$31*('E Balans VL '!D11+'E Balans VL '!E11)/100/3.6*1000000</f>
        <v>0</v>
      </c>
      <c r="K11" s="33"/>
      <c r="L11" s="33"/>
      <c r="M11" s="33"/>
      <c r="N11" s="33">
        <f>$C$31*'E Balans VL '!Y11/100/3.6*1000000</f>
        <v>1.3373251637300705</v>
      </c>
      <c r="O11" s="33"/>
      <c r="P11" s="33"/>
      <c r="R11" s="32"/>
    </row>
    <row r="12" spans="1:18">
      <c r="A12" s="32" t="s">
        <v>249</v>
      </c>
      <c r="B12" s="37">
        <f t="shared" si="0"/>
        <v>2124.9826558</v>
      </c>
      <c r="C12" s="33"/>
      <c r="D12" s="37">
        <f>IF(ISERROR(TER_rest_gas_kWh/1000),0,TER_rest_gas_kWh/1000)*0.902</f>
        <v>7054.4150885098006</v>
      </c>
      <c r="E12" s="33">
        <f>$C$32*'E Balans VL '!I8/100/3.6*1000000</f>
        <v>28.744986004498372</v>
      </c>
      <c r="F12" s="33">
        <f>$C$32*('E Balans VL '!L8+'E Balans VL '!N8)/100/3.6*1000000</f>
        <v>508.06944968410181</v>
      </c>
      <c r="G12" s="34"/>
      <c r="H12" s="33"/>
      <c r="I12" s="33"/>
      <c r="J12" s="33">
        <f>$C$32*('E Balans VL '!D8+'E Balans VL '!E8)/100/3.6*1000000</f>
        <v>4.6522281119211126E-3</v>
      </c>
      <c r="K12" s="33"/>
      <c r="L12" s="33"/>
      <c r="M12" s="33"/>
      <c r="N12" s="33">
        <f>$C$32*'E Balans VL '!Y8/100/3.6*1000000</f>
        <v>165.50182364457302</v>
      </c>
      <c r="O12" s="33"/>
      <c r="P12" s="33"/>
      <c r="R12" s="32"/>
    </row>
    <row r="13" spans="1:18">
      <c r="A13" s="16" t="s">
        <v>477</v>
      </c>
      <c r="B13" s="242">
        <f ca="1">'lokale energieproductie'!N41+'lokale energieproductie'!N34</f>
        <v>12874.500000000002</v>
      </c>
      <c r="C13" s="242">
        <f ca="1">'lokale energieproductie'!O41+'lokale energieproductie'!O34</f>
        <v>18392.142857142859</v>
      </c>
      <c r="D13" s="300">
        <f ca="1">('lokale energieproductie'!P34+'lokale energieproductie'!P41)*(-1)</f>
        <v>-36784.285714285725</v>
      </c>
      <c r="E13" s="243"/>
      <c r="F13" s="300">
        <f ca="1">('lokale energieproductie'!S34+'lokale energieproductie'!S41)*(-1)</f>
        <v>0</v>
      </c>
      <c r="G13" s="244"/>
      <c r="H13" s="243"/>
      <c r="I13" s="243"/>
      <c r="J13" s="243"/>
      <c r="K13" s="243"/>
      <c r="L13" s="300">
        <f ca="1">('lokale energieproductie'!U34+'lokale energieproductie'!T34+'lokale energieproductie'!U41+'lokale energieproductie'!T41)*(-1)</f>
        <v>0</v>
      </c>
      <c r="M13" s="243"/>
      <c r="N13" s="300">
        <f ca="1">('lokale energieproductie'!Q34+'lokale energieproductie'!R34+'lokale energieproductie'!V34+'lokale energieproductie'!Q41+'lokale energieproductie'!R41+'lokale energieproductie'!V41)*(-1)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55558.801354920004</v>
      </c>
      <c r="C16" s="21">
        <f t="shared" ca="1" si="1"/>
        <v>18392.142857142859</v>
      </c>
      <c r="D16" s="21">
        <f t="shared" ca="1" si="1"/>
        <v>17356.463234713076</v>
      </c>
      <c r="E16" s="21">
        <f t="shared" si="1"/>
        <v>712.68723809647236</v>
      </c>
      <c r="F16" s="21">
        <f t="shared" ca="1" si="1"/>
        <v>7575.7696552924072</v>
      </c>
      <c r="G16" s="21">
        <f t="shared" si="1"/>
        <v>0</v>
      </c>
      <c r="H16" s="21">
        <f t="shared" si="1"/>
        <v>0</v>
      </c>
      <c r="I16" s="21">
        <f t="shared" si="1"/>
        <v>0</v>
      </c>
      <c r="J16" s="21">
        <f t="shared" si="1"/>
        <v>2.5686322664201726E-2</v>
      </c>
      <c r="K16" s="21">
        <f t="shared" si="1"/>
        <v>0</v>
      </c>
      <c r="L16" s="21">
        <f t="shared" ca="1" si="1"/>
        <v>0</v>
      </c>
      <c r="M16" s="21">
        <f t="shared" si="1"/>
        <v>0</v>
      </c>
      <c r="N16" s="21">
        <f t="shared" ca="1" si="1"/>
        <v>953.48095275738717</v>
      </c>
      <c r="O16" s="21">
        <f>O5</f>
        <v>0</v>
      </c>
      <c r="P16" s="21">
        <f>P5</f>
        <v>76.266666666666666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0.2100090719538264</v>
      </c>
      <c r="C18" s="25">
        <f ca="1">'EF ele_warmte'!B22</f>
        <v>0.23764662505779607</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11667.852311413742</v>
      </c>
      <c r="C20" s="23">
        <f t="shared" ref="C20:P20" ca="1" si="2">C16*C18</f>
        <v>4370.8306775808514</v>
      </c>
      <c r="D20" s="23">
        <f t="shared" ca="1" si="2"/>
        <v>3506.0055734120415</v>
      </c>
      <c r="E20" s="23">
        <f t="shared" si="2"/>
        <v>161.78000304789924</v>
      </c>
      <c r="F20" s="23">
        <f t="shared" ca="1" si="2"/>
        <v>2022.7304979630728</v>
      </c>
      <c r="G20" s="23">
        <f t="shared" si="2"/>
        <v>0</v>
      </c>
      <c r="H20" s="23">
        <f t="shared" si="2"/>
        <v>0</v>
      </c>
      <c r="I20" s="23">
        <f t="shared" si="2"/>
        <v>0</v>
      </c>
      <c r="J20" s="23">
        <f t="shared" si="2"/>
        <v>9.0929582231274106E-3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15533.34899</v>
      </c>
      <c r="C26" s="39">
        <f>IF(ISERROR(B26*3.6/1000000/'E Balans VL '!Z12*100),0,B26*3.6/1000000/'E Balans VL '!Z12*100)</f>
        <v>0.41677856966421667</v>
      </c>
      <c r="D26" s="232" t="s">
        <v>621</v>
      </c>
      <c r="F26" s="6"/>
    </row>
    <row r="27" spans="1:18">
      <c r="A27" s="227" t="s">
        <v>52</v>
      </c>
      <c r="B27" s="33">
        <f>IF(ISERROR(TER_horeca_ele_kWh/1000),0,TER_horeca_ele_kWh/1000)</f>
        <v>2576.8263059999999</v>
      </c>
      <c r="C27" s="39">
        <f>IF(ISERROR(B27*3.6/1000000/'E Balans VL '!Z9*100),0,B27*3.6/1000000/'E Balans VL '!Z9*100)</f>
        <v>0.20471085040172834</v>
      </c>
      <c r="D27" s="232" t="s">
        <v>621</v>
      </c>
      <c r="F27" s="6"/>
    </row>
    <row r="28" spans="1:18">
      <c r="A28" s="167" t="s">
        <v>51</v>
      </c>
      <c r="B28" s="33">
        <f>IF(ISERROR(TER_handel_ele_kWh/1000),0,TER_handel_ele_kWh/1000)</f>
        <v>19007.439160000002</v>
      </c>
      <c r="C28" s="39">
        <f>IF(ISERROR(B28*3.6/1000000/'E Balans VL '!Z13*100),0,B28*3.6/1000000/'E Balans VL '!Z13*100)</f>
        <v>0.55596534763094096</v>
      </c>
      <c r="D28" s="232" t="s">
        <v>621</v>
      </c>
      <c r="F28" s="6"/>
    </row>
    <row r="29" spans="1:18">
      <c r="A29" s="227" t="s">
        <v>50</v>
      </c>
      <c r="B29" s="33">
        <f>IF(ISERROR(TER_gezond_ele_kWh/1000),0,TER_gezond_ele_kWh/1000)</f>
        <v>1126.2215561999999</v>
      </c>
      <c r="C29" s="39">
        <f>IF(ISERROR(B29*3.6/1000000/'E Balans VL '!Z10*100),0,B29*3.6/1000000/'E Balans VL '!Z10*100)</f>
        <v>0.11953254576100225</v>
      </c>
      <c r="D29" s="232" t="s">
        <v>621</v>
      </c>
      <c r="F29" s="6"/>
    </row>
    <row r="30" spans="1:18">
      <c r="A30" s="227" t="s">
        <v>49</v>
      </c>
      <c r="B30" s="33">
        <f>IF(ISERROR(TER_ander_ele_kWh/1000),0,TER_ander_ele_kWh/1000)</f>
        <v>1736.3152032999999</v>
      </c>
      <c r="C30" s="39">
        <f>IF(ISERROR(B30*3.6/1000000/'E Balans VL '!Z14*100),0,B30*3.6/1000000/'E Balans VL '!Z14*100)</f>
        <v>8.0762308434524532E-2</v>
      </c>
      <c r="D30" s="232" t="s">
        <v>621</v>
      </c>
      <c r="F30" s="6"/>
    </row>
    <row r="31" spans="1:18">
      <c r="A31" s="227" t="s">
        <v>54</v>
      </c>
      <c r="B31" s="33">
        <f>IF(ISERROR(TER_onderwijs_ele_kWh/1000),0,TER_onderwijs_ele_kWh/1000)</f>
        <v>579.16748361999998</v>
      </c>
      <c r="C31" s="39">
        <f>IF(ISERROR(B31*3.6/1000000/'E Balans VL '!Z11*100),0,B31*3.6/1000000/'E Balans VL '!Z11*100)</f>
        <v>0.14495361749246094</v>
      </c>
      <c r="D31" s="232" t="s">
        <v>621</v>
      </c>
    </row>
    <row r="32" spans="1:18">
      <c r="A32" s="227" t="s">
        <v>249</v>
      </c>
      <c r="B32" s="33">
        <f>IF(ISERROR(TER_rest_ele_kWh/1000),0,TER_rest_ele_kWh/1000)</f>
        <v>2124.9826558</v>
      </c>
      <c r="C32" s="39">
        <f>IF(ISERROR(B32*3.6/1000000/'E Balans VL '!Z8*100),0,B32*3.6/1000000/'E Balans VL '!Z8*100)</f>
        <v>1.7862650600379698E-2</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0</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4</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10868.246849634001</v>
      </c>
      <c r="C5" s="17">
        <f>IF(ISERROR('Eigen informatie GS &amp; warmtenet'!B59),0,'Eigen informatie GS &amp; warmtenet'!B59)</f>
        <v>0</v>
      </c>
      <c r="D5" s="30">
        <f>SUM(D6:D15)</f>
        <v>10817.547958964515</v>
      </c>
      <c r="E5" s="17">
        <f>SUM(E6:E15)</f>
        <v>1104.7776427944755</v>
      </c>
      <c r="F5" s="17">
        <f>SUM(F6:F15)</f>
        <v>4205.3176416036586</v>
      </c>
      <c r="G5" s="18"/>
      <c r="H5" s="17"/>
      <c r="I5" s="17"/>
      <c r="J5" s="17">
        <f>SUM(J6:J15)</f>
        <v>127.06441775361994</v>
      </c>
      <c r="K5" s="17"/>
      <c r="L5" s="17"/>
      <c r="M5" s="17"/>
      <c r="N5" s="17">
        <f>SUM(N6:N15)</f>
        <v>1263.0225562106925</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437.87552646</v>
      </c>
      <c r="C8" s="33"/>
      <c r="D8" s="37">
        <f>IF( ISERROR(IND_metaal_Gas_kWH/1000),0,IND_metaal_Gas_kWH/1000)*0.902</f>
        <v>151.03456749326</v>
      </c>
      <c r="E8" s="33">
        <f>C30*'E Balans VL '!I18/100/3.6*1000000</f>
        <v>15.756086105294623</v>
      </c>
      <c r="F8" s="33">
        <f>C30*'E Balans VL '!L18/100/3.6*1000000+C30*'E Balans VL '!N18/100/3.6*1000000</f>
        <v>191.20604800768754</v>
      </c>
      <c r="G8" s="34"/>
      <c r="H8" s="33"/>
      <c r="I8" s="33"/>
      <c r="J8" s="40">
        <f>C30*'E Balans VL '!D18/100/3.6*1000000+C30*'E Balans VL '!E18/100/3.6*1000000</f>
        <v>0</v>
      </c>
      <c r="K8" s="33"/>
      <c r="L8" s="33"/>
      <c r="M8" s="33"/>
      <c r="N8" s="33">
        <f>C30*'E Balans VL '!Y18/100/3.6*1000000</f>
        <v>21.946023818224795</v>
      </c>
      <c r="O8" s="33"/>
      <c r="P8" s="33"/>
      <c r="R8" s="32"/>
    </row>
    <row r="9" spans="1:18">
      <c r="A9" s="6" t="s">
        <v>32</v>
      </c>
      <c r="B9" s="37">
        <f t="shared" si="0"/>
        <v>3136.3676751000003</v>
      </c>
      <c r="C9" s="33"/>
      <c r="D9" s="37">
        <f>IF( ISERROR(IND_andere_gas_kWh/1000),0,IND_andere_gas_kWh/1000)*0.902</f>
        <v>4256.4025729983996</v>
      </c>
      <c r="E9" s="33">
        <f>C31*'E Balans VL '!I19/100/3.6*1000000</f>
        <v>800.33006837929065</v>
      </c>
      <c r="F9" s="33">
        <f>C31*'E Balans VL '!L19/100/3.6*1000000+C31*'E Balans VL '!N19/100/3.6*1000000</f>
        <v>2700.1768297019121</v>
      </c>
      <c r="G9" s="34"/>
      <c r="H9" s="33"/>
      <c r="I9" s="33"/>
      <c r="J9" s="40">
        <f>C31*'E Balans VL '!D19/100/3.6*1000000+C31*'E Balans VL '!E19/100/3.6*1000000</f>
        <v>0</v>
      </c>
      <c r="K9" s="33"/>
      <c r="L9" s="33"/>
      <c r="M9" s="33"/>
      <c r="N9" s="33">
        <f>C31*'E Balans VL '!Y19/100/3.6*1000000</f>
        <v>247.42270868064293</v>
      </c>
      <c r="O9" s="33"/>
      <c r="P9" s="33"/>
      <c r="R9" s="32"/>
    </row>
    <row r="10" spans="1:18">
      <c r="A10" s="6" t="s">
        <v>40</v>
      </c>
      <c r="B10" s="37">
        <f t="shared" si="0"/>
        <v>1082.8837541</v>
      </c>
      <c r="C10" s="33"/>
      <c r="D10" s="37">
        <f>IF( ISERROR(IND_voed_gas_kWh/1000),0,IND_voed_gas_kWh/1000)*0.902</f>
        <v>912.5135944694</v>
      </c>
      <c r="E10" s="33">
        <f>C32*'E Balans VL '!I20/100/3.6*1000000</f>
        <v>27.528391950467064</v>
      </c>
      <c r="F10" s="33">
        <f>C32*'E Balans VL '!L20/100/3.6*1000000+C32*'E Balans VL '!N20/100/3.6*1000000</f>
        <v>245.04033806580688</v>
      </c>
      <c r="G10" s="34"/>
      <c r="H10" s="33"/>
      <c r="I10" s="33"/>
      <c r="J10" s="40">
        <f>C32*'E Balans VL '!D20/100/3.6*1000000+C32*'E Balans VL '!E20/100/3.6*1000000</f>
        <v>0</v>
      </c>
      <c r="K10" s="33"/>
      <c r="L10" s="33"/>
      <c r="M10" s="33"/>
      <c r="N10" s="33">
        <f>C32*'E Balans VL '!Y20/100/3.6*1000000</f>
        <v>406.11076050620477</v>
      </c>
      <c r="O10" s="33"/>
      <c r="P10" s="33"/>
      <c r="R10" s="32"/>
    </row>
    <row r="11" spans="1:18">
      <c r="A11" s="6" t="s">
        <v>39</v>
      </c>
      <c r="B11" s="37">
        <f t="shared" si="0"/>
        <v>159.77299752000002</v>
      </c>
      <c r="C11" s="33"/>
      <c r="D11" s="37">
        <f>IF( ISERROR(IND_textiel_gas_kWh/1000),0,IND_textiel_gas_kWh/1000)*0.902</f>
        <v>204.72490851560002</v>
      </c>
      <c r="E11" s="33">
        <f>C33*'E Balans VL '!I21/100/3.6*1000000</f>
        <v>0.43861984480227589</v>
      </c>
      <c r="F11" s="33">
        <f>C33*'E Balans VL '!L21/100/3.6*1000000+C33*'E Balans VL '!N21/100/3.6*1000000</f>
        <v>8.4704984686310638</v>
      </c>
      <c r="G11" s="34"/>
      <c r="H11" s="33"/>
      <c r="I11" s="33"/>
      <c r="J11" s="40">
        <f>C33*'E Balans VL '!D21/100/3.6*1000000+C33*'E Balans VL '!E21/100/3.6*1000000</f>
        <v>0</v>
      </c>
      <c r="K11" s="33"/>
      <c r="L11" s="33"/>
      <c r="M11" s="33"/>
      <c r="N11" s="33">
        <f>C33*'E Balans VL '!Y21/100/3.6*1000000</f>
        <v>0.32111728536316098</v>
      </c>
      <c r="O11" s="33"/>
      <c r="P11" s="33"/>
      <c r="R11" s="32"/>
    </row>
    <row r="12" spans="1:18">
      <c r="A12" s="6" t="s">
        <v>36</v>
      </c>
      <c r="B12" s="37">
        <f t="shared" si="0"/>
        <v>36.779908453999994</v>
      </c>
      <c r="C12" s="33"/>
      <c r="D12" s="37">
        <f>IF( ISERROR(IND_min_gas_kWh/1000),0,IND_min_gas_kWh/1000)*0.902</f>
        <v>44.167961585176002</v>
      </c>
      <c r="E12" s="33">
        <f>C34*'E Balans VL '!I22/100/3.6*1000000</f>
        <v>0.78148087602386773</v>
      </c>
      <c r="F12" s="33">
        <f>C34*'E Balans VL '!L22/100/3.6*1000000+C34*'E Balans VL '!N22/100/3.6*1000000</f>
        <v>6.0009555062770144</v>
      </c>
      <c r="G12" s="34"/>
      <c r="H12" s="33"/>
      <c r="I12" s="33"/>
      <c r="J12" s="40">
        <f>C34*'E Balans VL '!D22/100/3.6*1000000+C34*'E Balans VL '!E22/100/3.6*1000000</f>
        <v>4.2852025668796409E-2</v>
      </c>
      <c r="K12" s="33"/>
      <c r="L12" s="33"/>
      <c r="M12" s="33"/>
      <c r="N12" s="33">
        <f>C34*'E Balans VL '!Y22/100/3.6*1000000</f>
        <v>0</v>
      </c>
      <c r="O12" s="33"/>
      <c r="P12" s="33"/>
      <c r="R12" s="32"/>
    </row>
    <row r="13" spans="1:18">
      <c r="A13" s="6" t="s">
        <v>38</v>
      </c>
      <c r="B13" s="37">
        <f t="shared" si="0"/>
        <v>1330.1195600000001</v>
      </c>
      <c r="C13" s="33"/>
      <c r="D13" s="37">
        <f>IF( ISERROR(IND_papier_gas_kWh/1000),0,IND_papier_gas_kWh/1000)*0.902</f>
        <v>125.03909247807999</v>
      </c>
      <c r="E13" s="33">
        <f>C35*'E Balans VL '!I23/100/3.6*1000000</f>
        <v>5.7044958374057195</v>
      </c>
      <c r="F13" s="33">
        <f>C35*'E Balans VL '!L23/100/3.6*1000000+C35*'E Balans VL '!N23/100/3.6*1000000</f>
        <v>33.430032971098314</v>
      </c>
      <c r="G13" s="34"/>
      <c r="H13" s="33"/>
      <c r="I13" s="33"/>
      <c r="J13" s="40">
        <f>C35*'E Balans VL '!D23/100/3.6*1000000+C35*'E Balans VL '!E23/100/3.6*1000000</f>
        <v>89.044209136316908</v>
      </c>
      <c r="K13" s="33"/>
      <c r="L13" s="33"/>
      <c r="M13" s="33"/>
      <c r="N13" s="33">
        <f>C35*'E Balans VL '!Y23/100/3.6*1000000</f>
        <v>324.36781197044223</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4684.4474280000004</v>
      </c>
      <c r="C15" s="33"/>
      <c r="D15" s="37">
        <f>IF( ISERROR(IND_rest_gas_kWh/1000),0,IND_rest_gas_kWh/1000)*0.902</f>
        <v>5123.6652614245995</v>
      </c>
      <c r="E15" s="33">
        <f>C37*'E Balans VL '!I15/100/3.6*1000000</f>
        <v>254.23849980119144</v>
      </c>
      <c r="F15" s="33">
        <f>C37*'E Balans VL '!L15/100/3.6*1000000+C37*'E Balans VL '!N15/100/3.6*1000000</f>
        <v>1020.9929388822464</v>
      </c>
      <c r="G15" s="34"/>
      <c r="H15" s="33"/>
      <c r="I15" s="33"/>
      <c r="J15" s="40">
        <f>C37*'E Balans VL '!D15/100/3.6*1000000+C37*'E Balans VL '!E15/100/3.6*1000000</f>
        <v>37.977356591634233</v>
      </c>
      <c r="K15" s="33"/>
      <c r="L15" s="33"/>
      <c r="M15" s="33"/>
      <c r="N15" s="33">
        <f>C37*'E Balans VL '!Y15/100/3.6*1000000</f>
        <v>262.85413394981458</v>
      </c>
      <c r="O15" s="33"/>
      <c r="P15" s="33"/>
      <c r="R15" s="32"/>
    </row>
    <row r="16" spans="1:18">
      <c r="A16" s="16" t="s">
        <v>477</v>
      </c>
      <c r="B16" s="242">
        <f>'lokale energieproductie'!N40+'lokale energieproductie'!N33</f>
        <v>0</v>
      </c>
      <c r="C16" s="242">
        <f>'lokale energieproductie'!O40+'lokale energieproductie'!O33</f>
        <v>0</v>
      </c>
      <c r="D16" s="300">
        <f>('lokale energieproductie'!P33+'lokale energieproductie'!P40)*(-1)</f>
        <v>0</v>
      </c>
      <c r="E16" s="243"/>
      <c r="F16" s="300">
        <f>('lokale energieproductie'!S33+'lokale energieproductie'!S40)*(-1)</f>
        <v>0</v>
      </c>
      <c r="G16" s="244"/>
      <c r="H16" s="243"/>
      <c r="I16" s="243"/>
      <c r="J16" s="243"/>
      <c r="K16" s="243"/>
      <c r="L16" s="300">
        <f>('lokale energieproductie'!T33+'lokale energieproductie'!U33+'lokale energieproductie'!T40+'lokale energieproductie'!U40)*(-1)</f>
        <v>0</v>
      </c>
      <c r="M16" s="243"/>
      <c r="N16" s="300">
        <f>('lokale energieproductie'!Q33+'lokale energieproductie'!R33+'lokale energieproductie'!V33+'lokale energieproductie'!Q40+'lokale energieproductie'!R40+'lokale energieproductie'!V40)*(-1)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10868.246849634001</v>
      </c>
      <c r="C18" s="21">
        <f>C5+C16</f>
        <v>0</v>
      </c>
      <c r="D18" s="21">
        <f>MAX((D5+D16),0)</f>
        <v>10817.547958964515</v>
      </c>
      <c r="E18" s="21">
        <f>MAX((E5+E16),0)</f>
        <v>1104.7776427944755</v>
      </c>
      <c r="F18" s="21">
        <f>MAX((F5+F16),0)</f>
        <v>4205.3176416036586</v>
      </c>
      <c r="G18" s="21"/>
      <c r="H18" s="21"/>
      <c r="I18" s="21"/>
      <c r="J18" s="21">
        <f>MAX((J5+J16),0)</f>
        <v>127.06441775361994</v>
      </c>
      <c r="K18" s="21"/>
      <c r="L18" s="21">
        <f>MAX((L5+L16),0)</f>
        <v>0</v>
      </c>
      <c r="M18" s="21"/>
      <c r="N18" s="21">
        <f>MAX((N5+N16),0)</f>
        <v>1263.0225562106925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0.2100090719538264</v>
      </c>
      <c r="C20" s="25">
        <f ca="1">'EF ele_warmte'!B22</f>
        <v>0.23764662505779607</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2282.4304346567337</v>
      </c>
      <c r="C22" s="23">
        <f ca="1">C18*C20</f>
        <v>0</v>
      </c>
      <c r="D22" s="23">
        <f>D18*D20</f>
        <v>2185.1446877108319</v>
      </c>
      <c r="E22" s="23">
        <f>E18*E20</f>
        <v>250.78452491434595</v>
      </c>
      <c r="F22" s="23">
        <f>F18*F20</f>
        <v>1122.819810308177</v>
      </c>
      <c r="G22" s="23"/>
      <c r="H22" s="23"/>
      <c r="I22" s="23"/>
      <c r="J22" s="23">
        <f>J18*J20</f>
        <v>44.980803884781452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437.87552646</v>
      </c>
      <c r="C30" s="39">
        <f>IF(ISERROR(B30*3.6/1000000/'E Balans VL '!Z18*100),0,B30*3.6/1000000/'E Balans VL '!Z18*100)</f>
        <v>9.2776436253007369E-2</v>
      </c>
      <c r="D30" s="232" t="s">
        <v>621</v>
      </c>
    </row>
    <row r="31" spans="1:18">
      <c r="A31" s="6" t="s">
        <v>32</v>
      </c>
      <c r="B31" s="37">
        <f>IF( ISERROR(IND_ander_ele_kWh/1000),0,IND_ander_ele_kWh/1000)</f>
        <v>3136.3676751000003</v>
      </c>
      <c r="C31" s="39">
        <f>IF(ISERROR(B31*3.6/1000000/'E Balans VL '!Z19*100),0,B31*3.6/1000000/'E Balans VL '!Z19*100)</f>
        <v>0.13201683708569317</v>
      </c>
      <c r="D31" s="232" t="s">
        <v>621</v>
      </c>
    </row>
    <row r="32" spans="1:18">
      <c r="A32" s="167" t="s">
        <v>40</v>
      </c>
      <c r="B32" s="37">
        <f>IF( ISERROR(IND_voed_ele_kWh/1000),0,IND_voed_ele_kWh/1000)</f>
        <v>1082.8837541</v>
      </c>
      <c r="C32" s="39">
        <f>IF(ISERROR(B32*3.6/1000000/'E Balans VL '!Z20*100),0,B32*3.6/1000000/'E Balans VL '!Z20*100)</f>
        <v>0.18090798310943176</v>
      </c>
      <c r="D32" s="232" t="s">
        <v>621</v>
      </c>
    </row>
    <row r="33" spans="1:5">
      <c r="A33" s="167" t="s">
        <v>39</v>
      </c>
      <c r="B33" s="37">
        <f>IF( ISERROR(IND_textiel_ele_kWh/1000),0,IND_textiel_ele_kWh/1000)</f>
        <v>159.77299752000002</v>
      </c>
      <c r="C33" s="39">
        <f>IF(ISERROR(B33*3.6/1000000/'E Balans VL '!Z21*100),0,B33*3.6/1000000/'E Balans VL '!Z21*100)</f>
        <v>9.3280257186103416E-3</v>
      </c>
      <c r="D33" s="232" t="s">
        <v>621</v>
      </c>
    </row>
    <row r="34" spans="1:5">
      <c r="A34" s="167" t="s">
        <v>36</v>
      </c>
      <c r="B34" s="37">
        <f>IF( ISERROR(IND_min_ele_kWh/1000),0,IND_min_ele_kWh/1000)</f>
        <v>36.779908453999994</v>
      </c>
      <c r="C34" s="39">
        <f>IF(ISERROR(B34*3.6/1000000/'E Balans VL '!Z22*100),0,B34*3.6/1000000/'E Balans VL '!Z22*100)</f>
        <v>4.6620517500049622E-3</v>
      </c>
      <c r="D34" s="232" t="s">
        <v>621</v>
      </c>
    </row>
    <row r="35" spans="1:5">
      <c r="A35" s="167" t="s">
        <v>38</v>
      </c>
      <c r="B35" s="37">
        <f>IF( ISERROR(IND_papier_ele_kWh/1000),0,IND_papier_ele_kWh/1000)</f>
        <v>1330.1195600000001</v>
      </c>
      <c r="C35" s="39">
        <f>IF(ISERROR(B35*3.6/1000000/'E Balans VL '!Z22*100),0,B35*3.6/1000000/'E Balans VL '!Z22*100)</f>
        <v>0.16859982754360095</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4684.4474280000004</v>
      </c>
      <c r="C37" s="39">
        <f>IF(ISERROR(B37*3.6/1000000/'E Balans VL '!Z15*100),0,B37*3.6/1000000/'E Balans VL '!Z15*100)</f>
        <v>3.7819357987426007E-2</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3530.4295037500001</v>
      </c>
      <c r="C5" s="17">
        <f>'Eigen informatie GS &amp; warmtenet'!B60</f>
        <v>0</v>
      </c>
      <c r="D5" s="30">
        <f>IF(ISERROR(SUM(LB_lb_gas_kWh,LB_rest_gas_kWh)/1000),0,SUM(LB_lb_gas_kWh,LB_rest_gas_kWh)/1000)*0.902</f>
        <v>64774.290488715604</v>
      </c>
      <c r="E5" s="17">
        <f>B17*'E Balans VL '!I25/3.6*1000000/100</f>
        <v>69.940844664585285</v>
      </c>
      <c r="F5" s="17">
        <f>B17*('E Balans VL '!L25/3.6*1000000+'E Balans VL '!N25/3.6*1000000)/100</f>
        <v>12874.480671758844</v>
      </c>
      <c r="G5" s="18"/>
      <c r="H5" s="17"/>
      <c r="I5" s="17"/>
      <c r="J5" s="17">
        <f>('E Balans VL '!D25+'E Balans VL '!E25)/3.6*1000000*landbouw!B17/100</f>
        <v>838.26620197774025</v>
      </c>
      <c r="K5" s="17"/>
      <c r="L5" s="17">
        <f>L6*(-1)</f>
        <v>0</v>
      </c>
      <c r="M5" s="17"/>
      <c r="N5" s="17">
        <f>N6*(-1)</f>
        <v>0</v>
      </c>
      <c r="O5" s="17"/>
      <c r="P5" s="17"/>
      <c r="R5" s="32"/>
    </row>
    <row r="6" spans="1:18">
      <c r="A6" s="16" t="s">
        <v>477</v>
      </c>
      <c r="B6" s="17" t="s">
        <v>204</v>
      </c>
      <c r="C6" s="17">
        <f>'lokale energieproductie'!O42+'lokale energieproductie'!O35</f>
        <v>43304.886422136427</v>
      </c>
      <c r="D6" s="300">
        <f>('lokale energieproductie'!P35+'lokale energieproductie'!P42)*(-1)</f>
        <v>-86609.543114543121</v>
      </c>
      <c r="E6" s="243"/>
      <c r="F6" s="300">
        <f>('lokale energieproductie'!S35+'lokale energieproductie'!S42)*(-1)</f>
        <v>0</v>
      </c>
      <c r="G6" s="244"/>
      <c r="H6" s="243"/>
      <c r="I6" s="243"/>
      <c r="J6" s="243"/>
      <c r="K6" s="243"/>
      <c r="L6" s="300">
        <f>('lokale energieproductie'!T35+'lokale energieproductie'!U35+'lokale energieproductie'!T42+'lokale energieproductie'!U42)*(-1)</f>
        <v>0</v>
      </c>
      <c r="M6" s="243"/>
      <c r="N6" s="300">
        <f>('lokale energieproductie'!V35+'lokale energieproductie'!R35+'lokale energieproductie'!Q35+'lokale energieproductie'!Q42+'lokale energieproductie'!R42+'lokale energieproductie'!V42)*(-1)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3530.4295037500001</v>
      </c>
      <c r="C8" s="21">
        <f>C5+C6</f>
        <v>43304.886422136427</v>
      </c>
      <c r="D8" s="21">
        <f>MAX((D5+D6),0)</f>
        <v>0</v>
      </c>
      <c r="E8" s="21">
        <f>MAX((E5+E6),0)</f>
        <v>69.940844664585285</v>
      </c>
      <c r="F8" s="21">
        <f>MAX((F5+F6),0)</f>
        <v>12874.480671758844</v>
      </c>
      <c r="G8" s="21"/>
      <c r="H8" s="21"/>
      <c r="I8" s="21"/>
      <c r="J8" s="21">
        <f>MAX((J5+J6),0)</f>
        <v>838.26620197774025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0.2100090719538264</v>
      </c>
      <c r="C10" s="31">
        <f ca="1">'EF ele_warmte'!B22</f>
        <v>0.23764662505779607</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741.42222368094542</v>
      </c>
      <c r="C12" s="23">
        <f ca="1">C8*C10</f>
        <v>10291.260106731899</v>
      </c>
      <c r="D12" s="23">
        <f>D8*D10</f>
        <v>0</v>
      </c>
      <c r="E12" s="23">
        <f>E8*E10</f>
        <v>15.876571738860861</v>
      </c>
      <c r="F12" s="23">
        <f>F8*F10</f>
        <v>3437.4863393596115</v>
      </c>
      <c r="G12" s="23"/>
      <c r="H12" s="23"/>
      <c r="I12" s="23"/>
      <c r="J12" s="23">
        <f>J8*J10</f>
        <v>296.74623550012001</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0.49781394506942306</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171.75880303399435</v>
      </c>
      <c r="C26" s="242">
        <f>B26*'GWP N2O_CH4'!B5</f>
        <v>3606.9348637138814</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31.711947495128136</v>
      </c>
      <c r="C27" s="242">
        <f>B27*'GWP N2O_CH4'!B5</f>
        <v>665.95089739769082</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2.4620683855922127</v>
      </c>
      <c r="C28" s="242">
        <f>B28*'GWP N2O_CH4'!B4</f>
        <v>763.24119953358593</v>
      </c>
      <c r="D28" s="50"/>
    </row>
    <row r="29" spans="1:4">
      <c r="A29" s="41" t="s">
        <v>266</v>
      </c>
      <c r="B29" s="242">
        <f>B34*'ha_N2O bodem landbouw'!B4</f>
        <v>5.9982636083663374</v>
      </c>
      <c r="C29" s="242">
        <f>B29*'GWP N2O_CH4'!B4</f>
        <v>1859.4617185935647</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1.349935267008742E-3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3.7212586982187496E-4</v>
      </c>
      <c r="C5" s="427" t="s">
        <v>204</v>
      </c>
      <c r="D5" s="412">
        <f>SUM(D6:D11)</f>
        <v>5.4571621632364402E-4</v>
      </c>
      <c r="E5" s="412">
        <f>SUM(E6:E11)</f>
        <v>2.7742574499471061E-3</v>
      </c>
      <c r="F5" s="425" t="s">
        <v>204</v>
      </c>
      <c r="G5" s="412">
        <f>SUM(G6:G11)</f>
        <v>1.1927013161506634</v>
      </c>
      <c r="H5" s="412">
        <f>SUM(H6:H11)</f>
        <v>0.19392848859948209</v>
      </c>
      <c r="I5" s="427" t="s">
        <v>204</v>
      </c>
      <c r="J5" s="427" t="s">
        <v>204</v>
      </c>
      <c r="K5" s="427" t="s">
        <v>204</v>
      </c>
      <c r="L5" s="427" t="s">
        <v>204</v>
      </c>
      <c r="M5" s="412">
        <f>SUM(M6:M11)</f>
        <v>4.3334266853560503E-2</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1.1893979439970805E-4</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1.8741693603428441E-4</v>
      </c>
      <c r="E6" s="818">
        <f>vkm_GW_PW*SUMIFS(TableVerdeelsleutelVkm[LPG],TableVerdeelsleutelVkm[Voertuigtype],"Lichte voertuigen")*SUMIFS(TableECFTransport[EnergieConsumptieFactor (PJ per km)],TableECFTransport[Index],CONCATENATE($A6,"_LPG_LPG"))</f>
        <v>8.5551418722307117E-4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0.23099049554456302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6.5224904427000838E-2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9.2217822860720233E-3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6.4188728901439433E-6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0.22125126162593572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4.4949077988427263E-6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6.960592153477935E-3</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3.3818110452734423E-5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7.5488968214587124E-5</v>
      </c>
      <c r="E8" s="415">
        <f>vkm_NGW_PW*SUMIFS(TableVerdeelsleutelVkm[LPG],TableVerdeelsleutelVkm[Voertuigtype],"Lichte voertuigen")*SUMIFS(TableECFTransport[EnergieConsumptieFactor (PJ per km)],TableECFTransport[Index],CONCATENATE($A8,"_LPG_LPG"))</f>
        <v>3.2874627006551361E-4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8.2760319381969039E-2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2.5489970971370297E-2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3.3675897989023915E-3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1.0078647098166652E-6</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4.4667361178518869E-2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8.5188446220727904E-7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1.4052390614096902E-3</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2.0512566857813018E-4</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2.8281031207477253E-4</v>
      </c>
      <c r="E10" s="415">
        <f>vkm_SW_PW*SUMIFS(TableVerdeelsleutelVkm[LPG],TableVerdeelsleutelVkm[Voertuigtype],"Lichte voertuigen")*SUMIFS(TableECFTransport[EnergieConsumptieFactor (PJ per km)],TableECFTransport[Index],CONCATENATE($A10,"_LPG_LPG"))</f>
        <v>1.5899969926585213E-3</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0.38918229198070403</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0.1032033540066197</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1.5336716848011064E-2</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6.8155587913417402E-6</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0.22384958643897276</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4.9124022302227184E-6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7.0423467056873945E-3</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103.36829717274304</v>
      </c>
      <c r="C14" s="21"/>
      <c r="D14" s="21">
        <f t="shared" ref="D14:M14" si="0">((D5)*10^9/3600)+D12</f>
        <v>151.5878378676789</v>
      </c>
      <c r="E14" s="21">
        <f t="shared" si="0"/>
        <v>770.62706942975171</v>
      </c>
      <c r="F14" s="21"/>
      <c r="G14" s="21">
        <f t="shared" si="0"/>
        <v>331305.92115296202</v>
      </c>
      <c r="H14" s="21">
        <f t="shared" si="0"/>
        <v>53869.024610967244</v>
      </c>
      <c r="I14" s="21"/>
      <c r="J14" s="21"/>
      <c r="K14" s="21"/>
      <c r="L14" s="21"/>
      <c r="M14" s="21">
        <f t="shared" si="0"/>
        <v>12037.29634821125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0.2100090719538264</v>
      </c>
      <c r="C16" s="56">
        <f ca="1">'EF ele_warmte'!B22</f>
        <v>0.23764662505779607</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21.708280158695104</v>
      </c>
      <c r="C18" s="23"/>
      <c r="D18" s="23">
        <f t="shared" ref="D18:M18" si="1">D14*D16</f>
        <v>30.62074324927114</v>
      </c>
      <c r="E18" s="23">
        <f t="shared" si="1"/>
        <v>174.93234476055363</v>
      </c>
      <c r="F18" s="23"/>
      <c r="G18" s="23">
        <f t="shared" si="1"/>
        <v>88458.680947840869</v>
      </c>
      <c r="H18" s="23">
        <f t="shared" si="1"/>
        <v>13413.387128130844</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3.9438635041919025E-5</v>
      </c>
      <c r="C50" s="311">
        <f t="shared" ref="C50:P50" si="2">SUM(C51:C52)</f>
        <v>0</v>
      </c>
      <c r="D50" s="311">
        <f t="shared" si="2"/>
        <v>0</v>
      </c>
      <c r="E50" s="311">
        <f t="shared" si="2"/>
        <v>0</v>
      </c>
      <c r="F50" s="311">
        <f t="shared" si="2"/>
        <v>0</v>
      </c>
      <c r="G50" s="311">
        <f t="shared" si="2"/>
        <v>7.031992124796051E-3</v>
      </c>
      <c r="H50" s="311">
        <f t="shared" si="2"/>
        <v>0</v>
      </c>
      <c r="I50" s="311">
        <f t="shared" si="2"/>
        <v>0</v>
      </c>
      <c r="J50" s="311">
        <f t="shared" si="2"/>
        <v>0</v>
      </c>
      <c r="K50" s="311">
        <f t="shared" si="2"/>
        <v>0</v>
      </c>
      <c r="L50" s="311">
        <f t="shared" si="2"/>
        <v>0</v>
      </c>
      <c r="M50" s="311">
        <f t="shared" si="2"/>
        <v>2.1951154774058101E-4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3.9438635041919025E-5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7.031992124796051E-3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2.1951154774058101E-4</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10.955176400533063</v>
      </c>
      <c r="C54" s="21">
        <f t="shared" ref="C54:P54" si="3">(C50)*10^9/3600</f>
        <v>0</v>
      </c>
      <c r="D54" s="21">
        <f t="shared" si="3"/>
        <v>0</v>
      </c>
      <c r="E54" s="21">
        <f t="shared" si="3"/>
        <v>0</v>
      </c>
      <c r="F54" s="21">
        <f t="shared" si="3"/>
        <v>0</v>
      </c>
      <c r="G54" s="21">
        <f t="shared" si="3"/>
        <v>1953.3311457766806</v>
      </c>
      <c r="H54" s="21">
        <f t="shared" si="3"/>
        <v>0</v>
      </c>
      <c r="I54" s="21">
        <f t="shared" si="3"/>
        <v>0</v>
      </c>
      <c r="J54" s="21">
        <f t="shared" si="3"/>
        <v>0</v>
      </c>
      <c r="K54" s="21">
        <f t="shared" si="3"/>
        <v>0</v>
      </c>
      <c r="L54" s="21">
        <f t="shared" si="3"/>
        <v>0</v>
      </c>
      <c r="M54" s="21">
        <f t="shared" si="3"/>
        <v>60.975429927939167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0.2100090719538264</v>
      </c>
      <c r="C56" s="56">
        <f ca="1">'EF ele_warmte'!B22</f>
        <v>0.23764662505779607</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2.3006864289664088</v>
      </c>
      <c r="C58" s="23">
        <f t="shared" ref="C58:P58" ca="1" si="4">C54*C56</f>
        <v>0</v>
      </c>
      <c r="D58" s="23">
        <f t="shared" si="4"/>
        <v>0</v>
      </c>
      <c r="E58" s="23">
        <f t="shared" si="4"/>
        <v>0</v>
      </c>
      <c r="F58" s="23">
        <f t="shared" si="4"/>
        <v>0</v>
      </c>
      <c r="G58" s="23">
        <f t="shared" si="4"/>
        <v>521.53941592237379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4"/>
  <sheetViews>
    <sheetView showGridLines="0" zoomScale="65" zoomScaleNormal="65" workbookViewId="0">
      <selection activeCell="A28" sqref="A28:XFD32"/>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0</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8686.9504049725947</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N32</f>
        <v>43187.916666666664</v>
      </c>
      <c r="C8" s="534">
        <f>B51</f>
        <v>50809.220985696411</v>
      </c>
      <c r="D8" s="961"/>
      <c r="E8" s="961">
        <f>E51</f>
        <v>0</v>
      </c>
      <c r="F8" s="962"/>
      <c r="G8" s="535"/>
      <c r="H8" s="961">
        <f>I51</f>
        <v>0</v>
      </c>
      <c r="I8" s="961">
        <f>G51+F51</f>
        <v>0</v>
      </c>
      <c r="J8" s="961">
        <f>H51+D51+C51</f>
        <v>0</v>
      </c>
      <c r="K8" s="961"/>
      <c r="L8" s="961"/>
      <c r="M8" s="961"/>
      <c r="N8" s="536"/>
      <c r="O8" s="537">
        <f>C8*$C$12+D8*$D$12+E8*$E$12+F8*$F$12+G8*$G$12+H8*$H$12+I8*$I$12+J8*$J$12</f>
        <v>10263.462639110676</v>
      </c>
      <c r="P8" s="1205"/>
      <c r="Q8" s="1206"/>
      <c r="S8" s="925"/>
      <c r="T8" s="1180"/>
      <c r="U8" s="1180"/>
    </row>
    <row r="9" spans="1:21" s="523" customFormat="1" ht="17.45" customHeight="1" thickBot="1">
      <c r="A9" s="538" t="s">
        <v>237</v>
      </c>
      <c r="B9" s="539">
        <f>N39+'Eigen informatie GS &amp; warmtenet'!B12</f>
        <v>0</v>
      </c>
      <c r="C9" s="540">
        <f>P39+IF(ISERROR(('Eigen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S39+IF(ISERROR('Eigen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W39+IF(ISERROR('Eigen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(T39+U39)+IF(ISERROR('Eigen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V39+Q39+R39+IF(ISERROR('Eigen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51874.867071639259</v>
      </c>
      <c r="C10" s="547">
        <f t="shared" ref="C10:L10" si="0">SUM(C8:C9)</f>
        <v>50809.220985696411</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4"/>
      <c r="N10" s="964"/>
      <c r="O10" s="548">
        <f>SUM(O4:O9)</f>
        <v>10263.462639110676</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O32</f>
        <v>61697.029279279282</v>
      </c>
      <c r="C17" s="559">
        <f>B52</f>
        <v>72584.607843132428</v>
      </c>
      <c r="D17" s="560"/>
      <c r="E17" s="560">
        <f>E52</f>
        <v>0</v>
      </c>
      <c r="F17" s="967"/>
      <c r="G17" s="561"/>
      <c r="H17" s="559">
        <f>I52</f>
        <v>0</v>
      </c>
      <c r="I17" s="560">
        <f>G52+F52</f>
        <v>0</v>
      </c>
      <c r="J17" s="560">
        <f>H52+D52+C52</f>
        <v>0</v>
      </c>
      <c r="K17" s="560"/>
      <c r="L17" s="560"/>
      <c r="M17" s="560"/>
      <c r="N17" s="968"/>
      <c r="O17" s="562">
        <f>C17*$C$22+E17*$E$22+H17*$H$22+I17*$I$22+J17*$J$22+D17*$D$22+F17*$F$22+G17*$G$22+K17*$K$22+L17*$L$22</f>
        <v>14662.090784312752</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61697.029279279282</v>
      </c>
      <c r="C20" s="546">
        <f>SUM(C17:C19)</f>
        <v>72584.607843132428</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14662.090784312752</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25.5" hidden="1">
      <c r="A28" s="569"/>
      <c r="B28" s="724">
        <v>11024</v>
      </c>
      <c r="C28" s="724">
        <v>2550</v>
      </c>
      <c r="D28" s="617"/>
      <c r="E28" s="616"/>
      <c r="F28" s="616"/>
      <c r="G28" s="616" t="s">
        <v>887</v>
      </c>
      <c r="H28" s="616" t="s">
        <v>888</v>
      </c>
      <c r="I28" s="616"/>
      <c r="J28" s="723"/>
      <c r="K28" s="723"/>
      <c r="L28" s="616" t="s">
        <v>889</v>
      </c>
      <c r="M28" s="616">
        <v>4008</v>
      </c>
      <c r="N28" s="616">
        <v>18036</v>
      </c>
      <c r="O28" s="616">
        <v>25765.714285714286</v>
      </c>
      <c r="P28" s="616">
        <v>51531.428571428572</v>
      </c>
      <c r="Q28" s="616">
        <v>0</v>
      </c>
      <c r="R28" s="616">
        <v>0</v>
      </c>
      <c r="S28" s="616">
        <v>0</v>
      </c>
      <c r="T28" s="616">
        <v>0</v>
      </c>
      <c r="U28" s="616">
        <v>0</v>
      </c>
      <c r="V28" s="616">
        <v>0</v>
      </c>
      <c r="W28" s="616">
        <v>0</v>
      </c>
      <c r="X28" s="616"/>
      <c r="Y28" s="616">
        <v>10</v>
      </c>
      <c r="Z28" s="616" t="s">
        <v>105</v>
      </c>
      <c r="AA28" s="618" t="s">
        <v>105</v>
      </c>
    </row>
    <row r="29" spans="1:27" s="570" customFormat="1" ht="63.75" hidden="1">
      <c r="A29" s="569"/>
      <c r="B29" s="724">
        <v>11024</v>
      </c>
      <c r="C29" s="724">
        <v>2550</v>
      </c>
      <c r="D29" s="617"/>
      <c r="E29" s="616"/>
      <c r="F29" s="616"/>
      <c r="G29" s="616" t="s">
        <v>887</v>
      </c>
      <c r="H29" s="616" t="s">
        <v>888</v>
      </c>
      <c r="I29" s="616"/>
      <c r="J29" s="723"/>
      <c r="K29" s="723"/>
      <c r="L29" s="616" t="s">
        <v>889</v>
      </c>
      <c r="M29" s="616">
        <v>2861</v>
      </c>
      <c r="N29" s="616">
        <v>12874.500000000002</v>
      </c>
      <c r="O29" s="616">
        <v>18392.142857142859</v>
      </c>
      <c r="P29" s="616">
        <v>36784.285714285725</v>
      </c>
      <c r="Q29" s="616">
        <v>0</v>
      </c>
      <c r="R29" s="616">
        <v>0</v>
      </c>
      <c r="S29" s="616">
        <v>0</v>
      </c>
      <c r="T29" s="616">
        <v>0</v>
      </c>
      <c r="U29" s="616">
        <v>0</v>
      </c>
      <c r="V29" s="616">
        <v>0</v>
      </c>
      <c r="W29" s="616">
        <v>0</v>
      </c>
      <c r="X29" s="616"/>
      <c r="Y29" s="616">
        <v>1600</v>
      </c>
      <c r="Z29" s="616" t="s">
        <v>49</v>
      </c>
      <c r="AA29" s="618" t="s">
        <v>149</v>
      </c>
    </row>
    <row r="30" spans="1:27" s="570" customFormat="1" ht="25.5" hidden="1">
      <c r="A30" s="569"/>
      <c r="B30" s="724">
        <v>11024</v>
      </c>
      <c r="C30" s="724">
        <v>2550</v>
      </c>
      <c r="D30" s="617"/>
      <c r="E30" s="616"/>
      <c r="F30" s="616"/>
      <c r="G30" s="616" t="s">
        <v>887</v>
      </c>
      <c r="H30" s="616" t="s">
        <v>888</v>
      </c>
      <c r="I30" s="616"/>
      <c r="J30" s="723"/>
      <c r="K30" s="723"/>
      <c r="L30" s="616" t="s">
        <v>889</v>
      </c>
      <c r="M30" s="616">
        <v>2728</v>
      </c>
      <c r="N30" s="616">
        <v>12276.000000000002</v>
      </c>
      <c r="O30" s="616">
        <v>17537.142857142859</v>
      </c>
      <c r="P30" s="616">
        <v>35074.285714285725</v>
      </c>
      <c r="Q30" s="616">
        <v>0</v>
      </c>
      <c r="R30" s="616">
        <v>0</v>
      </c>
      <c r="S30" s="616">
        <v>0</v>
      </c>
      <c r="T30" s="616">
        <v>0</v>
      </c>
      <c r="U30" s="616">
        <v>0</v>
      </c>
      <c r="V30" s="616">
        <v>0</v>
      </c>
      <c r="W30" s="616">
        <v>0</v>
      </c>
      <c r="X30" s="616"/>
      <c r="Y30" s="616">
        <v>10</v>
      </c>
      <c r="Z30" s="616" t="s">
        <v>105</v>
      </c>
      <c r="AA30" s="618" t="s">
        <v>105</v>
      </c>
    </row>
    <row r="31" spans="1:27" s="570" customFormat="1" ht="12.75" hidden="1">
      <c r="A31" s="569"/>
      <c r="B31" s="724">
        <v>11024</v>
      </c>
      <c r="C31" s="724">
        <v>2550</v>
      </c>
      <c r="D31" s="617"/>
      <c r="E31" s="616"/>
      <c r="F31" s="616"/>
      <c r="G31" s="616" t="s">
        <v>890</v>
      </c>
      <c r="H31" s="616" t="s">
        <v>890</v>
      </c>
      <c r="I31" s="616"/>
      <c r="J31" s="723"/>
      <c r="K31" s="723"/>
      <c r="L31" s="616" t="s">
        <v>889</v>
      </c>
      <c r="M31" s="616">
        <v>1.7</v>
      </c>
      <c r="N31" s="616">
        <v>1.4166666666666665</v>
      </c>
      <c r="O31" s="616">
        <v>2.0292792792792791</v>
      </c>
      <c r="P31" s="616">
        <v>3.8288288288288284</v>
      </c>
      <c r="Q31" s="616">
        <v>0</v>
      </c>
      <c r="R31" s="616">
        <v>0</v>
      </c>
      <c r="S31" s="616">
        <v>0</v>
      </c>
      <c r="T31" s="616">
        <v>0</v>
      </c>
      <c r="U31" s="616">
        <v>0</v>
      </c>
      <c r="V31" s="616">
        <v>0</v>
      </c>
      <c r="W31" s="616">
        <v>0</v>
      </c>
      <c r="X31" s="616"/>
      <c r="Y31" s="616">
        <v>10</v>
      </c>
      <c r="Z31" s="616" t="s">
        <v>105</v>
      </c>
      <c r="AA31" s="618" t="s">
        <v>105</v>
      </c>
    </row>
    <row r="32" spans="1:27" s="554" customFormat="1" hidden="1">
      <c r="A32" s="572" t="s">
        <v>269</v>
      </c>
      <c r="B32" s="573"/>
      <c r="C32" s="573"/>
      <c r="D32" s="573"/>
      <c r="E32" s="573"/>
      <c r="F32" s="573"/>
      <c r="G32" s="573"/>
      <c r="H32" s="573"/>
      <c r="I32" s="573"/>
      <c r="J32" s="573"/>
      <c r="K32" s="573"/>
      <c r="L32" s="574"/>
      <c r="M32" s="574">
        <f>SUM(M28:M31)</f>
        <v>9598.7000000000007</v>
      </c>
      <c r="N32" s="574">
        <f>SUM(N28:N31)</f>
        <v>43187.916666666664</v>
      </c>
      <c r="O32" s="574">
        <f>SUM(O28:O31)</f>
        <v>61697.029279279282</v>
      </c>
      <c r="P32" s="574">
        <f>SUM(P28:P31)</f>
        <v>123393.82882882885</v>
      </c>
      <c r="Q32" s="574">
        <f>SUM(Q28:Q31)</f>
        <v>0</v>
      </c>
      <c r="R32" s="574">
        <f>SUM(R28:R31)</f>
        <v>0</v>
      </c>
      <c r="S32" s="574">
        <f>SUM(S28:S31)</f>
        <v>0</v>
      </c>
      <c r="T32" s="574">
        <f>SUM(T28:T31)</f>
        <v>0</v>
      </c>
      <c r="U32" s="574">
        <f>SUM(U28:U31)</f>
        <v>0</v>
      </c>
      <c r="V32" s="574">
        <f>SUM(V28:V31)</f>
        <v>0</v>
      </c>
      <c r="W32" s="574">
        <f>SUM(W28:W31)</f>
        <v>0</v>
      </c>
      <c r="X32" s="574"/>
      <c r="Y32" s="575"/>
      <c r="Z32" s="575"/>
      <c r="AA32" s="576"/>
    </row>
    <row r="33" spans="1:28" s="554" customFormat="1">
      <c r="A33" s="572" t="s">
        <v>276</v>
      </c>
      <c r="B33" s="573"/>
      <c r="C33" s="573"/>
      <c r="D33" s="573"/>
      <c r="E33" s="573"/>
      <c r="F33" s="573"/>
      <c r="G33" s="573"/>
      <c r="H33" s="573"/>
      <c r="I33" s="573"/>
      <c r="J33" s="573"/>
      <c r="K33" s="573"/>
      <c r="L33" s="574"/>
      <c r="M33" s="574">
        <f>SUMIF($AA$28:$AA$31,"industrie",M28:M31)</f>
        <v>0</v>
      </c>
      <c r="N33" s="574">
        <f>SUMIF($AA$28:$AA$31,"industrie",N28:N31)</f>
        <v>0</v>
      </c>
      <c r="O33" s="574">
        <f>SUMIF($AA$28:$AA$31,"industrie",O28:O31)</f>
        <v>0</v>
      </c>
      <c r="P33" s="574">
        <f>SUMIF($AA$28:$AA$31,"industrie",P28:P31)</f>
        <v>0</v>
      </c>
      <c r="Q33" s="574">
        <f>SUMIF($AA$28:$AA$31,"industrie",Q28:Q31)</f>
        <v>0</v>
      </c>
      <c r="R33" s="574">
        <f>SUMIF($AA$28:$AA$31,"industrie",R28:R31)</f>
        <v>0</v>
      </c>
      <c r="S33" s="574">
        <f>SUMIF($AA$28:$AA$31,"industrie",S28:S31)</f>
        <v>0</v>
      </c>
      <c r="T33" s="574">
        <f>SUMIF($AA$28:$AA$31,"industrie",T28:T31)</f>
        <v>0</v>
      </c>
      <c r="U33" s="574">
        <f>SUMIF($AA$28:$AA$31,"industrie",U28:U31)</f>
        <v>0</v>
      </c>
      <c r="V33" s="574">
        <f>SUMIF($AA$28:$AA$31,"industrie",V28:V31)</f>
        <v>0</v>
      </c>
      <c r="W33" s="574">
        <f>SUMIF($AA$28:$AA$31,"industrie",W28:W31)</f>
        <v>0</v>
      </c>
      <c r="X33" s="574"/>
      <c r="Y33" s="575"/>
      <c r="Z33" s="575"/>
      <c r="AA33" s="576"/>
    </row>
    <row r="34" spans="1:28" s="554" customFormat="1">
      <c r="A34" s="572" t="s">
        <v>277</v>
      </c>
      <c r="B34" s="573"/>
      <c r="C34" s="573"/>
      <c r="D34" s="573"/>
      <c r="E34" s="573"/>
      <c r="F34" s="573"/>
      <c r="G34" s="573"/>
      <c r="H34" s="573"/>
      <c r="I34" s="573"/>
      <c r="J34" s="573"/>
      <c r="K34" s="573"/>
      <c r="L34" s="574"/>
      <c r="M34" s="574">
        <f ca="1">SUMIF($AA$28:AD31,"tertiair",M28:M31)</f>
        <v>2861</v>
      </c>
      <c r="N34" s="574">
        <f ca="1">SUMIF($AA$28:AE31,"tertiair",N28:N31)</f>
        <v>12874.500000000002</v>
      </c>
      <c r="O34" s="574">
        <f ca="1">SUMIF($AA$28:AF31,"tertiair",O28:O31)</f>
        <v>18392.142857142859</v>
      </c>
      <c r="P34" s="574">
        <f ca="1">SUMIF($AA$28:AG31,"tertiair",P28:P31)</f>
        <v>36784.285714285725</v>
      </c>
      <c r="Q34" s="574">
        <f ca="1">SUMIF($AA$28:AH31,"tertiair",Q28:Q31)</f>
        <v>0</v>
      </c>
      <c r="R34" s="574">
        <f ca="1">SUMIF($AA$28:AI31,"tertiair",R28:R31)</f>
        <v>0</v>
      </c>
      <c r="S34" s="574">
        <f ca="1">SUMIF($AA$28:AJ31,"tertiair",S28:S31)</f>
        <v>0</v>
      </c>
      <c r="T34" s="574">
        <f ca="1">SUMIF($AA$28:AK31,"tertiair",T28:T31)</f>
        <v>0</v>
      </c>
      <c r="U34" s="574">
        <f ca="1">SUMIF($AA$28:AL31,"tertiair",U28:U31)</f>
        <v>0</v>
      </c>
      <c r="V34" s="574">
        <f ca="1">SUMIF($AA$28:AM31,"tertiair",V28:V31)</f>
        <v>0</v>
      </c>
      <c r="W34" s="574">
        <f ca="1">SUMIF($AA$28:AN31,"tertiair",W28:W31)</f>
        <v>0</v>
      </c>
      <c r="X34" s="574"/>
      <c r="Y34" s="575"/>
      <c r="Z34" s="575"/>
      <c r="AA34" s="576"/>
    </row>
    <row r="35" spans="1:28" s="554" customFormat="1" ht="15.75" thickBot="1">
      <c r="A35" s="577" t="s">
        <v>278</v>
      </c>
      <c r="B35" s="578"/>
      <c r="C35" s="578"/>
      <c r="D35" s="578"/>
      <c r="E35" s="578"/>
      <c r="F35" s="578"/>
      <c r="G35" s="578"/>
      <c r="H35" s="578"/>
      <c r="I35" s="578"/>
      <c r="J35" s="578"/>
      <c r="K35" s="578"/>
      <c r="L35" s="579"/>
      <c r="M35" s="579">
        <f>SUMIF($AA$28:$AA$31,"landbouw",M28:M31)</f>
        <v>6737.7</v>
      </c>
      <c r="N35" s="579">
        <f>SUMIF($AA$28:$AA$31,"landbouw",N28:N31)</f>
        <v>30313.416666666668</v>
      </c>
      <c r="O35" s="579">
        <f>SUMIF($AA$28:$AA$31,"landbouw",O28:O31)</f>
        <v>43304.886422136427</v>
      </c>
      <c r="P35" s="579">
        <f>SUMIF($AA$28:$AA$31,"landbouw",P28:P31)</f>
        <v>86609.543114543121</v>
      </c>
      <c r="Q35" s="579">
        <f>SUMIF($AA$28:$AA$31,"landbouw",Q28:Q31)</f>
        <v>0</v>
      </c>
      <c r="R35" s="579">
        <f>SUMIF($AA$28:$AA$31,"landbouw",R28:R31)</f>
        <v>0</v>
      </c>
      <c r="S35" s="579">
        <f>SUMIF($AA$28:$AA$31,"landbouw",S28:S31)</f>
        <v>0</v>
      </c>
      <c r="T35" s="579">
        <f>SUMIF($AA$28:$AA$31,"landbouw",T28:T31)</f>
        <v>0</v>
      </c>
      <c r="U35" s="579">
        <f>SUMIF($AA$28:$AA$31,"landbouw",U28:U31)</f>
        <v>0</v>
      </c>
      <c r="V35" s="579">
        <f>SUMIF($AA$28:$AA$31,"landbouw",V28:V31)</f>
        <v>0</v>
      </c>
      <c r="W35" s="579">
        <f>SUMIF($AA$28:$AA$31,"landbouw",W28:W31)</f>
        <v>0</v>
      </c>
      <c r="X35" s="579"/>
      <c r="Y35" s="580"/>
      <c r="Z35" s="580"/>
      <c r="AA35" s="581"/>
    </row>
    <row r="36" spans="1:28" s="523" customFormat="1" ht="15.75" thickBot="1">
      <c r="A36" s="582"/>
      <c r="B36" s="583"/>
      <c r="C36" s="583"/>
      <c r="D36" s="583"/>
      <c r="E36" s="583"/>
      <c r="F36" s="583"/>
      <c r="G36" s="583"/>
      <c r="H36" s="583"/>
      <c r="I36" s="583"/>
      <c r="J36" s="583"/>
      <c r="K36" s="583"/>
      <c r="L36" s="566"/>
      <c r="M36" s="566"/>
      <c r="N36" s="566"/>
      <c r="O36" s="567"/>
      <c r="P36" s="567"/>
    </row>
    <row r="37" spans="1:28" s="523" customFormat="1" ht="45">
      <c r="A37" s="584" t="s">
        <v>270</v>
      </c>
      <c r="B37" s="613" t="s">
        <v>89</v>
      </c>
      <c r="C37" s="613" t="s">
        <v>90</v>
      </c>
      <c r="D37" s="613"/>
      <c r="E37" s="613"/>
      <c r="F37" s="613"/>
      <c r="G37" s="613" t="s">
        <v>91</v>
      </c>
      <c r="H37" s="613" t="s">
        <v>92</v>
      </c>
      <c r="I37" s="613"/>
      <c r="J37" s="613"/>
      <c r="K37" s="613"/>
      <c r="L37" s="613" t="s">
        <v>93</v>
      </c>
      <c r="M37" s="614" t="s">
        <v>287</v>
      </c>
      <c r="N37" s="614" t="s">
        <v>94</v>
      </c>
      <c r="O37" s="614" t="s">
        <v>95</v>
      </c>
      <c r="P37" s="614" t="s">
        <v>522</v>
      </c>
      <c r="Q37" s="614" t="s">
        <v>96</v>
      </c>
      <c r="R37" s="614" t="s">
        <v>97</v>
      </c>
      <c r="S37" s="614" t="s">
        <v>98</v>
      </c>
      <c r="T37" s="614" t="s">
        <v>99</v>
      </c>
      <c r="U37" s="614" t="s">
        <v>100</v>
      </c>
      <c r="V37" s="614" t="s">
        <v>101</v>
      </c>
      <c r="W37" s="613" t="s">
        <v>102</v>
      </c>
      <c r="X37" s="613" t="s">
        <v>886</v>
      </c>
      <c r="Y37" s="613" t="s">
        <v>288</v>
      </c>
      <c r="Z37" s="613" t="s">
        <v>103</v>
      </c>
      <c r="AA37" s="615" t="s">
        <v>289</v>
      </c>
    </row>
    <row r="38" spans="1:28" s="585" customFormat="1" ht="12.75" hidden="1">
      <c r="A38" s="571"/>
      <c r="B38" s="724"/>
      <c r="C38" s="724"/>
      <c r="D38" s="619"/>
      <c r="E38" s="619"/>
      <c r="F38" s="619"/>
      <c r="G38" s="619"/>
      <c r="H38" s="619"/>
      <c r="I38" s="619"/>
      <c r="J38" s="723"/>
      <c r="K38" s="723"/>
      <c r="L38" s="619"/>
      <c r="M38" s="619"/>
      <c r="N38" s="619"/>
      <c r="O38" s="619"/>
      <c r="P38" s="619"/>
      <c r="Q38" s="619"/>
      <c r="R38" s="619"/>
      <c r="S38" s="619"/>
      <c r="T38" s="619"/>
      <c r="U38" s="619"/>
      <c r="V38" s="619"/>
      <c r="W38" s="619"/>
      <c r="X38" s="619"/>
      <c r="Y38" s="619"/>
      <c r="Z38" s="619"/>
      <c r="AA38" s="620"/>
    </row>
    <row r="39" spans="1:28" s="554" customFormat="1" hidden="1">
      <c r="A39" s="572" t="s">
        <v>269</v>
      </c>
      <c r="B39" s="573"/>
      <c r="C39" s="573"/>
      <c r="D39" s="573"/>
      <c r="E39" s="573"/>
      <c r="F39" s="573"/>
      <c r="G39" s="573"/>
      <c r="H39" s="573"/>
      <c r="I39" s="573"/>
      <c r="J39" s="573"/>
      <c r="K39" s="573"/>
      <c r="L39" s="574"/>
      <c r="M39" s="574">
        <f>SUM(M38:M38)</f>
        <v>0</v>
      </c>
      <c r="N39" s="574">
        <f>SUM(N38:N38)</f>
        <v>0</v>
      </c>
      <c r="O39" s="574">
        <f>SUM(O38:O38)</f>
        <v>0</v>
      </c>
      <c r="P39" s="574">
        <f>SUM(P38:P38)</f>
        <v>0</v>
      </c>
      <c r="Q39" s="574">
        <f>SUM(Q38:Q38)</f>
        <v>0</v>
      </c>
      <c r="R39" s="574">
        <f>SUM(R38:R38)</f>
        <v>0</v>
      </c>
      <c r="S39" s="574">
        <f>SUM(S38:S38)</f>
        <v>0</v>
      </c>
      <c r="T39" s="574">
        <f>SUM(T38:T38)</f>
        <v>0</v>
      </c>
      <c r="U39" s="574">
        <f>SUM(U38:U38)</f>
        <v>0</v>
      </c>
      <c r="V39" s="574">
        <f>SUM(V38:V38)</f>
        <v>0</v>
      </c>
      <c r="W39" s="574">
        <f>SUM(W38:W38)</f>
        <v>0</v>
      </c>
      <c r="X39" s="574"/>
      <c r="Y39" s="575"/>
      <c r="Z39" s="575"/>
      <c r="AA39" s="576"/>
    </row>
    <row r="40" spans="1:28" s="554" customFormat="1">
      <c r="A40" s="572" t="s">
        <v>276</v>
      </c>
      <c r="B40" s="573"/>
      <c r="C40" s="573"/>
      <c r="D40" s="573"/>
      <c r="E40" s="573"/>
      <c r="F40" s="573"/>
      <c r="G40" s="573"/>
      <c r="H40" s="573"/>
      <c r="I40" s="573"/>
      <c r="J40" s="573"/>
      <c r="K40" s="573"/>
      <c r="L40" s="574"/>
      <c r="M40" s="574">
        <f>SUMIF($AA$38:$AA$38,"industrie",M38:M38)</f>
        <v>0</v>
      </c>
      <c r="N40" s="574">
        <f>SUMIF($AA$38:$AA$38,"industrie",N38:N38)</f>
        <v>0</v>
      </c>
      <c r="O40" s="574">
        <f>SUMIF($AA$38:$AA$38,"industrie",O38:O38)</f>
        <v>0</v>
      </c>
      <c r="P40" s="574">
        <f>SUMIF($AA$38:$AA$38,"industrie",P38:P38)</f>
        <v>0</v>
      </c>
      <c r="Q40" s="574">
        <f>SUMIF($AA$38:$AA$38,"industrie",Q38:Q38)</f>
        <v>0</v>
      </c>
      <c r="R40" s="574">
        <f>SUMIF($AA$38:$AA$38,"industrie",R38:R38)</f>
        <v>0</v>
      </c>
      <c r="S40" s="574">
        <f>SUMIF($AA$38:$AA$38,"industrie",S38:S38)</f>
        <v>0</v>
      </c>
      <c r="T40" s="574">
        <f>SUMIF($AA$38:$AA$38,"industrie",T38:T38)</f>
        <v>0</v>
      </c>
      <c r="U40" s="574">
        <f>SUMIF($AA$38:$AA$38,"industrie",U38:U38)</f>
        <v>0</v>
      </c>
      <c r="V40" s="574">
        <f>SUMIF($AA$38:$AA$38,"industrie",V38:V38)</f>
        <v>0</v>
      </c>
      <c r="W40" s="574">
        <f>SUMIF($AA$38:$AA$38,"industrie",W38:W38)</f>
        <v>0</v>
      </c>
      <c r="X40" s="574"/>
      <c r="Y40" s="575"/>
      <c r="Z40" s="575"/>
      <c r="AA40" s="576"/>
    </row>
    <row r="41" spans="1:28" s="554" customFormat="1">
      <c r="A41" s="572" t="s">
        <v>277</v>
      </c>
      <c r="B41" s="573"/>
      <c r="C41" s="573"/>
      <c r="D41" s="573"/>
      <c r="E41" s="573"/>
      <c r="F41" s="573"/>
      <c r="G41" s="573"/>
      <c r="H41" s="573"/>
      <c r="I41" s="573"/>
      <c r="J41" s="573"/>
      <c r="K41" s="573"/>
      <c r="L41" s="574"/>
      <c r="M41" s="574">
        <f>SUMIF($AA$38:$AA$39,"tertiair",M38:M39)</f>
        <v>0</v>
      </c>
      <c r="N41" s="574">
        <f>SUMIF($AA$38:$AA$39,"tertiair",N38:N39)</f>
        <v>0</v>
      </c>
      <c r="O41" s="574">
        <f>SUMIF($AA$38:$AA$39,"tertiair",O38:O39)</f>
        <v>0</v>
      </c>
      <c r="P41" s="574">
        <f>SUMIF($AA$38:$AA$39,"tertiair",P38:P39)</f>
        <v>0</v>
      </c>
      <c r="Q41" s="574">
        <f>SUMIF($AA$38:$AA$39,"tertiair",Q38:Q39)</f>
        <v>0</v>
      </c>
      <c r="R41" s="574">
        <f>SUMIF($AA$38:$AA$39,"tertiair",R38:R39)</f>
        <v>0</v>
      </c>
      <c r="S41" s="574">
        <f>SUMIF($AA$38:$AA$39,"tertiair",S38:S39)</f>
        <v>0</v>
      </c>
      <c r="T41" s="574">
        <f>SUMIF($AA$38:$AA$39,"tertiair",T38:T39)</f>
        <v>0</v>
      </c>
      <c r="U41" s="574">
        <f>SUMIF($AA$38:$AA$39,"tertiair",U38:U39)</f>
        <v>0</v>
      </c>
      <c r="V41" s="574">
        <f>SUMIF($AA$38:$AA$39,"tertiair",V38:V39)</f>
        <v>0</v>
      </c>
      <c r="W41" s="574">
        <f>SUMIF($AA$38:$AA$39,"tertiair",W38:W39)</f>
        <v>0</v>
      </c>
      <c r="X41" s="574"/>
      <c r="Y41" s="575"/>
      <c r="Z41" s="575"/>
      <c r="AA41" s="576"/>
    </row>
    <row r="42" spans="1:28" s="554" customFormat="1" ht="15.75" thickBot="1">
      <c r="A42" s="577" t="s">
        <v>278</v>
      </c>
      <c r="B42" s="578"/>
      <c r="C42" s="578"/>
      <c r="D42" s="578"/>
      <c r="E42" s="578"/>
      <c r="F42" s="578"/>
      <c r="G42" s="578"/>
      <c r="H42" s="578"/>
      <c r="I42" s="578"/>
      <c r="J42" s="578"/>
      <c r="K42" s="578"/>
      <c r="L42" s="579"/>
      <c r="M42" s="579">
        <f>SUMIF($AA$38:$AA$40,"landbouw",M38:M40)</f>
        <v>0</v>
      </c>
      <c r="N42" s="579">
        <f>SUMIF($AA$38:$AA$40,"landbouw",N38:N40)</f>
        <v>0</v>
      </c>
      <c r="O42" s="579">
        <f>SUMIF($AA$38:$AA$40,"landbouw",O38:O40)</f>
        <v>0</v>
      </c>
      <c r="P42" s="579">
        <f>SUMIF($AA$38:$AA$40,"landbouw",P38:P40)</f>
        <v>0</v>
      </c>
      <c r="Q42" s="579">
        <f>SUMIF($AA$38:$AA$40,"landbouw",Q38:Q40)</f>
        <v>0</v>
      </c>
      <c r="R42" s="579">
        <f>SUMIF($AA$38:$AA$40,"landbouw",R38:R40)</f>
        <v>0</v>
      </c>
      <c r="S42" s="579">
        <f>SUMIF($AA$38:$AA$40,"landbouw",S38:S40)</f>
        <v>0</v>
      </c>
      <c r="T42" s="579">
        <f>SUMIF($AA$38:$AA$40,"landbouw",T38:T40)</f>
        <v>0</v>
      </c>
      <c r="U42" s="579">
        <f>SUMIF($AA$38:$AA$40,"landbouw",U38:U40)</f>
        <v>0</v>
      </c>
      <c r="V42" s="579">
        <f>SUMIF($AA$38:$AA$40,"landbouw",V38:V40)</f>
        <v>0</v>
      </c>
      <c r="W42" s="579">
        <f>SUMIF($AA$38:$AA$40,"landbouw",W38:W40)</f>
        <v>0</v>
      </c>
      <c r="X42" s="579"/>
      <c r="Y42" s="580"/>
      <c r="Z42" s="580"/>
      <c r="AA42" s="581"/>
    </row>
    <row r="43" spans="1:28" s="586" customFormat="1">
      <c r="A43" s="582"/>
      <c r="B43" s="566"/>
      <c r="C43" s="566"/>
      <c r="D43" s="566"/>
      <c r="E43" s="566"/>
      <c r="F43" s="566"/>
      <c r="G43" s="566"/>
      <c r="H43" s="566"/>
      <c r="I43" s="566"/>
      <c r="J43" s="566"/>
      <c r="K43" s="566"/>
      <c r="L43" s="566"/>
      <c r="M43" s="566"/>
      <c r="N43" s="566"/>
      <c r="O43" s="566"/>
      <c r="P43" s="566"/>
      <c r="Q43" s="566"/>
      <c r="R43" s="566"/>
      <c r="S43" s="566"/>
      <c r="T43" s="566"/>
      <c r="U43" s="566"/>
      <c r="V43" s="566"/>
      <c r="W43" s="566"/>
      <c r="X43" s="566"/>
      <c r="Y43" s="566"/>
      <c r="Z43" s="566"/>
    </row>
    <row r="44" spans="1:28" s="586" customFormat="1" ht="15.75" thickBot="1">
      <c r="A44" s="582"/>
      <c r="B44" s="566"/>
      <c r="C44" s="566"/>
      <c r="D44" s="566"/>
      <c r="E44" s="566"/>
      <c r="F44" s="566"/>
      <c r="G44" s="566"/>
      <c r="H44" s="566"/>
      <c r="I44" s="566"/>
      <c r="J44" s="566"/>
      <c r="K44" s="566"/>
      <c r="L44" s="566"/>
      <c r="M44" s="566"/>
      <c r="N44" s="566"/>
      <c r="O44" s="566"/>
      <c r="P44" s="566"/>
      <c r="Q44" s="566"/>
      <c r="R44" s="566"/>
      <c r="S44" s="566"/>
      <c r="T44" s="566"/>
      <c r="U44" s="566"/>
      <c r="V44" s="566"/>
      <c r="W44" s="566"/>
      <c r="X44" s="566"/>
      <c r="Y44" s="566"/>
      <c r="Z44" s="566"/>
      <c r="AA44" s="566"/>
      <c r="AB44" s="566"/>
    </row>
    <row r="45" spans="1:28">
      <c r="A45" s="587" t="s">
        <v>271</v>
      </c>
      <c r="B45" s="588"/>
      <c r="C45" s="588"/>
      <c r="D45" s="588"/>
      <c r="E45" s="588"/>
      <c r="F45" s="588"/>
      <c r="G45" s="588"/>
      <c r="H45" s="588"/>
      <c r="I45" s="589"/>
      <c r="J45" s="590"/>
      <c r="K45" s="590"/>
      <c r="L45" s="591"/>
      <c r="M45" s="591"/>
      <c r="N45" s="591"/>
      <c r="O45" s="591"/>
      <c r="P45" s="591"/>
    </row>
    <row r="46" spans="1:28">
      <c r="A46" s="593"/>
      <c r="B46" s="583"/>
      <c r="C46" s="583"/>
      <c r="D46" s="583"/>
      <c r="E46" s="583"/>
      <c r="F46" s="583"/>
      <c r="G46" s="583"/>
      <c r="H46" s="583"/>
      <c r="I46" s="594"/>
      <c r="J46" s="583"/>
      <c r="K46" s="583"/>
      <c r="L46" s="591"/>
      <c r="M46" s="591"/>
      <c r="N46" s="591"/>
      <c r="O46" s="591"/>
      <c r="P46" s="591"/>
    </row>
    <row r="47" spans="1:28">
      <c r="A47" s="595"/>
      <c r="B47" s="596" t="s">
        <v>272</v>
      </c>
      <c r="C47" s="596" t="s">
        <v>273</v>
      </c>
      <c r="D47" s="596"/>
      <c r="E47" s="596"/>
      <c r="F47" s="596"/>
      <c r="G47" s="596"/>
      <c r="H47" s="596"/>
      <c r="I47" s="597"/>
      <c r="J47" s="596"/>
      <c r="K47" s="596"/>
      <c r="L47" s="596"/>
      <c r="M47" s="596"/>
      <c r="N47" s="596"/>
      <c r="O47" s="596"/>
      <c r="P47" s="591"/>
    </row>
    <row r="48" spans="1:28">
      <c r="A48" s="593" t="s">
        <v>269</v>
      </c>
      <c r="B48" s="598">
        <f>IF(ISERROR(O32/(O32+N32)),0,O32/(O32+N32))</f>
        <v>0.58823531559119824</v>
      </c>
      <c r="C48" s="599">
        <f>IF(ISERROR(N32/(O32+N32)),0,N32/(N32+O32))</f>
        <v>0.41176468440880176</v>
      </c>
      <c r="D48" s="566"/>
      <c r="E48" s="566"/>
      <c r="F48" s="566"/>
      <c r="G48" s="566"/>
      <c r="H48" s="566"/>
      <c r="I48" s="600"/>
      <c r="J48" s="566"/>
      <c r="K48" s="566"/>
      <c r="L48" s="601"/>
      <c r="M48" s="601"/>
      <c r="N48" s="601"/>
      <c r="O48" s="601"/>
      <c r="P48" s="591"/>
    </row>
    <row r="49" spans="1:16">
      <c r="A49" s="593"/>
      <c r="B49" s="602"/>
      <c r="C49" s="602"/>
      <c r="D49" s="602"/>
      <c r="E49" s="602"/>
      <c r="F49" s="602"/>
      <c r="G49" s="602"/>
      <c r="H49" s="602"/>
      <c r="I49" s="603"/>
      <c r="J49" s="602"/>
      <c r="K49" s="602"/>
      <c r="L49" s="604"/>
      <c r="M49" s="604"/>
      <c r="N49" s="604"/>
      <c r="O49" s="604"/>
      <c r="P49" s="591"/>
    </row>
    <row r="50" spans="1:16" ht="30">
      <c r="A50" s="605"/>
      <c r="B50" s="606" t="s">
        <v>522</v>
      </c>
      <c r="C50" s="606" t="s">
        <v>96</v>
      </c>
      <c r="D50" s="606" t="s">
        <v>97</v>
      </c>
      <c r="E50" s="606" t="s">
        <v>98</v>
      </c>
      <c r="F50" s="606" t="s">
        <v>99</v>
      </c>
      <c r="G50" s="606" t="s">
        <v>100</v>
      </c>
      <c r="H50" s="606" t="s">
        <v>101</v>
      </c>
      <c r="I50" s="607" t="s">
        <v>102</v>
      </c>
      <c r="J50" s="596"/>
      <c r="K50" s="596"/>
      <c r="L50" s="604"/>
      <c r="M50" s="604"/>
      <c r="N50" s="604"/>
      <c r="O50" s="591"/>
      <c r="P50" s="591"/>
    </row>
    <row r="51" spans="1:16">
      <c r="A51" s="595" t="s">
        <v>274</v>
      </c>
      <c r="B51" s="608">
        <f t="shared" ref="B51:I51" si="2">$C$48*P32</f>
        <v>50809.220985696411</v>
      </c>
      <c r="C51" s="608">
        <f t="shared" si="2"/>
        <v>0</v>
      </c>
      <c r="D51" s="608">
        <f t="shared" si="2"/>
        <v>0</v>
      </c>
      <c r="E51" s="608">
        <f t="shared" si="2"/>
        <v>0</v>
      </c>
      <c r="F51" s="608">
        <f t="shared" si="2"/>
        <v>0</v>
      </c>
      <c r="G51" s="608">
        <f t="shared" si="2"/>
        <v>0</v>
      </c>
      <c r="H51" s="608">
        <f t="shared" si="2"/>
        <v>0</v>
      </c>
      <c r="I51" s="609">
        <f t="shared" si="2"/>
        <v>0</v>
      </c>
      <c r="J51" s="566"/>
      <c r="K51" s="566"/>
      <c r="L51" s="604"/>
      <c r="M51" s="604"/>
      <c r="N51" s="604"/>
      <c r="O51" s="591"/>
      <c r="P51" s="591"/>
    </row>
    <row r="52" spans="1:16" ht="15.75" thickBot="1">
      <c r="A52" s="610" t="s">
        <v>275</v>
      </c>
      <c r="B52" s="611">
        <f t="shared" ref="B52:I52" si="3">$B$48*P32</f>
        <v>72584.607843132428</v>
      </c>
      <c r="C52" s="611">
        <f t="shared" si="3"/>
        <v>0</v>
      </c>
      <c r="D52" s="611">
        <f t="shared" si="3"/>
        <v>0</v>
      </c>
      <c r="E52" s="611">
        <f t="shared" si="3"/>
        <v>0</v>
      </c>
      <c r="F52" s="611">
        <f t="shared" si="3"/>
        <v>0</v>
      </c>
      <c r="G52" s="611">
        <f t="shared" si="3"/>
        <v>0</v>
      </c>
      <c r="H52" s="611">
        <f t="shared" si="3"/>
        <v>0</v>
      </c>
      <c r="I52" s="612">
        <f t="shared" si="3"/>
        <v>0</v>
      </c>
      <c r="J52" s="566"/>
      <c r="K52" s="566"/>
      <c r="L52" s="604"/>
      <c r="M52" s="604"/>
      <c r="N52" s="604"/>
      <c r="O52" s="591"/>
      <c r="P52" s="591"/>
    </row>
    <row r="53" spans="1:16">
      <c r="J53" s="552"/>
      <c r="K53" s="552"/>
      <c r="L53" s="552"/>
      <c r="M53" s="552"/>
      <c r="N53" s="552"/>
    </row>
    <row r="54" spans="1:16">
      <c r="J54" s="552"/>
      <c r="K54" s="552"/>
      <c r="L54" s="552"/>
      <c r="M54" s="552"/>
      <c r="N54"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56942.988354920002</v>
      </c>
      <c r="D10" s="930">
        <f ca="1">tertiair!C16</f>
        <v>18392.142857142859</v>
      </c>
      <c r="E10" s="930">
        <f ca="1">tertiair!D16</f>
        <v>17356.463234713076</v>
      </c>
      <c r="F10" s="930">
        <f>tertiair!E16</f>
        <v>712.68723809647236</v>
      </c>
      <c r="G10" s="930">
        <f ca="1">tertiair!F16</f>
        <v>7575.7696552924072</v>
      </c>
      <c r="H10" s="930">
        <f>tertiair!G16</f>
        <v>0</v>
      </c>
      <c r="I10" s="930">
        <f>tertiair!H16</f>
        <v>0</v>
      </c>
      <c r="J10" s="930">
        <f>tertiair!I16</f>
        <v>0</v>
      </c>
      <c r="K10" s="930">
        <f>tertiair!J16</f>
        <v>2.5686322664201726E-2</v>
      </c>
      <c r="L10" s="930">
        <f>tertiair!K16</f>
        <v>0</v>
      </c>
      <c r="M10" s="930">
        <f ca="1">tertiair!L16</f>
        <v>0</v>
      </c>
      <c r="N10" s="930">
        <f>tertiair!M16</f>
        <v>0</v>
      </c>
      <c r="O10" s="930">
        <f ca="1">tertiair!N16</f>
        <v>953.48095275738717</v>
      </c>
      <c r="P10" s="930">
        <f>tertiair!O16</f>
        <v>0</v>
      </c>
      <c r="Q10" s="931">
        <f>tertiair!P16</f>
        <v>76.266666666666666</v>
      </c>
      <c r="R10" s="628">
        <f ca="1">SUM(C10:Q10)</f>
        <v>102009.82464591153</v>
      </c>
      <c r="S10" s="67"/>
    </row>
    <row r="11" spans="1:19" s="437" customFormat="1">
      <c r="A11" s="736" t="s">
        <v>214</v>
      </c>
      <c r="B11" s="741"/>
      <c r="C11" s="930">
        <f>huishoudens!B8</f>
        <v>36264.009061463832</v>
      </c>
      <c r="D11" s="930">
        <f>huishoudens!C8</f>
        <v>0</v>
      </c>
      <c r="E11" s="930">
        <f>huishoudens!D8</f>
        <v>99427.539890139989</v>
      </c>
      <c r="F11" s="930">
        <f>huishoudens!E8</f>
        <v>1029.9607940711921</v>
      </c>
      <c r="G11" s="930">
        <f>huishoudens!F8</f>
        <v>28002.595315606759</v>
      </c>
      <c r="H11" s="930">
        <f>huishoudens!G8</f>
        <v>0</v>
      </c>
      <c r="I11" s="930">
        <f>huishoudens!H8</f>
        <v>0</v>
      </c>
      <c r="J11" s="930">
        <f>huishoudens!I8</f>
        <v>0</v>
      </c>
      <c r="K11" s="930">
        <f>huishoudens!J8</f>
        <v>516.41787374765568</v>
      </c>
      <c r="L11" s="930">
        <f>huishoudens!K8</f>
        <v>0</v>
      </c>
      <c r="M11" s="930">
        <f>huishoudens!L8</f>
        <v>0</v>
      </c>
      <c r="N11" s="930">
        <f>huishoudens!M8</f>
        <v>0</v>
      </c>
      <c r="O11" s="930">
        <f>huishoudens!N8</f>
        <v>10584.37949099105</v>
      </c>
      <c r="P11" s="930">
        <f>huishoudens!O8</f>
        <v>226.68333333333334</v>
      </c>
      <c r="Q11" s="931">
        <f>huishoudens!P8</f>
        <v>819.86666666666667</v>
      </c>
      <c r="R11" s="628">
        <f>SUM(C11:Q11)</f>
        <v>176871.45242602046</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10868.246849634001</v>
      </c>
      <c r="D13" s="930">
        <f>industrie!C18</f>
        <v>0</v>
      </c>
      <c r="E13" s="930">
        <f>industrie!D18</f>
        <v>10817.547958964515</v>
      </c>
      <c r="F13" s="930">
        <f>industrie!E18</f>
        <v>1104.7776427944755</v>
      </c>
      <c r="G13" s="930">
        <f>industrie!F18</f>
        <v>4205.3176416036586</v>
      </c>
      <c r="H13" s="930">
        <f>industrie!G18</f>
        <v>0</v>
      </c>
      <c r="I13" s="930">
        <f>industrie!H18</f>
        <v>0</v>
      </c>
      <c r="J13" s="930">
        <f>industrie!I18</f>
        <v>0</v>
      </c>
      <c r="K13" s="930">
        <f>industrie!J18</f>
        <v>127.06441775361994</v>
      </c>
      <c r="L13" s="930">
        <f>industrie!K18</f>
        <v>0</v>
      </c>
      <c r="M13" s="930">
        <f>industrie!L18</f>
        <v>0</v>
      </c>
      <c r="N13" s="930">
        <f>industrie!M18</f>
        <v>0</v>
      </c>
      <c r="O13" s="930">
        <f>industrie!N18</f>
        <v>1263.0225562106925</v>
      </c>
      <c r="P13" s="930">
        <f>industrie!O18</f>
        <v>0</v>
      </c>
      <c r="Q13" s="931">
        <f>industrie!P18</f>
        <v>0</v>
      </c>
      <c r="R13" s="628">
        <f>SUM(C13:Q13)</f>
        <v>28385.977066960961</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104075.24426601783</v>
      </c>
      <c r="D16" s="660">
        <f t="shared" ref="D16:R16" ca="1" si="0">SUM(D9:D15)</f>
        <v>18392.142857142859</v>
      </c>
      <c r="E16" s="660">
        <f t="shared" ca="1" si="0"/>
        <v>127601.55108381758</v>
      </c>
      <c r="F16" s="660">
        <f t="shared" si="0"/>
        <v>2847.42567496214</v>
      </c>
      <c r="G16" s="660">
        <f t="shared" ca="1" si="0"/>
        <v>39783.682612502824</v>
      </c>
      <c r="H16" s="660">
        <f t="shared" si="0"/>
        <v>0</v>
      </c>
      <c r="I16" s="660">
        <f t="shared" si="0"/>
        <v>0</v>
      </c>
      <c r="J16" s="660">
        <f t="shared" si="0"/>
        <v>0</v>
      </c>
      <c r="K16" s="660">
        <f t="shared" si="0"/>
        <v>643.50797782393988</v>
      </c>
      <c r="L16" s="660">
        <f t="shared" si="0"/>
        <v>0</v>
      </c>
      <c r="M16" s="660">
        <f t="shared" ca="1" si="0"/>
        <v>0</v>
      </c>
      <c r="N16" s="660">
        <f t="shared" si="0"/>
        <v>0</v>
      </c>
      <c r="O16" s="660">
        <f t="shared" ca="1" si="0"/>
        <v>12800.882999959129</v>
      </c>
      <c r="P16" s="660">
        <f t="shared" si="0"/>
        <v>226.68333333333334</v>
      </c>
      <c r="Q16" s="660">
        <f t="shared" si="0"/>
        <v>896.13333333333333</v>
      </c>
      <c r="R16" s="660">
        <f t="shared" ca="1" si="0"/>
        <v>307267.25413889292</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10.955176400533063</v>
      </c>
      <c r="D19" s="930">
        <f>transport!C54</f>
        <v>0</v>
      </c>
      <c r="E19" s="930">
        <f>transport!D54</f>
        <v>0</v>
      </c>
      <c r="F19" s="930">
        <f>transport!E54</f>
        <v>0</v>
      </c>
      <c r="G19" s="930">
        <f>transport!F54</f>
        <v>0</v>
      </c>
      <c r="H19" s="930">
        <f>transport!G54</f>
        <v>1953.3311457766806</v>
      </c>
      <c r="I19" s="930">
        <f>transport!H54</f>
        <v>0</v>
      </c>
      <c r="J19" s="930">
        <f>transport!I54</f>
        <v>0</v>
      </c>
      <c r="K19" s="930">
        <f>transport!J54</f>
        <v>0</v>
      </c>
      <c r="L19" s="930">
        <f>transport!K54</f>
        <v>0</v>
      </c>
      <c r="M19" s="930">
        <f>transport!L54</f>
        <v>0</v>
      </c>
      <c r="N19" s="930">
        <f>transport!M54</f>
        <v>60.975429927939167</v>
      </c>
      <c r="O19" s="930">
        <f>transport!N54</f>
        <v>0</v>
      </c>
      <c r="P19" s="930">
        <f>transport!O54</f>
        <v>0</v>
      </c>
      <c r="Q19" s="931">
        <f>transport!P54</f>
        <v>0</v>
      </c>
      <c r="R19" s="628">
        <f>SUM(C19:Q19)</f>
        <v>2025.2617521051527</v>
      </c>
      <c r="S19" s="67"/>
    </row>
    <row r="20" spans="1:19" s="437" customFormat="1">
      <c r="A20" s="736" t="s">
        <v>296</v>
      </c>
      <c r="B20" s="741"/>
      <c r="C20" s="930">
        <f>transport!B14</f>
        <v>103.36829717274304</v>
      </c>
      <c r="D20" s="930">
        <f>transport!C14</f>
        <v>0</v>
      </c>
      <c r="E20" s="930">
        <f>transport!D14</f>
        <v>151.5878378676789</v>
      </c>
      <c r="F20" s="930">
        <f>transport!E14</f>
        <v>770.62706942975171</v>
      </c>
      <c r="G20" s="930">
        <f>transport!F14</f>
        <v>0</v>
      </c>
      <c r="H20" s="930">
        <f>transport!G14</f>
        <v>331305.92115296202</v>
      </c>
      <c r="I20" s="930">
        <f>transport!H14</f>
        <v>53869.024610967244</v>
      </c>
      <c r="J20" s="930">
        <f>transport!I14</f>
        <v>0</v>
      </c>
      <c r="K20" s="930">
        <f>transport!J14</f>
        <v>0</v>
      </c>
      <c r="L20" s="930">
        <f>transport!K14</f>
        <v>0</v>
      </c>
      <c r="M20" s="930">
        <f>transport!L14</f>
        <v>0</v>
      </c>
      <c r="N20" s="930">
        <f>transport!M14</f>
        <v>12037.29634821125</v>
      </c>
      <c r="O20" s="930">
        <f>transport!N14</f>
        <v>0</v>
      </c>
      <c r="P20" s="930">
        <f>transport!O14</f>
        <v>0</v>
      </c>
      <c r="Q20" s="931">
        <f>transport!P14</f>
        <v>0</v>
      </c>
      <c r="R20" s="628">
        <f>SUM(C20:Q20)</f>
        <v>398237.82531661069</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114.3234735732761</v>
      </c>
      <c r="D22" s="739">
        <f t="shared" ref="D22:R22" si="1">SUM(D18:D21)</f>
        <v>0</v>
      </c>
      <c r="E22" s="739">
        <f t="shared" si="1"/>
        <v>151.5878378676789</v>
      </c>
      <c r="F22" s="739">
        <f t="shared" si="1"/>
        <v>770.62706942975171</v>
      </c>
      <c r="G22" s="739">
        <f t="shared" si="1"/>
        <v>0</v>
      </c>
      <c r="H22" s="739">
        <f t="shared" si="1"/>
        <v>333259.25229873869</v>
      </c>
      <c r="I22" s="739">
        <f t="shared" si="1"/>
        <v>53869.024610967244</v>
      </c>
      <c r="J22" s="739">
        <f t="shared" si="1"/>
        <v>0</v>
      </c>
      <c r="K22" s="739">
        <f t="shared" si="1"/>
        <v>0</v>
      </c>
      <c r="L22" s="739">
        <f t="shared" si="1"/>
        <v>0</v>
      </c>
      <c r="M22" s="739">
        <f t="shared" si="1"/>
        <v>0</v>
      </c>
      <c r="N22" s="739">
        <f t="shared" si="1"/>
        <v>12098.271778139189</v>
      </c>
      <c r="O22" s="739">
        <f t="shared" si="1"/>
        <v>0</v>
      </c>
      <c r="P22" s="739">
        <f t="shared" si="1"/>
        <v>0</v>
      </c>
      <c r="Q22" s="739">
        <f t="shared" si="1"/>
        <v>0</v>
      </c>
      <c r="R22" s="739">
        <f t="shared" si="1"/>
        <v>400263.08706871583</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3530.4295037500001</v>
      </c>
      <c r="D24" s="930">
        <f>+landbouw!C8</f>
        <v>43304.886422136427</v>
      </c>
      <c r="E24" s="930">
        <f>+landbouw!D8</f>
        <v>0</v>
      </c>
      <c r="F24" s="930">
        <f>+landbouw!E8</f>
        <v>69.940844664585285</v>
      </c>
      <c r="G24" s="930">
        <f>+landbouw!F8</f>
        <v>12874.480671758844</v>
      </c>
      <c r="H24" s="930">
        <f>+landbouw!G8</f>
        <v>0</v>
      </c>
      <c r="I24" s="930">
        <f>+landbouw!H8</f>
        <v>0</v>
      </c>
      <c r="J24" s="930">
        <f>+landbouw!I8</f>
        <v>0</v>
      </c>
      <c r="K24" s="930">
        <f>+landbouw!J8</f>
        <v>838.26620197774025</v>
      </c>
      <c r="L24" s="930">
        <f>+landbouw!K8</f>
        <v>0</v>
      </c>
      <c r="M24" s="930">
        <f>+landbouw!L8</f>
        <v>0</v>
      </c>
      <c r="N24" s="930">
        <f>+landbouw!M8</f>
        <v>0</v>
      </c>
      <c r="O24" s="930">
        <f>+landbouw!N8</f>
        <v>0</v>
      </c>
      <c r="P24" s="930">
        <f>+landbouw!O8</f>
        <v>0</v>
      </c>
      <c r="Q24" s="931">
        <f>+landbouw!P8</f>
        <v>0</v>
      </c>
      <c r="R24" s="628">
        <f>SUM(C24:Q24)</f>
        <v>60618.003644287593</v>
      </c>
      <c r="S24" s="67"/>
    </row>
    <row r="25" spans="1:19" s="437" customFormat="1" ht="15" thickBot="1">
      <c r="A25" s="758" t="s">
        <v>788</v>
      </c>
      <c r="B25" s="933"/>
      <c r="C25" s="934">
        <f>IF(Onbekend_ele_kWh="---",0,Onbekend_ele_kWh)/1000+IF(REST_rest_ele_kWh="---",0,REST_rest_ele_kWh)/1000</f>
        <v>1541.2934025999998</v>
      </c>
      <c r="D25" s="934"/>
      <c r="E25" s="934">
        <f>IF(onbekend_gas_kWh="---",0,onbekend_gas_kWh)/1000+IF(REST_rest_gas_kWh="---",0,REST_rest_gas_kWh)/1000</f>
        <v>4433.2107227999995</v>
      </c>
      <c r="F25" s="934"/>
      <c r="G25" s="934"/>
      <c r="H25" s="934"/>
      <c r="I25" s="934"/>
      <c r="J25" s="934"/>
      <c r="K25" s="934"/>
      <c r="L25" s="934"/>
      <c r="M25" s="934"/>
      <c r="N25" s="934"/>
      <c r="O25" s="934"/>
      <c r="P25" s="934"/>
      <c r="Q25" s="935"/>
      <c r="R25" s="628">
        <f>SUM(C25:Q25)</f>
        <v>5974.5041253999989</v>
      </c>
      <c r="S25" s="67"/>
    </row>
    <row r="26" spans="1:19" s="437" customFormat="1" ht="15.75" thickBot="1">
      <c r="A26" s="633" t="s">
        <v>789</v>
      </c>
      <c r="B26" s="744"/>
      <c r="C26" s="739">
        <f>SUM(C24:C25)</f>
        <v>5071.7229063499999</v>
      </c>
      <c r="D26" s="739">
        <f t="shared" ref="D26:R26" si="2">SUM(D24:D25)</f>
        <v>43304.886422136427</v>
      </c>
      <c r="E26" s="739">
        <f t="shared" si="2"/>
        <v>4433.2107227999995</v>
      </c>
      <c r="F26" s="739">
        <f t="shared" si="2"/>
        <v>69.940844664585285</v>
      </c>
      <c r="G26" s="739">
        <f t="shared" si="2"/>
        <v>12874.480671758844</v>
      </c>
      <c r="H26" s="739">
        <f t="shared" si="2"/>
        <v>0</v>
      </c>
      <c r="I26" s="739">
        <f t="shared" si="2"/>
        <v>0</v>
      </c>
      <c r="J26" s="739">
        <f t="shared" si="2"/>
        <v>0</v>
      </c>
      <c r="K26" s="739">
        <f t="shared" si="2"/>
        <v>838.26620197774025</v>
      </c>
      <c r="L26" s="739">
        <f t="shared" si="2"/>
        <v>0</v>
      </c>
      <c r="M26" s="739">
        <f t="shared" si="2"/>
        <v>0</v>
      </c>
      <c r="N26" s="739">
        <f t="shared" si="2"/>
        <v>0</v>
      </c>
      <c r="O26" s="739">
        <f t="shared" si="2"/>
        <v>0</v>
      </c>
      <c r="P26" s="739">
        <f t="shared" si="2"/>
        <v>0</v>
      </c>
      <c r="Q26" s="739">
        <f t="shared" si="2"/>
        <v>0</v>
      </c>
      <c r="R26" s="739">
        <f t="shared" si="2"/>
        <v>66592.507769687596</v>
      </c>
      <c r="S26" s="67"/>
    </row>
    <row r="27" spans="1:19" s="437" customFormat="1" ht="17.25" thickTop="1" thickBot="1">
      <c r="A27" s="634" t="s">
        <v>109</v>
      </c>
      <c r="B27" s="732"/>
      <c r="C27" s="635">
        <f ca="1">C22+C16+C26</f>
        <v>109261.2906459411</v>
      </c>
      <c r="D27" s="635">
        <f t="shared" ref="D27:R27" ca="1" si="3">D22+D16+D26</f>
        <v>61697.02927927929</v>
      </c>
      <c r="E27" s="635">
        <f t="shared" ca="1" si="3"/>
        <v>132186.34964448525</v>
      </c>
      <c r="F27" s="635">
        <f t="shared" si="3"/>
        <v>3687.993589056477</v>
      </c>
      <c r="G27" s="635">
        <f t="shared" ca="1" si="3"/>
        <v>52658.163284261667</v>
      </c>
      <c r="H27" s="635">
        <f t="shared" si="3"/>
        <v>333259.25229873869</v>
      </c>
      <c r="I27" s="635">
        <f t="shared" si="3"/>
        <v>53869.024610967244</v>
      </c>
      <c r="J27" s="635">
        <f t="shared" si="3"/>
        <v>0</v>
      </c>
      <c r="K27" s="635">
        <f t="shared" si="3"/>
        <v>1481.77417980168</v>
      </c>
      <c r="L27" s="635">
        <f t="shared" si="3"/>
        <v>0</v>
      </c>
      <c r="M27" s="635">
        <f t="shared" ca="1" si="3"/>
        <v>0</v>
      </c>
      <c r="N27" s="635">
        <f t="shared" si="3"/>
        <v>12098.271778139189</v>
      </c>
      <c r="O27" s="635">
        <f t="shared" ca="1" si="3"/>
        <v>12800.882999959129</v>
      </c>
      <c r="P27" s="635">
        <f t="shared" si="3"/>
        <v>226.68333333333334</v>
      </c>
      <c r="Q27" s="635">
        <f t="shared" si="3"/>
        <v>896.13333333333333</v>
      </c>
      <c r="R27" s="635">
        <f t="shared" ca="1" si="3"/>
        <v>774122.84897729638</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11958.544138694293</v>
      </c>
      <c r="D40" s="930">
        <f ca="1">tertiair!C20</f>
        <v>4370.8306775808514</v>
      </c>
      <c r="E40" s="930">
        <f ca="1">tertiair!D20</f>
        <v>3506.0055734120415</v>
      </c>
      <c r="F40" s="930">
        <f>tertiair!E20</f>
        <v>161.78000304789924</v>
      </c>
      <c r="G40" s="930">
        <f ca="1">tertiair!F20</f>
        <v>2022.7304979630728</v>
      </c>
      <c r="H40" s="930">
        <f>tertiair!G20</f>
        <v>0</v>
      </c>
      <c r="I40" s="930">
        <f>tertiair!H20</f>
        <v>0</v>
      </c>
      <c r="J40" s="930">
        <f>tertiair!I20</f>
        <v>0</v>
      </c>
      <c r="K40" s="930">
        <f>tertiair!J20</f>
        <v>9.0929582231274106E-3</v>
      </c>
      <c r="L40" s="930">
        <f>tertiair!K20</f>
        <v>0</v>
      </c>
      <c r="M40" s="930">
        <f ca="1">tertiair!L20</f>
        <v>0</v>
      </c>
      <c r="N40" s="930">
        <f>tertiair!M20</f>
        <v>0</v>
      </c>
      <c r="O40" s="930">
        <f ca="1">tertiair!N20</f>
        <v>0</v>
      </c>
      <c r="P40" s="930">
        <f>tertiair!O20</f>
        <v>0</v>
      </c>
      <c r="Q40" s="702">
        <f>tertiair!P20</f>
        <v>0</v>
      </c>
      <c r="R40" s="777">
        <f t="shared" ca="1" si="4"/>
        <v>22019.899983656374</v>
      </c>
    </row>
    <row r="41" spans="1:18">
      <c r="A41" s="749" t="s">
        <v>214</v>
      </c>
      <c r="B41" s="756"/>
      <c r="C41" s="930">
        <f ca="1">huishoudens!B12</f>
        <v>7615.7708883231708</v>
      </c>
      <c r="D41" s="930">
        <f ca="1">huishoudens!C12</f>
        <v>0</v>
      </c>
      <c r="E41" s="930">
        <f>huishoudens!D12</f>
        <v>20084.363057808278</v>
      </c>
      <c r="F41" s="930">
        <f>huishoudens!E12</f>
        <v>233.80110025416062</v>
      </c>
      <c r="G41" s="930">
        <f>huishoudens!F12</f>
        <v>7476.6929492670051</v>
      </c>
      <c r="H41" s="930">
        <f>huishoudens!G12</f>
        <v>0</v>
      </c>
      <c r="I41" s="930">
        <f>huishoudens!H12</f>
        <v>0</v>
      </c>
      <c r="J41" s="930">
        <f>huishoudens!I12</f>
        <v>0</v>
      </c>
      <c r="K41" s="930">
        <f>huishoudens!J12</f>
        <v>182.8119273066701</v>
      </c>
      <c r="L41" s="930">
        <f>huishoudens!K12</f>
        <v>0</v>
      </c>
      <c r="M41" s="930">
        <f>huishoudens!L12</f>
        <v>0</v>
      </c>
      <c r="N41" s="930">
        <f>huishoudens!M12</f>
        <v>0</v>
      </c>
      <c r="O41" s="930">
        <f>huishoudens!N12</f>
        <v>0</v>
      </c>
      <c r="P41" s="930">
        <f>huishoudens!O12</f>
        <v>0</v>
      </c>
      <c r="Q41" s="702">
        <f>huishoudens!P12</f>
        <v>0</v>
      </c>
      <c r="R41" s="777">
        <f t="shared" ca="1" si="4"/>
        <v>35593.439922959282</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2282.4304346567337</v>
      </c>
      <c r="D43" s="930">
        <f ca="1">industrie!C22</f>
        <v>0</v>
      </c>
      <c r="E43" s="930">
        <f>industrie!D22</f>
        <v>2185.1446877108319</v>
      </c>
      <c r="F43" s="930">
        <f>industrie!E22</f>
        <v>250.78452491434595</v>
      </c>
      <c r="G43" s="930">
        <f>industrie!F22</f>
        <v>1122.819810308177</v>
      </c>
      <c r="H43" s="930">
        <f>industrie!G22</f>
        <v>0</v>
      </c>
      <c r="I43" s="930">
        <f>industrie!H22</f>
        <v>0</v>
      </c>
      <c r="J43" s="930">
        <f>industrie!I22</f>
        <v>0</v>
      </c>
      <c r="K43" s="930">
        <f>industrie!J22</f>
        <v>44.980803884781452</v>
      </c>
      <c r="L43" s="930">
        <f>industrie!K22</f>
        <v>0</v>
      </c>
      <c r="M43" s="930">
        <f>industrie!L22</f>
        <v>0</v>
      </c>
      <c r="N43" s="930">
        <f>industrie!M22</f>
        <v>0</v>
      </c>
      <c r="O43" s="930">
        <f>industrie!N22</f>
        <v>0</v>
      </c>
      <c r="P43" s="930">
        <f>industrie!O22</f>
        <v>0</v>
      </c>
      <c r="Q43" s="702">
        <f>industrie!P22</f>
        <v>0</v>
      </c>
      <c r="R43" s="776">
        <f t="shared" ca="1" si="4"/>
        <v>5886.160261474869</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21856.745461674196</v>
      </c>
      <c r="D46" s="660">
        <f t="shared" ref="D46:Q46" ca="1" si="5">SUM(D39:D45)</f>
        <v>4370.8306775808514</v>
      </c>
      <c r="E46" s="660">
        <f t="shared" ca="1" si="5"/>
        <v>25775.513318931153</v>
      </c>
      <c r="F46" s="660">
        <f t="shared" si="5"/>
        <v>646.36562821640587</v>
      </c>
      <c r="G46" s="660">
        <f t="shared" ca="1" si="5"/>
        <v>10622.243257538255</v>
      </c>
      <c r="H46" s="660">
        <f t="shared" si="5"/>
        <v>0</v>
      </c>
      <c r="I46" s="660">
        <f t="shared" si="5"/>
        <v>0</v>
      </c>
      <c r="J46" s="660">
        <f t="shared" si="5"/>
        <v>0</v>
      </c>
      <c r="K46" s="660">
        <f t="shared" si="5"/>
        <v>227.8018241496747</v>
      </c>
      <c r="L46" s="660">
        <f t="shared" si="5"/>
        <v>0</v>
      </c>
      <c r="M46" s="660">
        <f t="shared" ca="1" si="5"/>
        <v>0</v>
      </c>
      <c r="N46" s="660">
        <f t="shared" si="5"/>
        <v>0</v>
      </c>
      <c r="O46" s="660">
        <f t="shared" ca="1" si="5"/>
        <v>0</v>
      </c>
      <c r="P46" s="660">
        <f t="shared" si="5"/>
        <v>0</v>
      </c>
      <c r="Q46" s="660">
        <f t="shared" si="5"/>
        <v>0</v>
      </c>
      <c r="R46" s="660">
        <f ca="1">SUM(R39:R45)</f>
        <v>63499.500168090526</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2.3006864289664088</v>
      </c>
      <c r="D49" s="930">
        <f ca="1">transport!C58</f>
        <v>0</v>
      </c>
      <c r="E49" s="930">
        <f>transport!D58</f>
        <v>0</v>
      </c>
      <c r="F49" s="930">
        <f>transport!E58</f>
        <v>0</v>
      </c>
      <c r="G49" s="930">
        <f>transport!F58</f>
        <v>0</v>
      </c>
      <c r="H49" s="930">
        <f>transport!G58</f>
        <v>521.53941592237379</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523.84010235134019</v>
      </c>
    </row>
    <row r="50" spans="1:18">
      <c r="A50" s="752" t="s">
        <v>296</v>
      </c>
      <c r="B50" s="762"/>
      <c r="C50" s="631">
        <f ca="1">transport!B18</f>
        <v>21.708280158695104</v>
      </c>
      <c r="D50" s="631">
        <f>transport!C18</f>
        <v>0</v>
      </c>
      <c r="E50" s="631">
        <f>transport!D18</f>
        <v>30.62074324927114</v>
      </c>
      <c r="F50" s="631">
        <f>transport!E18</f>
        <v>174.93234476055363</v>
      </c>
      <c r="G50" s="631">
        <f>transport!F18</f>
        <v>0</v>
      </c>
      <c r="H50" s="631">
        <f>transport!G18</f>
        <v>88458.680947840869</v>
      </c>
      <c r="I50" s="631">
        <f>transport!H18</f>
        <v>13413.387128130844</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102099.32944414022</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24.008966587661511</v>
      </c>
      <c r="D52" s="660">
        <f t="shared" ref="D52:Q52" ca="1" si="6">SUM(D48:D51)</f>
        <v>0</v>
      </c>
      <c r="E52" s="660">
        <f t="shared" si="6"/>
        <v>30.62074324927114</v>
      </c>
      <c r="F52" s="660">
        <f t="shared" si="6"/>
        <v>174.93234476055363</v>
      </c>
      <c r="G52" s="660">
        <f t="shared" si="6"/>
        <v>0</v>
      </c>
      <c r="H52" s="660">
        <f t="shared" si="6"/>
        <v>88980.220363763248</v>
      </c>
      <c r="I52" s="660">
        <f t="shared" si="6"/>
        <v>13413.387128130844</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102623.16954649157</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741.42222368094542</v>
      </c>
      <c r="D54" s="631">
        <f ca="1">+landbouw!C12</f>
        <v>10291.260106731899</v>
      </c>
      <c r="E54" s="631">
        <f>+landbouw!D12</f>
        <v>0</v>
      </c>
      <c r="F54" s="631">
        <f>+landbouw!E12</f>
        <v>15.876571738860861</v>
      </c>
      <c r="G54" s="631">
        <f>+landbouw!F12</f>
        <v>3437.4863393596115</v>
      </c>
      <c r="H54" s="631">
        <f>+landbouw!G12</f>
        <v>0</v>
      </c>
      <c r="I54" s="631">
        <f>+landbouw!H12</f>
        <v>0</v>
      </c>
      <c r="J54" s="631">
        <f>+landbouw!I12</f>
        <v>0</v>
      </c>
      <c r="K54" s="631">
        <f>+landbouw!J12</f>
        <v>296.74623550012001</v>
      </c>
      <c r="L54" s="631">
        <f>+landbouw!K12</f>
        <v>0</v>
      </c>
      <c r="M54" s="631">
        <f>+landbouw!L12</f>
        <v>0</v>
      </c>
      <c r="N54" s="631">
        <f>+landbouw!M12</f>
        <v>0</v>
      </c>
      <c r="O54" s="631">
        <f>+landbouw!N12</f>
        <v>0</v>
      </c>
      <c r="P54" s="631">
        <f>+landbouw!O12</f>
        <v>0</v>
      </c>
      <c r="Q54" s="632">
        <f>+landbouw!P12</f>
        <v>0</v>
      </c>
      <c r="R54" s="659">
        <f ca="1">SUM(C54:Q54)</f>
        <v>14782.791477011438</v>
      </c>
    </row>
    <row r="55" spans="1:18" ht="15" thickBot="1">
      <c r="A55" s="752" t="s">
        <v>788</v>
      </c>
      <c r="B55" s="762"/>
      <c r="C55" s="631">
        <f ca="1">C25*'EF ele_warmte'!B12</f>
        <v>323.68559708858129</v>
      </c>
      <c r="D55" s="631"/>
      <c r="E55" s="631">
        <f>E25*EF_CO2_aardgas</f>
        <v>895.50856600559996</v>
      </c>
      <c r="F55" s="631"/>
      <c r="G55" s="631"/>
      <c r="H55" s="631"/>
      <c r="I55" s="631"/>
      <c r="J55" s="631"/>
      <c r="K55" s="631"/>
      <c r="L55" s="631"/>
      <c r="M55" s="631"/>
      <c r="N55" s="631"/>
      <c r="O55" s="631"/>
      <c r="P55" s="631"/>
      <c r="Q55" s="632"/>
      <c r="R55" s="659">
        <f ca="1">SUM(C55:Q55)</f>
        <v>1219.1941630941812</v>
      </c>
    </row>
    <row r="56" spans="1:18" ht="15.75" thickBot="1">
      <c r="A56" s="750" t="s">
        <v>789</v>
      </c>
      <c r="B56" s="763"/>
      <c r="C56" s="660">
        <f ca="1">SUM(C54:C55)</f>
        <v>1065.1078207695268</v>
      </c>
      <c r="D56" s="660">
        <f t="shared" ref="D56:Q56" ca="1" si="7">SUM(D54:D55)</f>
        <v>10291.260106731899</v>
      </c>
      <c r="E56" s="660">
        <f t="shared" si="7"/>
        <v>895.50856600559996</v>
      </c>
      <c r="F56" s="660">
        <f t="shared" si="7"/>
        <v>15.876571738860861</v>
      </c>
      <c r="G56" s="660">
        <f t="shared" si="7"/>
        <v>3437.4863393596115</v>
      </c>
      <c r="H56" s="660">
        <f t="shared" si="7"/>
        <v>0</v>
      </c>
      <c r="I56" s="660">
        <f t="shared" si="7"/>
        <v>0</v>
      </c>
      <c r="J56" s="660">
        <f t="shared" si="7"/>
        <v>0</v>
      </c>
      <c r="K56" s="660">
        <f t="shared" si="7"/>
        <v>296.74623550012001</v>
      </c>
      <c r="L56" s="660">
        <f t="shared" si="7"/>
        <v>0</v>
      </c>
      <c r="M56" s="660">
        <f t="shared" si="7"/>
        <v>0</v>
      </c>
      <c r="N56" s="660">
        <f t="shared" si="7"/>
        <v>0</v>
      </c>
      <c r="O56" s="660">
        <f t="shared" si="7"/>
        <v>0</v>
      </c>
      <c r="P56" s="660">
        <f t="shared" si="7"/>
        <v>0</v>
      </c>
      <c r="Q56" s="661">
        <f t="shared" si="7"/>
        <v>0</v>
      </c>
      <c r="R56" s="662">
        <f ca="1">SUM(R54:R55)</f>
        <v>16001.98564010562</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22945.862249031386</v>
      </c>
      <c r="D61" s="668">
        <f t="shared" ref="D61:Q61" ca="1" si="8">D46+D52+D56</f>
        <v>14662.09078431275</v>
      </c>
      <c r="E61" s="668">
        <f t="shared" ca="1" si="8"/>
        <v>26701.642628186022</v>
      </c>
      <c r="F61" s="668">
        <f t="shared" si="8"/>
        <v>837.17454471582039</v>
      </c>
      <c r="G61" s="668">
        <f t="shared" ca="1" si="8"/>
        <v>14059.729596897867</v>
      </c>
      <c r="H61" s="668">
        <f t="shared" si="8"/>
        <v>88980.220363763248</v>
      </c>
      <c r="I61" s="668">
        <f t="shared" si="8"/>
        <v>13413.387128130844</v>
      </c>
      <c r="J61" s="668">
        <f t="shared" si="8"/>
        <v>0</v>
      </c>
      <c r="K61" s="668">
        <f t="shared" si="8"/>
        <v>524.54805964979471</v>
      </c>
      <c r="L61" s="668">
        <f t="shared" si="8"/>
        <v>0</v>
      </c>
      <c r="M61" s="668">
        <f t="shared" ca="1" si="8"/>
        <v>0</v>
      </c>
      <c r="N61" s="668">
        <f t="shared" si="8"/>
        <v>0</v>
      </c>
      <c r="O61" s="668">
        <f t="shared" ca="1" si="8"/>
        <v>0</v>
      </c>
      <c r="P61" s="668">
        <f t="shared" si="8"/>
        <v>0</v>
      </c>
      <c r="Q61" s="668">
        <f t="shared" si="8"/>
        <v>0</v>
      </c>
      <c r="R61" s="668">
        <f ca="1">R46+R52+R56</f>
        <v>182124.65535468771</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0.21000907195382643</v>
      </c>
      <c r="D63" s="709">
        <f t="shared" ca="1" si="9"/>
        <v>0.23764662505779605</v>
      </c>
      <c r="E63" s="941">
        <f t="shared" ca="1" si="9"/>
        <v>0.20200000000000001</v>
      </c>
      <c r="F63" s="709">
        <f t="shared" si="9"/>
        <v>0.22700000000000004</v>
      </c>
      <c r="G63" s="709">
        <f t="shared" ca="1" si="9"/>
        <v>0.26700000000000002</v>
      </c>
      <c r="H63" s="709">
        <f t="shared" si="9"/>
        <v>0.26700000000000007</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0</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8686.9504049725947</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0</v>
      </c>
      <c r="C76" s="678">
        <f>'lokale energieproductie'!B8*IFERROR(SUM(D76:H76)/SUM(D76:O76),0)</f>
        <v>43187.916666666664</v>
      </c>
      <c r="D76" s="951">
        <f>'lokale energieproductie'!C8</f>
        <v>50809.220985696411</v>
      </c>
      <c r="E76" s="952">
        <f>'lokale energieproductie'!D8</f>
        <v>0</v>
      </c>
      <c r="F76" s="952">
        <f>'lokale energieproductie'!E8</f>
        <v>0</v>
      </c>
      <c r="G76" s="952">
        <f>'lokale energieproductie'!F8</f>
        <v>0</v>
      </c>
      <c r="H76" s="952">
        <f>'lokale energieproductie'!G8</f>
        <v>0</v>
      </c>
      <c r="I76" s="952">
        <f>'lokale energieproductie'!I8</f>
        <v>0</v>
      </c>
      <c r="J76" s="952">
        <f>'lokale energieproductie'!J8</f>
        <v>0</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10263.462639110676</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8686.9504049725947</v>
      </c>
      <c r="C78" s="683">
        <f>SUM(C72:C77)</f>
        <v>43187.916666666664</v>
      </c>
      <c r="D78" s="684">
        <f t="shared" ref="D78:H78" si="10">SUM(D76:D77)</f>
        <v>50809.220985696411</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10263.462639110676</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0</v>
      </c>
      <c r="C87" s="694">
        <f>'lokale energieproductie'!B17*IFERROR(SUM(D87:H87)/SUM(D87:O87),0)</f>
        <v>61697.029279279282</v>
      </c>
      <c r="D87" s="705">
        <f>'lokale energieproductie'!C17</f>
        <v>72584.607843132428</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14662.090784312752</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61697.029279279282</v>
      </c>
      <c r="D90" s="683">
        <f t="shared" ref="D90:H90" si="12">SUM(D87:D89)</f>
        <v>72584.607843132428</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14662.090784312752</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36264.009061463832</v>
      </c>
      <c r="C4" s="441">
        <f>huishoudens!C8</f>
        <v>0</v>
      </c>
      <c r="D4" s="441">
        <f>huishoudens!D8</f>
        <v>99427.539890139989</v>
      </c>
      <c r="E4" s="441">
        <f>huishoudens!E8</f>
        <v>1029.9607940711921</v>
      </c>
      <c r="F4" s="441">
        <f>huishoudens!F8</f>
        <v>28002.595315606759</v>
      </c>
      <c r="G4" s="441">
        <f>huishoudens!G8</f>
        <v>0</v>
      </c>
      <c r="H4" s="441">
        <f>huishoudens!H8</f>
        <v>0</v>
      </c>
      <c r="I4" s="441">
        <f>huishoudens!I8</f>
        <v>0</v>
      </c>
      <c r="J4" s="441">
        <f>huishoudens!J8</f>
        <v>516.41787374765568</v>
      </c>
      <c r="K4" s="441">
        <f>huishoudens!K8</f>
        <v>0</v>
      </c>
      <c r="L4" s="441">
        <f>huishoudens!L8</f>
        <v>0</v>
      </c>
      <c r="M4" s="441">
        <f>huishoudens!M8</f>
        <v>0</v>
      </c>
      <c r="N4" s="441">
        <f>huishoudens!N8</f>
        <v>10584.37949099105</v>
      </c>
      <c r="O4" s="441">
        <f>huishoudens!O8</f>
        <v>226.68333333333334</v>
      </c>
      <c r="P4" s="442">
        <f>huishoudens!P8</f>
        <v>819.86666666666667</v>
      </c>
      <c r="Q4" s="443">
        <f>SUM(B4:P4)</f>
        <v>176871.45242602046</v>
      </c>
    </row>
    <row r="5" spans="1:17">
      <c r="A5" s="440" t="s">
        <v>149</v>
      </c>
      <c r="B5" s="441">
        <f ca="1">tertiair!B16</f>
        <v>55558.801354920004</v>
      </c>
      <c r="C5" s="441">
        <f ca="1">tertiair!C16</f>
        <v>18392.142857142859</v>
      </c>
      <c r="D5" s="441">
        <f ca="1">tertiair!D16</f>
        <v>17356.463234713076</v>
      </c>
      <c r="E5" s="441">
        <f>tertiair!E16</f>
        <v>712.68723809647236</v>
      </c>
      <c r="F5" s="441">
        <f ca="1">tertiair!F16</f>
        <v>7575.7696552924072</v>
      </c>
      <c r="G5" s="441">
        <f>tertiair!G16</f>
        <v>0</v>
      </c>
      <c r="H5" s="441">
        <f>tertiair!H16</f>
        <v>0</v>
      </c>
      <c r="I5" s="441">
        <f>tertiair!I16</f>
        <v>0</v>
      </c>
      <c r="J5" s="441">
        <f>tertiair!J16</f>
        <v>2.5686322664201726E-2</v>
      </c>
      <c r="K5" s="441">
        <f>tertiair!K16</f>
        <v>0</v>
      </c>
      <c r="L5" s="441">
        <f ca="1">tertiair!L16</f>
        <v>0</v>
      </c>
      <c r="M5" s="441">
        <f>tertiair!M16</f>
        <v>0</v>
      </c>
      <c r="N5" s="441">
        <f ca="1">tertiair!N16</f>
        <v>953.48095275738717</v>
      </c>
      <c r="O5" s="441">
        <f>tertiair!O16</f>
        <v>0</v>
      </c>
      <c r="P5" s="442">
        <f>tertiair!P16</f>
        <v>76.266666666666666</v>
      </c>
      <c r="Q5" s="440">
        <f t="shared" ref="Q5:Q14" ca="1" si="0">SUM(B5:P5)</f>
        <v>100625.63764591153</v>
      </c>
    </row>
    <row r="6" spans="1:17">
      <c r="A6" s="440" t="s">
        <v>187</v>
      </c>
      <c r="B6" s="441">
        <f>'openbare verlichting'!B8</f>
        <v>1384.1869999999999</v>
      </c>
      <c r="C6" s="441"/>
      <c r="D6" s="441"/>
      <c r="E6" s="441"/>
      <c r="F6" s="441"/>
      <c r="G6" s="441"/>
      <c r="H6" s="441"/>
      <c r="I6" s="441"/>
      <c r="J6" s="441"/>
      <c r="K6" s="441"/>
      <c r="L6" s="441"/>
      <c r="M6" s="441"/>
      <c r="N6" s="441"/>
      <c r="O6" s="441"/>
      <c r="P6" s="442"/>
      <c r="Q6" s="440">
        <f t="shared" si="0"/>
        <v>1384.1869999999999</v>
      </c>
    </row>
    <row r="7" spans="1:17">
      <c r="A7" s="440" t="s">
        <v>105</v>
      </c>
      <c r="B7" s="441">
        <f>landbouw!B8</f>
        <v>3530.4295037500001</v>
      </c>
      <c r="C7" s="441">
        <f>landbouw!C8</f>
        <v>43304.886422136427</v>
      </c>
      <c r="D7" s="441">
        <f>landbouw!D8</f>
        <v>0</v>
      </c>
      <c r="E7" s="441">
        <f>landbouw!E8</f>
        <v>69.940844664585285</v>
      </c>
      <c r="F7" s="441">
        <f>landbouw!F8</f>
        <v>12874.480671758844</v>
      </c>
      <c r="G7" s="441">
        <f>landbouw!G8</f>
        <v>0</v>
      </c>
      <c r="H7" s="441">
        <f>landbouw!H8</f>
        <v>0</v>
      </c>
      <c r="I7" s="441">
        <f>landbouw!I8</f>
        <v>0</v>
      </c>
      <c r="J7" s="441">
        <f>landbouw!J8</f>
        <v>838.26620197774025</v>
      </c>
      <c r="K7" s="441">
        <f>landbouw!K8</f>
        <v>0</v>
      </c>
      <c r="L7" s="441">
        <f>landbouw!L8</f>
        <v>0</v>
      </c>
      <c r="M7" s="441">
        <f>landbouw!M8</f>
        <v>0</v>
      </c>
      <c r="N7" s="441">
        <f>landbouw!N8</f>
        <v>0</v>
      </c>
      <c r="O7" s="441">
        <f>landbouw!O8</f>
        <v>0</v>
      </c>
      <c r="P7" s="442">
        <f>landbouw!P8</f>
        <v>0</v>
      </c>
      <c r="Q7" s="440">
        <f t="shared" si="0"/>
        <v>60618.003644287593</v>
      </c>
    </row>
    <row r="8" spans="1:17">
      <c r="A8" s="440" t="s">
        <v>600</v>
      </c>
      <c r="B8" s="441">
        <f>industrie!B18</f>
        <v>10868.246849634001</v>
      </c>
      <c r="C8" s="441">
        <f>industrie!C18</f>
        <v>0</v>
      </c>
      <c r="D8" s="441">
        <f>industrie!D18</f>
        <v>10817.547958964515</v>
      </c>
      <c r="E8" s="441">
        <f>industrie!E18</f>
        <v>1104.7776427944755</v>
      </c>
      <c r="F8" s="441">
        <f>industrie!F18</f>
        <v>4205.3176416036586</v>
      </c>
      <c r="G8" s="441">
        <f>industrie!G18</f>
        <v>0</v>
      </c>
      <c r="H8" s="441">
        <f>industrie!H18</f>
        <v>0</v>
      </c>
      <c r="I8" s="441">
        <f>industrie!I18</f>
        <v>0</v>
      </c>
      <c r="J8" s="441">
        <f>industrie!J18</f>
        <v>127.06441775361994</v>
      </c>
      <c r="K8" s="441">
        <f>industrie!K18</f>
        <v>0</v>
      </c>
      <c r="L8" s="441">
        <f>industrie!L18</f>
        <v>0</v>
      </c>
      <c r="M8" s="441">
        <f>industrie!M18</f>
        <v>0</v>
      </c>
      <c r="N8" s="441">
        <f>industrie!N18</f>
        <v>1263.0225562106925</v>
      </c>
      <c r="O8" s="441">
        <f>industrie!O18</f>
        <v>0</v>
      </c>
      <c r="P8" s="442">
        <f>industrie!P18</f>
        <v>0</v>
      </c>
      <c r="Q8" s="440">
        <f t="shared" si="0"/>
        <v>28385.977066960961</v>
      </c>
    </row>
    <row r="9" spans="1:17" s="446" customFormat="1">
      <c r="A9" s="444" t="s">
        <v>549</v>
      </c>
      <c r="B9" s="445">
        <f>transport!B14</f>
        <v>103.36829717274304</v>
      </c>
      <c r="C9" s="445">
        <f>transport!C14</f>
        <v>0</v>
      </c>
      <c r="D9" s="445">
        <f>transport!D14</f>
        <v>151.5878378676789</v>
      </c>
      <c r="E9" s="445">
        <f>transport!E14</f>
        <v>770.62706942975171</v>
      </c>
      <c r="F9" s="445">
        <f>transport!F14</f>
        <v>0</v>
      </c>
      <c r="G9" s="445">
        <f>transport!G14</f>
        <v>331305.92115296202</v>
      </c>
      <c r="H9" s="445">
        <f>transport!H14</f>
        <v>53869.024610967244</v>
      </c>
      <c r="I9" s="445">
        <f>transport!I14</f>
        <v>0</v>
      </c>
      <c r="J9" s="445">
        <f>transport!J14</f>
        <v>0</v>
      </c>
      <c r="K9" s="445">
        <f>transport!K14</f>
        <v>0</v>
      </c>
      <c r="L9" s="445">
        <f>transport!L14</f>
        <v>0</v>
      </c>
      <c r="M9" s="445">
        <f>transport!M14</f>
        <v>12037.29634821125</v>
      </c>
      <c r="N9" s="445">
        <f>transport!N14</f>
        <v>0</v>
      </c>
      <c r="O9" s="445">
        <f>transport!O14</f>
        <v>0</v>
      </c>
      <c r="P9" s="445">
        <f>transport!P14</f>
        <v>0</v>
      </c>
      <c r="Q9" s="444">
        <f>SUM(B9:P9)</f>
        <v>398237.82531661069</v>
      </c>
    </row>
    <row r="10" spans="1:17">
      <c r="A10" s="440" t="s">
        <v>539</v>
      </c>
      <c r="B10" s="441">
        <f>transport!B54</f>
        <v>10.955176400533063</v>
      </c>
      <c r="C10" s="441">
        <f>transport!C54</f>
        <v>0</v>
      </c>
      <c r="D10" s="441">
        <f>transport!D54</f>
        <v>0</v>
      </c>
      <c r="E10" s="441">
        <f>transport!E54</f>
        <v>0</v>
      </c>
      <c r="F10" s="441">
        <f>transport!F54</f>
        <v>0</v>
      </c>
      <c r="G10" s="441">
        <f>transport!G54</f>
        <v>1953.3311457766806</v>
      </c>
      <c r="H10" s="441">
        <f>transport!H54</f>
        <v>0</v>
      </c>
      <c r="I10" s="441">
        <f>transport!I54</f>
        <v>0</v>
      </c>
      <c r="J10" s="441">
        <f>transport!J54</f>
        <v>0</v>
      </c>
      <c r="K10" s="441">
        <f>transport!K54</f>
        <v>0</v>
      </c>
      <c r="L10" s="441">
        <f>transport!L54</f>
        <v>0</v>
      </c>
      <c r="M10" s="441">
        <f>transport!M54</f>
        <v>60.975429927939167</v>
      </c>
      <c r="N10" s="441">
        <f>transport!N54</f>
        <v>0</v>
      </c>
      <c r="O10" s="441">
        <f>transport!O54</f>
        <v>0</v>
      </c>
      <c r="P10" s="442">
        <f>transport!P54</f>
        <v>0</v>
      </c>
      <c r="Q10" s="440">
        <f t="shared" si="0"/>
        <v>2025.2617521051527</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1541.2934025999998</v>
      </c>
      <c r="C14" s="448"/>
      <c r="D14" s="448">
        <f>'SEAP template'!E25</f>
        <v>4433.2107227999995</v>
      </c>
      <c r="E14" s="448"/>
      <c r="F14" s="448"/>
      <c r="G14" s="448"/>
      <c r="H14" s="448"/>
      <c r="I14" s="448"/>
      <c r="J14" s="448"/>
      <c r="K14" s="448"/>
      <c r="L14" s="448"/>
      <c r="M14" s="448"/>
      <c r="N14" s="448"/>
      <c r="O14" s="448"/>
      <c r="P14" s="449"/>
      <c r="Q14" s="440">
        <f t="shared" si="0"/>
        <v>5974.5041253999989</v>
      </c>
    </row>
    <row r="15" spans="1:17" s="450" customFormat="1">
      <c r="A15" s="956" t="s">
        <v>543</v>
      </c>
      <c r="B15" s="896">
        <f ca="1">SUM(B4:B14)</f>
        <v>109261.29064594112</v>
      </c>
      <c r="C15" s="896">
        <f t="shared" ref="C15:Q15" ca="1" si="1">SUM(C4:C14)</f>
        <v>61697.02927927929</v>
      </c>
      <c r="D15" s="896">
        <f t="shared" ca="1" si="1"/>
        <v>132186.34964448525</v>
      </c>
      <c r="E15" s="896">
        <f t="shared" si="1"/>
        <v>3687.993589056477</v>
      </c>
      <c r="F15" s="896">
        <f t="shared" ca="1" si="1"/>
        <v>52658.163284261667</v>
      </c>
      <c r="G15" s="896">
        <f t="shared" si="1"/>
        <v>333259.25229873869</v>
      </c>
      <c r="H15" s="896">
        <f t="shared" si="1"/>
        <v>53869.024610967244</v>
      </c>
      <c r="I15" s="896">
        <f t="shared" si="1"/>
        <v>0</v>
      </c>
      <c r="J15" s="896">
        <f t="shared" si="1"/>
        <v>1481.77417980168</v>
      </c>
      <c r="K15" s="896">
        <f t="shared" si="1"/>
        <v>0</v>
      </c>
      <c r="L15" s="896">
        <f t="shared" ca="1" si="1"/>
        <v>0</v>
      </c>
      <c r="M15" s="896">
        <f t="shared" si="1"/>
        <v>12098.271778139189</v>
      </c>
      <c r="N15" s="896">
        <f t="shared" ca="1" si="1"/>
        <v>12800.882999959129</v>
      </c>
      <c r="O15" s="896">
        <f t="shared" si="1"/>
        <v>226.68333333333334</v>
      </c>
      <c r="P15" s="896">
        <f t="shared" si="1"/>
        <v>896.13333333333333</v>
      </c>
      <c r="Q15" s="896">
        <f t="shared" ca="1" si="1"/>
        <v>774122.84897729638</v>
      </c>
    </row>
    <row r="17" spans="1:17">
      <c r="A17" s="451" t="s">
        <v>544</v>
      </c>
      <c r="B17" s="714">
        <f ca="1">huishoudens!B10</f>
        <v>0.2100090719538264</v>
      </c>
      <c r="C17" s="714">
        <f ca="1">huishoudens!C10</f>
        <v>0.23764662505779607</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7615.7708883231708</v>
      </c>
      <c r="C22" s="441">
        <f t="shared" ref="C22:C32" ca="1" si="3">C4*$C$17</f>
        <v>0</v>
      </c>
      <c r="D22" s="441">
        <f t="shared" ref="D22:D32" si="4">D4*$D$17</f>
        <v>20084.363057808278</v>
      </c>
      <c r="E22" s="441">
        <f t="shared" ref="E22:E32" si="5">E4*$E$17</f>
        <v>233.80110025416062</v>
      </c>
      <c r="F22" s="441">
        <f t="shared" ref="F22:F32" si="6">F4*$F$17</f>
        <v>7476.6929492670051</v>
      </c>
      <c r="G22" s="441">
        <f t="shared" ref="G22:G32" si="7">G4*$G$17</f>
        <v>0</v>
      </c>
      <c r="H22" s="441">
        <f t="shared" ref="H22:H32" si="8">H4*$H$17</f>
        <v>0</v>
      </c>
      <c r="I22" s="441">
        <f t="shared" ref="I22:I32" si="9">I4*$I$17</f>
        <v>0</v>
      </c>
      <c r="J22" s="441">
        <f t="shared" ref="J22:J32" si="10">J4*$J$17</f>
        <v>182.8119273066701</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35593.439922959282</v>
      </c>
    </row>
    <row r="23" spans="1:17">
      <c r="A23" s="440" t="s">
        <v>149</v>
      </c>
      <c r="B23" s="441">
        <f t="shared" ca="1" si="2"/>
        <v>11667.852311413742</v>
      </c>
      <c r="C23" s="441">
        <f t="shared" ca="1" si="3"/>
        <v>4370.8306775808514</v>
      </c>
      <c r="D23" s="441">
        <f t="shared" ca="1" si="4"/>
        <v>3506.0055734120415</v>
      </c>
      <c r="E23" s="441">
        <f t="shared" si="5"/>
        <v>161.78000304789924</v>
      </c>
      <c r="F23" s="441">
        <f t="shared" ca="1" si="6"/>
        <v>2022.7304979630728</v>
      </c>
      <c r="G23" s="441">
        <f t="shared" si="7"/>
        <v>0</v>
      </c>
      <c r="H23" s="441">
        <f t="shared" si="8"/>
        <v>0</v>
      </c>
      <c r="I23" s="441">
        <f t="shared" si="9"/>
        <v>0</v>
      </c>
      <c r="J23" s="441">
        <f t="shared" si="10"/>
        <v>9.0929582231274106E-3</v>
      </c>
      <c r="K23" s="441">
        <f t="shared" si="11"/>
        <v>0</v>
      </c>
      <c r="L23" s="441">
        <f t="shared" ca="1" si="12"/>
        <v>0</v>
      </c>
      <c r="M23" s="441">
        <f t="shared" si="13"/>
        <v>0</v>
      </c>
      <c r="N23" s="441">
        <f t="shared" ca="1" si="14"/>
        <v>0</v>
      </c>
      <c r="O23" s="441">
        <f t="shared" si="15"/>
        <v>0</v>
      </c>
      <c r="P23" s="442">
        <f t="shared" si="16"/>
        <v>0</v>
      </c>
      <c r="Q23" s="440">
        <f t="shared" ref="Q23:Q32" ca="1" si="17">SUM(B23:P23)</f>
        <v>21729.208156375826</v>
      </c>
    </row>
    <row r="24" spans="1:17">
      <c r="A24" s="440" t="s">
        <v>187</v>
      </c>
      <c r="B24" s="441">
        <f t="shared" ca="1" si="2"/>
        <v>290.69182728055108</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290.69182728055108</v>
      </c>
    </row>
    <row r="25" spans="1:17">
      <c r="A25" s="440" t="s">
        <v>105</v>
      </c>
      <c r="B25" s="441">
        <f t="shared" ca="1" si="2"/>
        <v>741.42222368094542</v>
      </c>
      <c r="C25" s="441">
        <f t="shared" ca="1" si="3"/>
        <v>10291.260106731899</v>
      </c>
      <c r="D25" s="441">
        <f t="shared" si="4"/>
        <v>0</v>
      </c>
      <c r="E25" s="441">
        <f t="shared" si="5"/>
        <v>15.876571738860861</v>
      </c>
      <c r="F25" s="441">
        <f t="shared" si="6"/>
        <v>3437.4863393596115</v>
      </c>
      <c r="G25" s="441">
        <f t="shared" si="7"/>
        <v>0</v>
      </c>
      <c r="H25" s="441">
        <f t="shared" si="8"/>
        <v>0</v>
      </c>
      <c r="I25" s="441">
        <f t="shared" si="9"/>
        <v>0</v>
      </c>
      <c r="J25" s="441">
        <f t="shared" si="10"/>
        <v>296.74623550012001</v>
      </c>
      <c r="K25" s="441">
        <f t="shared" si="11"/>
        <v>0</v>
      </c>
      <c r="L25" s="441">
        <f t="shared" si="12"/>
        <v>0</v>
      </c>
      <c r="M25" s="441">
        <f t="shared" si="13"/>
        <v>0</v>
      </c>
      <c r="N25" s="441">
        <f t="shared" si="14"/>
        <v>0</v>
      </c>
      <c r="O25" s="441">
        <f t="shared" si="15"/>
        <v>0</v>
      </c>
      <c r="P25" s="442">
        <f t="shared" si="16"/>
        <v>0</v>
      </c>
      <c r="Q25" s="440">
        <f t="shared" ca="1" si="17"/>
        <v>14782.791477011438</v>
      </c>
    </row>
    <row r="26" spans="1:17">
      <c r="A26" s="440" t="s">
        <v>600</v>
      </c>
      <c r="B26" s="441">
        <f t="shared" ca="1" si="2"/>
        <v>2282.4304346567337</v>
      </c>
      <c r="C26" s="441">
        <f t="shared" ca="1" si="3"/>
        <v>0</v>
      </c>
      <c r="D26" s="441">
        <f t="shared" si="4"/>
        <v>2185.1446877108319</v>
      </c>
      <c r="E26" s="441">
        <f t="shared" si="5"/>
        <v>250.78452491434595</v>
      </c>
      <c r="F26" s="441">
        <f t="shared" si="6"/>
        <v>1122.819810308177</v>
      </c>
      <c r="G26" s="441">
        <f t="shared" si="7"/>
        <v>0</v>
      </c>
      <c r="H26" s="441">
        <f t="shared" si="8"/>
        <v>0</v>
      </c>
      <c r="I26" s="441">
        <f t="shared" si="9"/>
        <v>0</v>
      </c>
      <c r="J26" s="441">
        <f t="shared" si="10"/>
        <v>44.980803884781452</v>
      </c>
      <c r="K26" s="441">
        <f t="shared" si="11"/>
        <v>0</v>
      </c>
      <c r="L26" s="441">
        <f t="shared" si="12"/>
        <v>0</v>
      </c>
      <c r="M26" s="441">
        <f t="shared" si="13"/>
        <v>0</v>
      </c>
      <c r="N26" s="441">
        <f t="shared" si="14"/>
        <v>0</v>
      </c>
      <c r="O26" s="441">
        <f t="shared" si="15"/>
        <v>0</v>
      </c>
      <c r="P26" s="442">
        <f t="shared" si="16"/>
        <v>0</v>
      </c>
      <c r="Q26" s="440">
        <f t="shared" ca="1" si="17"/>
        <v>5886.160261474869</v>
      </c>
    </row>
    <row r="27" spans="1:17" s="446" customFormat="1">
      <c r="A27" s="444" t="s">
        <v>549</v>
      </c>
      <c r="B27" s="708">
        <f t="shared" ca="1" si="2"/>
        <v>21.708280158695104</v>
      </c>
      <c r="C27" s="445">
        <f t="shared" ca="1" si="3"/>
        <v>0</v>
      </c>
      <c r="D27" s="445">
        <f t="shared" si="4"/>
        <v>30.62074324927114</v>
      </c>
      <c r="E27" s="445">
        <f t="shared" si="5"/>
        <v>174.93234476055363</v>
      </c>
      <c r="F27" s="445">
        <f t="shared" si="6"/>
        <v>0</v>
      </c>
      <c r="G27" s="445">
        <f t="shared" si="7"/>
        <v>88458.680947840869</v>
      </c>
      <c r="H27" s="445">
        <f t="shared" si="8"/>
        <v>13413.387128130844</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102099.32944414022</v>
      </c>
    </row>
    <row r="28" spans="1:17">
      <c r="A28" s="440" t="s">
        <v>539</v>
      </c>
      <c r="B28" s="441">
        <f t="shared" ca="1" si="2"/>
        <v>2.3006864289664088</v>
      </c>
      <c r="C28" s="441">
        <f t="shared" ca="1" si="3"/>
        <v>0</v>
      </c>
      <c r="D28" s="441">
        <f t="shared" si="4"/>
        <v>0</v>
      </c>
      <c r="E28" s="441">
        <f t="shared" si="5"/>
        <v>0</v>
      </c>
      <c r="F28" s="441">
        <f t="shared" si="6"/>
        <v>0</v>
      </c>
      <c r="G28" s="441">
        <f t="shared" si="7"/>
        <v>521.53941592237379</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523.84010235134019</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323.68559708858129</v>
      </c>
      <c r="C32" s="441">
        <f t="shared" ca="1" si="3"/>
        <v>0</v>
      </c>
      <c r="D32" s="441">
        <f t="shared" si="4"/>
        <v>895.50856600559996</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1219.1941630941812</v>
      </c>
    </row>
    <row r="33" spans="1:17" s="450" customFormat="1">
      <c r="A33" s="956" t="s">
        <v>543</v>
      </c>
      <c r="B33" s="896">
        <f ca="1">SUM(B22:B32)</f>
        <v>22945.862249031386</v>
      </c>
      <c r="C33" s="896">
        <f t="shared" ref="C33:Q33" ca="1" si="18">SUM(C22:C32)</f>
        <v>14662.09078431275</v>
      </c>
      <c r="D33" s="896">
        <f t="shared" ca="1" si="18"/>
        <v>26701.642628186022</v>
      </c>
      <c r="E33" s="896">
        <f t="shared" si="18"/>
        <v>837.17454471582039</v>
      </c>
      <c r="F33" s="896">
        <f t="shared" ca="1" si="18"/>
        <v>14059.729596897867</v>
      </c>
      <c r="G33" s="896">
        <f t="shared" si="18"/>
        <v>88980.220363763248</v>
      </c>
      <c r="H33" s="896">
        <f t="shared" si="18"/>
        <v>13413.387128130844</v>
      </c>
      <c r="I33" s="896">
        <f t="shared" si="18"/>
        <v>0</v>
      </c>
      <c r="J33" s="896">
        <f t="shared" si="18"/>
        <v>524.54805964979471</v>
      </c>
      <c r="K33" s="896">
        <f t="shared" si="18"/>
        <v>0</v>
      </c>
      <c r="L33" s="896">
        <f t="shared" ca="1" si="18"/>
        <v>0</v>
      </c>
      <c r="M33" s="896">
        <f t="shared" si="18"/>
        <v>0</v>
      </c>
      <c r="N33" s="896">
        <f t="shared" ca="1" si="18"/>
        <v>0</v>
      </c>
      <c r="O33" s="896">
        <f t="shared" si="18"/>
        <v>0</v>
      </c>
      <c r="P33" s="896">
        <f t="shared" si="18"/>
        <v>0</v>
      </c>
      <c r="Q33" s="896">
        <f t="shared" ca="1" si="18"/>
        <v>182124.65535468771</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0</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8686.9504049725947</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0</v>
      </c>
      <c r="C8" s="973">
        <f>'SEAP template'!C76</f>
        <v>43187.916666666664</v>
      </c>
      <c r="D8" s="973">
        <f>'SEAP template'!D76</f>
        <v>50809.220985696411</v>
      </c>
      <c r="E8" s="973">
        <f>'SEAP template'!E76</f>
        <v>0</v>
      </c>
      <c r="F8" s="973">
        <f>'SEAP template'!F76</f>
        <v>0</v>
      </c>
      <c r="G8" s="973">
        <f>'SEAP template'!G76</f>
        <v>0</v>
      </c>
      <c r="H8" s="973">
        <f>'SEAP template'!H76</f>
        <v>0</v>
      </c>
      <c r="I8" s="973">
        <f>'SEAP template'!I76</f>
        <v>0</v>
      </c>
      <c r="J8" s="973">
        <f>'SEAP template'!J76</f>
        <v>0</v>
      </c>
      <c r="K8" s="973">
        <f>'SEAP template'!K76</f>
        <v>0</v>
      </c>
      <c r="L8" s="973">
        <f>'SEAP template'!L76</f>
        <v>0</v>
      </c>
      <c r="M8" s="973">
        <f>'SEAP template'!M76</f>
        <v>0</v>
      </c>
      <c r="N8" s="973">
        <f>'SEAP template'!N76</f>
        <v>0</v>
      </c>
      <c r="O8" s="973">
        <f>'SEAP template'!O76</f>
        <v>0</v>
      </c>
      <c r="P8" s="974">
        <f>'SEAP template'!Q76</f>
        <v>10263.462639110676</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8686.9504049725947</v>
      </c>
      <c r="C10" s="977">
        <f>SUM(C4:C9)</f>
        <v>43187.916666666664</v>
      </c>
      <c r="D10" s="977">
        <f t="shared" ref="D10:H10" si="0">SUM(D8:D9)</f>
        <v>50809.220985696411</v>
      </c>
      <c r="E10" s="977">
        <f t="shared" si="0"/>
        <v>0</v>
      </c>
      <c r="F10" s="977">
        <f t="shared" si="0"/>
        <v>0</v>
      </c>
      <c r="G10" s="977">
        <f t="shared" si="0"/>
        <v>0</v>
      </c>
      <c r="H10" s="977">
        <f t="shared" si="0"/>
        <v>0</v>
      </c>
      <c r="I10" s="977">
        <f>SUM(I8:I9)</f>
        <v>0</v>
      </c>
      <c r="J10" s="977">
        <f>SUM(J8:J9)</f>
        <v>0</v>
      </c>
      <c r="K10" s="977">
        <f t="shared" ref="K10:L10" si="1">SUM(K8:K9)</f>
        <v>0</v>
      </c>
      <c r="L10" s="977">
        <f t="shared" si="1"/>
        <v>0</v>
      </c>
      <c r="M10" s="977">
        <f>SUM(M8:M9)</f>
        <v>0</v>
      </c>
      <c r="N10" s="977">
        <f>SUM(N8:N9)</f>
        <v>0</v>
      </c>
      <c r="O10" s="977">
        <f>SUM(O8:O9)</f>
        <v>0</v>
      </c>
      <c r="P10" s="977">
        <f>SUM(P8:P9)</f>
        <v>10263.462639110676</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0.2100090719538264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0</v>
      </c>
      <c r="C17" s="979">
        <f>'SEAP template'!C87</f>
        <v>61697.029279279282</v>
      </c>
      <c r="D17" s="974">
        <f>'SEAP template'!D87</f>
        <v>72584.607843132428</v>
      </c>
      <c r="E17" s="974">
        <f>'SEAP template'!E87</f>
        <v>0</v>
      </c>
      <c r="F17" s="974">
        <f>'SEAP template'!F87</f>
        <v>0</v>
      </c>
      <c r="G17" s="974">
        <f>'SEAP template'!G87</f>
        <v>0</v>
      </c>
      <c r="H17" s="974">
        <f>'SEAP template'!H87</f>
        <v>0</v>
      </c>
      <c r="I17" s="974">
        <f>'SEAP template'!I87</f>
        <v>0</v>
      </c>
      <c r="J17" s="974">
        <f>'SEAP template'!J87</f>
        <v>0</v>
      </c>
      <c r="K17" s="974">
        <f>'SEAP template'!K87</f>
        <v>0</v>
      </c>
      <c r="L17" s="974">
        <f>'SEAP template'!L87</f>
        <v>0</v>
      </c>
      <c r="M17" s="974">
        <f>'SEAP template'!M87</f>
        <v>0</v>
      </c>
      <c r="N17" s="974">
        <f>'SEAP template'!N87</f>
        <v>0</v>
      </c>
      <c r="O17" s="974">
        <f>'SEAP template'!O87</f>
        <v>0</v>
      </c>
      <c r="P17" s="974">
        <f>'SEAP template'!Q87</f>
        <v>14662.090784312752</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0</v>
      </c>
      <c r="C20" s="977">
        <f>SUM(C17:C19)</f>
        <v>61697.029279279282</v>
      </c>
      <c r="D20" s="977">
        <f t="shared" ref="D20:H20" si="2">SUM(D17:D19)</f>
        <v>72584.607843132428</v>
      </c>
      <c r="E20" s="977">
        <f t="shared" si="2"/>
        <v>0</v>
      </c>
      <c r="F20" s="977">
        <f t="shared" si="2"/>
        <v>0</v>
      </c>
      <c r="G20" s="977">
        <f t="shared" si="2"/>
        <v>0</v>
      </c>
      <c r="H20" s="977">
        <f t="shared" si="2"/>
        <v>0</v>
      </c>
      <c r="I20" s="977">
        <f>SUM(I17:I19)</f>
        <v>0</v>
      </c>
      <c r="J20" s="977">
        <f>SUM(J17:J19)</f>
        <v>0</v>
      </c>
      <c r="K20" s="977">
        <f t="shared" ref="K20:L20" si="3">SUM(K17:K19)</f>
        <v>0</v>
      </c>
      <c r="L20" s="977">
        <f t="shared" si="3"/>
        <v>0</v>
      </c>
      <c r="M20" s="977">
        <f>SUM(M17:M19)</f>
        <v>0</v>
      </c>
      <c r="N20" s="977">
        <f>SUM(N17:N19)</f>
        <v>0</v>
      </c>
      <c r="O20" s="977">
        <f>SUM(O17:O19)</f>
        <v>0</v>
      </c>
      <c r="P20" s="977">
        <f>SUM(P17:P19)</f>
        <v>14662.090784312752</v>
      </c>
    </row>
    <row r="22" spans="1:16">
      <c r="A22" s="451" t="s">
        <v>811</v>
      </c>
      <c r="B22" s="714" t="s">
        <v>805</v>
      </c>
      <c r="C22" s="714">
        <f ca="1">'EF ele_warmte'!B22</f>
        <v>0.23764662505779607</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0.2100090719538264</v>
      </c>
      <c r="C17" s="488">
        <f ca="1">'EF ele_warmte'!B22</f>
        <v>0.23764662505779607</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1</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1.5633333333333335</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2022-07-26T10:56:16Z</dcterms:modified>
</cp:coreProperties>
</file>