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88468238-F131-4A20-A33A-6917E8058795}"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c r="S36" i="18"/>
  <c r="E9" i="18"/>
  <c r="R36" i="18"/>
  <c r="Q36" i="18"/>
  <c r="P36" i="18"/>
  <c r="C9" i="18"/>
  <c r="O36" i="18"/>
  <c r="N36" i="18"/>
  <c r="B9" i="18"/>
  <c r="M36" i="18"/>
  <c r="W32" i="18"/>
  <c r="V32" i="18"/>
  <c r="U32" i="18"/>
  <c r="T32" i="18"/>
  <c r="S32" i="18"/>
  <c r="F6" i="17"/>
  <c r="R32" i="18"/>
  <c r="Q32" i="18"/>
  <c r="P32" i="18"/>
  <c r="O32" i="18"/>
  <c r="N32" i="18"/>
  <c r="M32" i="18"/>
  <c r="W31" i="18"/>
  <c r="V31" i="18"/>
  <c r="U31" i="18"/>
  <c r="T31" i="18"/>
  <c r="S31" i="18"/>
  <c r="F13" i="15"/>
  <c r="R31" i="18"/>
  <c r="Q31" i="18"/>
  <c r="P31" i="18"/>
  <c r="O31" i="18"/>
  <c r="C13" i="15"/>
  <c r="N31" i="18"/>
  <c r="M31" i="18"/>
  <c r="W30" i="18"/>
  <c r="V30" i="18"/>
  <c r="U30" i="18"/>
  <c r="T30" i="18"/>
  <c r="S30" i="18"/>
  <c r="R30" i="18"/>
  <c r="Q30" i="18"/>
  <c r="P30" i="18"/>
  <c r="O30" i="18"/>
  <c r="N30" i="18"/>
  <c r="M30" i="18"/>
  <c r="W29" i="18"/>
  <c r="V29" i="18"/>
  <c r="U29" i="18"/>
  <c r="T29" i="18"/>
  <c r="S29" i="18"/>
  <c r="R29" i="18"/>
  <c r="Q29" i="18"/>
  <c r="P29" i="18"/>
  <c r="O29" i="18"/>
  <c r="B17" i="18"/>
  <c r="N29" i="18"/>
  <c r="B8" i="18"/>
  <c r="M29"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5" i="18"/>
  <c r="C49" i="18"/>
  <c r="C6" i="17"/>
  <c r="J9" i="18"/>
  <c r="J77" i="14"/>
  <c r="J9" i="59"/>
  <c r="K20" i="18"/>
  <c r="L10" i="59"/>
  <c r="B16" i="16"/>
  <c r="C45" i="18"/>
  <c r="E48"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49" i="18"/>
  <c r="H17" i="18"/>
  <c r="M87" i="14"/>
  <c r="Q14" i="48"/>
  <c r="D49" i="18"/>
  <c r="H49" i="18"/>
  <c r="E49" i="18"/>
  <c r="E17" i="18"/>
  <c r="E20" i="18"/>
  <c r="G78" i="14"/>
  <c r="B48" i="18"/>
  <c r="C8" i="18"/>
  <c r="D76" i="14"/>
  <c r="D8" i="59"/>
  <c r="D10" i="59"/>
  <c r="H48" i="18"/>
  <c r="F48" i="18"/>
  <c r="C48" i="18"/>
  <c r="I48" i="18"/>
  <c r="H8" i="18"/>
  <c r="M76" i="14"/>
  <c r="D48" i="18"/>
  <c r="B49" i="18"/>
  <c r="C17" i="18"/>
  <c r="D87" i="14"/>
  <c r="D17" i="59"/>
  <c r="D20" i="59"/>
  <c r="F49" i="18"/>
  <c r="O9" i="18"/>
  <c r="G49" i="18"/>
  <c r="G48"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<sst xmlns="http://schemas.openxmlformats.org/spreadsheetml/2006/main" count="2436" uniqueCount="907">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</sst>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02AAB06-AD52-4078-8BE7-4B03516C310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275653.99086428439</c:v>
                </c:pt>
                <c:pt idx="1">
                  <c:v>89528.756423549945</c:v>
                </c:pt>
                <c:pt idx="2">
                  <c:v>2152.549</c:v>
                </c:pt>
                <c:pt idx="3">
                  <c:v>9979.4312238655148</c:v>
                </c:pt>
                <c:pt idx="4">
                  <c:v>218798.64141953277</c:v>
                </c:pt>
                <c:pt idx="5">
                  <c:v>153911.43810177638</c:v>
                </c:pt>
                <c:pt idx="6">
                  <c:v>3969.2893624303583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275653.99086428439</c:v>
                </c:pt>
                <c:pt idx="1">
                  <c:v>89528.756423549945</c:v>
                </c:pt>
                <c:pt idx="2">
                  <c:v>2152.549</c:v>
                </c:pt>
                <c:pt idx="3">
                  <c:v>9979.4312238655148</c:v>
                </c:pt>
                <c:pt idx="4">
                  <c:v>218798.64141953277</c:v>
                </c:pt>
                <c:pt idx="5">
                  <c:v>153911.43810177638</c:v>
                </c:pt>
                <c:pt idx="6">
                  <c:v>3969.2893624303583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56649.667682906365</c:v>
                </c:pt>
                <c:pt idx="2">
                  <c:v>17515.157666286963</c:v>
                </c:pt>
                <c:pt idx="3">
                  <c:v>398.74863961210986</c:v>
                </c:pt>
                <c:pt idx="4">
                  <c:v>2400.5198670283476</c:v>
                </c:pt>
                <c:pt idx="5">
                  <c:v>44362.599967361231</c:v>
                </c:pt>
                <c:pt idx="6">
                  <c:v>38563.486089315556</c:v>
                </c:pt>
                <c:pt idx="7">
                  <c:v>1000.7858549405066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56649.667682906365</c:v>
                </c:pt>
                <c:pt idx="2">
                  <c:v>17515.157666286963</c:v>
                </c:pt>
                <c:pt idx="3">
                  <c:v>398.74863961210986</c:v>
                </c:pt>
                <c:pt idx="4">
                  <c:v>2400.5198670283476</c:v>
                </c:pt>
                <c:pt idx="5">
                  <c:v>44362.599967361231</c:v>
                </c:pt>
                <c:pt idx="6">
                  <c:v>38563.486089315556</c:v>
                </c:pt>
                <c:pt idx="7">
                  <c:v>1000.7858549405066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72043</v>
      </c>
      <c r="B6" s="381"/>
      <c r="C6" s="382"/>
    </row>
    <row r="7" spans="1:7" s="379" customFormat="1" ht="15.75" customHeight="1">
      <c r="A7" s="383" t="str">
        <f>txtMunicipality</f>
        <v>PELT</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38058.688999999998</v>
      </c>
      <c r="D10" s="943">
        <f ca="1">tertiair!C16</f>
        <v>0</v>
      </c>
      <c r="E10" s="943">
        <f ca="1">tertiair!D16</f>
        <v>42074.303238</v>
      </c>
      <c r="F10" s="943">
        <f>tertiair!E16</f>
        <v>523.67364098287976</v>
      </c>
      <c r="G10" s="943">
        <f ca="1">tertiair!F16</f>
        <v>8411.4104638476656</v>
      </c>
      <c r="H10" s="943">
        <f>tertiair!G16</f>
        <v>0</v>
      </c>
      <c r="I10" s="943">
        <f>tertiair!H16</f>
        <v>0</v>
      </c>
      <c r="J10" s="943">
        <f>tertiair!I16</f>
        <v>0</v>
      </c>
      <c r="K10" s="943">
        <f>tertiair!J16</f>
        <v>0</v>
      </c>
      <c r="L10" s="943">
        <f>tertiair!K16</f>
        <v>0</v>
      </c>
      <c r="M10" s="943">
        <f ca="1">tertiair!L16</f>
        <v>0</v>
      </c>
      <c r="N10" s="943">
        <f>tertiair!M16</f>
        <v>0</v>
      </c>
      <c r="O10" s="943">
        <f ca="1">tertiair!N16</f>
        <v>2556.0290807194024</v>
      </c>
      <c r="P10" s="943">
        <f>tertiair!O16</f>
        <v>0</v>
      </c>
      <c r="Q10" s="944">
        <f>tertiair!P16</f>
        <v>57.2</v>
      </c>
      <c r="R10" s="629">
        <f ca="1">SUM(C10:Q10)</f>
        <v>91681.305423549944</v>
      </c>
      <c r="S10" s="67"/>
    </row>
    <row r="11" spans="1:19" s="438" customFormat="1">
      <c r="A11" s="737" t="s">
        <v>214</v>
      </c>
      <c r="B11" s="742"/>
      <c r="C11" s="943">
        <f>huishoudens!B8</f>
        <v>58524.876965106254</v>
      </c>
      <c r="D11" s="943">
        <f>huishoudens!C8</f>
        <v>0</v>
      </c>
      <c r="E11" s="943">
        <f>huishoudens!D8</f>
        <v>118871.89925599999</v>
      </c>
      <c r="F11" s="943">
        <f>huishoudens!E8</f>
        <v>2446.1305300684166</v>
      </c>
      <c r="G11" s="943">
        <f>huishoudens!F8</f>
        <v>77167.786772702006</v>
      </c>
      <c r="H11" s="943">
        <f>huishoudens!G8</f>
        <v>0</v>
      </c>
      <c r="I11" s="943">
        <f>huishoudens!H8</f>
        <v>0</v>
      </c>
      <c r="J11" s="943">
        <f>huishoudens!I8</f>
        <v>0</v>
      </c>
      <c r="K11" s="943">
        <f>huishoudens!J8</f>
        <v>1799.5498724172608</v>
      </c>
      <c r="L11" s="943">
        <f>huishoudens!K8</f>
        <v>0</v>
      </c>
      <c r="M11" s="943">
        <f>huishoudens!L8</f>
        <v>0</v>
      </c>
      <c r="N11" s="943">
        <f>huishoudens!M8</f>
        <v>0</v>
      </c>
      <c r="O11" s="943">
        <f>huishoudens!N8</f>
        <v>14731.797467990453</v>
      </c>
      <c r="P11" s="943">
        <f>huishoudens!O8</f>
        <v>758.2166666666667</v>
      </c>
      <c r="Q11" s="944">
        <f>huishoudens!P8</f>
        <v>1353.7333333333333</v>
      </c>
      <c r="R11" s="629">
        <f>SUM(C11:Q11)</f>
        <v>275653.99086428439</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60288.062999999995</v>
      </c>
      <c r="D13" s="943">
        <f>industrie!C18</f>
        <v>0</v>
      </c>
      <c r="E13" s="943">
        <f>industrie!D18</f>
        <v>125238.34424200002</v>
      </c>
      <c r="F13" s="943">
        <f>industrie!E18</f>
        <v>5782.8715410065133</v>
      </c>
      <c r="G13" s="943">
        <f>industrie!F18</f>
        <v>24643.840485585861</v>
      </c>
      <c r="H13" s="943">
        <f>industrie!G18</f>
        <v>0</v>
      </c>
      <c r="I13" s="943">
        <f>industrie!H18</f>
        <v>0</v>
      </c>
      <c r="J13" s="943">
        <f>industrie!I18</f>
        <v>0</v>
      </c>
      <c r="K13" s="943">
        <f>industrie!J18</f>
        <v>10.687429120436326</v>
      </c>
      <c r="L13" s="943">
        <f>industrie!K18</f>
        <v>0</v>
      </c>
      <c r="M13" s="943">
        <f>industrie!L18</f>
        <v>0</v>
      </c>
      <c r="N13" s="943">
        <f>industrie!M18</f>
        <v>0</v>
      </c>
      <c r="O13" s="943">
        <f>industrie!N18</f>
        <v>2834.8347218199374</v>
      </c>
      <c r="P13" s="943">
        <f>industrie!O18</f>
        <v>0</v>
      </c>
      <c r="Q13" s="944">
        <f>industrie!P18</f>
        <v>0</v>
      </c>
      <c r="R13" s="629">
        <f>SUM(C13:Q13)</f>
        <v>218798.64141953277</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156871.62896510624</v>
      </c>
      <c r="D16" s="661">
        <f t="shared" ref="D16:R16" ca="1" si="0">SUM(D9:D15)</f>
        <v>0</v>
      </c>
      <c r="E16" s="661">
        <f t="shared" ca="1" si="0"/>
        <v>286184.54673599999</v>
      </c>
      <c r="F16" s="661">
        <f t="shared" si="0"/>
        <v>8752.6757120578095</v>
      </c>
      <c r="G16" s="661">
        <f t="shared" ca="1" si="0"/>
        <v>110223.03772213554</v>
      </c>
      <c r="H16" s="661">
        <f t="shared" si="0"/>
        <v>0</v>
      </c>
      <c r="I16" s="661">
        <f t="shared" si="0"/>
        <v>0</v>
      </c>
      <c r="J16" s="661">
        <f t="shared" si="0"/>
        <v>0</v>
      </c>
      <c r="K16" s="661">
        <f t="shared" si="0"/>
        <v>1810.237301537697</v>
      </c>
      <c r="L16" s="661">
        <f t="shared" si="0"/>
        <v>0</v>
      </c>
      <c r="M16" s="661">
        <f t="shared" ca="1" si="0"/>
        <v>0</v>
      </c>
      <c r="N16" s="661">
        <f t="shared" si="0"/>
        <v>0</v>
      </c>
      <c r="O16" s="661">
        <f t="shared" ca="1" si="0"/>
        <v>20122.661270529792</v>
      </c>
      <c r="P16" s="661">
        <f t="shared" si="0"/>
        <v>758.2166666666667</v>
      </c>
      <c r="Q16" s="661">
        <f t="shared" si="0"/>
        <v>1410.9333333333334</v>
      </c>
      <c r="R16" s="661">
        <f t="shared" ca="1" si="0"/>
        <v>586133.93770736712</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19.708957882475126</v>
      </c>
      <c r="D19" s="943">
        <f>transport!C54</f>
        <v>0</v>
      </c>
      <c r="E19" s="943">
        <f>transport!D54</f>
        <v>0</v>
      </c>
      <c r="F19" s="943">
        <f>transport!E54</f>
        <v>0</v>
      </c>
      <c r="G19" s="943">
        <f>transport!F54</f>
        <v>0</v>
      </c>
      <c r="H19" s="943">
        <f>transport!G54</f>
        <v>3734.5875347693532</v>
      </c>
      <c r="I19" s="943">
        <f>transport!H54</f>
        <v>0</v>
      </c>
      <c r="J19" s="943">
        <f>transport!I54</f>
        <v>0</v>
      </c>
      <c r="K19" s="943">
        <f>transport!J54</f>
        <v>0</v>
      </c>
      <c r="L19" s="943">
        <f>transport!K54</f>
        <v>0</v>
      </c>
      <c r="M19" s="943">
        <f>transport!L54</f>
        <v>0</v>
      </c>
      <c r="N19" s="943">
        <f>transport!M54</f>
        <v>214.99286977852992</v>
      </c>
      <c r="O19" s="943">
        <f>transport!N54</f>
        <v>0</v>
      </c>
      <c r="P19" s="943">
        <f>transport!O54</f>
        <v>0</v>
      </c>
      <c r="Q19" s="944">
        <f>transport!P54</f>
        <v>0</v>
      </c>
      <c r="R19" s="629">
        <f>SUM(C19:Q19)</f>
        <v>3969.2893624303583</v>
      </c>
      <c r="S19" s="67"/>
    </row>
    <row r="20" spans="1:19" s="438" customFormat="1">
      <c r="A20" s="737" t="s">
        <v>296</v>
      </c>
      <c r="B20" s="742"/>
      <c r="C20" s="943">
        <f>transport!B14</f>
        <v>23.603696417808756</v>
      </c>
      <c r="D20" s="943">
        <f>transport!C14</f>
        <v>0</v>
      </c>
      <c r="E20" s="943">
        <f>transport!D14</f>
        <v>39.419529920589525</v>
      </c>
      <c r="F20" s="943">
        <f>transport!E14</f>
        <v>377.7974942017326</v>
      </c>
      <c r="G20" s="943">
        <f>transport!F14</f>
        <v>0</v>
      </c>
      <c r="H20" s="943">
        <f>transport!G14</f>
        <v>121670.4237569683</v>
      </c>
      <c r="I20" s="943">
        <f>transport!H14</f>
        <v>24013.605247079573</v>
      </c>
      <c r="J20" s="943">
        <f>transport!I14</f>
        <v>0</v>
      </c>
      <c r="K20" s="943">
        <f>transport!J14</f>
        <v>0</v>
      </c>
      <c r="L20" s="943">
        <f>transport!K14</f>
        <v>0</v>
      </c>
      <c r="M20" s="943">
        <f>transport!L14</f>
        <v>0</v>
      </c>
      <c r="N20" s="943">
        <f>transport!M14</f>
        <v>7786.5883771883609</v>
      </c>
      <c r="O20" s="943">
        <f>transport!N14</f>
        <v>0</v>
      </c>
      <c r="P20" s="943">
        <f>transport!O14</f>
        <v>0</v>
      </c>
      <c r="Q20" s="944">
        <f>transport!P14</f>
        <v>0</v>
      </c>
      <c r="R20" s="629">
        <f>SUM(C20:Q20)</f>
        <v>153911.43810177638</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43.312654300283882</v>
      </c>
      <c r="D22" s="740">
        <f t="shared" ref="D22:R22" si="1">SUM(D18:D21)</f>
        <v>0</v>
      </c>
      <c r="E22" s="740">
        <f t="shared" si="1"/>
        <v>39.419529920589525</v>
      </c>
      <c r="F22" s="740">
        <f t="shared" si="1"/>
        <v>377.7974942017326</v>
      </c>
      <c r="G22" s="740">
        <f t="shared" si="1"/>
        <v>0</v>
      </c>
      <c r="H22" s="740">
        <f t="shared" si="1"/>
        <v>125405.01129173765</v>
      </c>
      <c r="I22" s="740">
        <f t="shared" si="1"/>
        <v>24013.605247079573</v>
      </c>
      <c r="J22" s="740">
        <f t="shared" si="1"/>
        <v>0</v>
      </c>
      <c r="K22" s="740">
        <f t="shared" si="1"/>
        <v>0</v>
      </c>
      <c r="L22" s="740">
        <f t="shared" si="1"/>
        <v>0</v>
      </c>
      <c r="M22" s="740">
        <f t="shared" si="1"/>
        <v>0</v>
      </c>
      <c r="N22" s="740">
        <f t="shared" si="1"/>
        <v>8001.5812469668908</v>
      </c>
      <c r="O22" s="740">
        <f t="shared" si="1"/>
        <v>0</v>
      </c>
      <c r="P22" s="740">
        <f t="shared" si="1"/>
        <v>0</v>
      </c>
      <c r="Q22" s="740">
        <f t="shared" si="1"/>
        <v>0</v>
      </c>
      <c r="R22" s="740">
        <f t="shared" si="1"/>
        <v>157880.72746420675</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1898.4069999999999</v>
      </c>
      <c r="D24" s="943">
        <f>+landbouw!C8</f>
        <v>62.357142857142847</v>
      </c>
      <c r="E24" s="943">
        <f>+landbouw!D8</f>
        <v>1637.2220040000002</v>
      </c>
      <c r="F24" s="943">
        <f>+landbouw!E8</f>
        <v>40.708565293772743</v>
      </c>
      <c r="G24" s="943">
        <f>+landbouw!F8</f>
        <v>6157.8239939937039</v>
      </c>
      <c r="H24" s="943">
        <f>+landbouw!G8</f>
        <v>0</v>
      </c>
      <c r="I24" s="943">
        <f>+landbouw!H8</f>
        <v>0</v>
      </c>
      <c r="J24" s="943">
        <f>+landbouw!I8</f>
        <v>0</v>
      </c>
      <c r="K24" s="943">
        <f>+landbouw!J8</f>
        <v>182.91251772089581</v>
      </c>
      <c r="L24" s="943">
        <f>+landbouw!K8</f>
        <v>0</v>
      </c>
      <c r="M24" s="943">
        <f>+landbouw!L8</f>
        <v>0</v>
      </c>
      <c r="N24" s="943">
        <f>+landbouw!M8</f>
        <v>0</v>
      </c>
      <c r="O24" s="943">
        <f>+landbouw!N8</f>
        <v>0</v>
      </c>
      <c r="P24" s="943">
        <f>+landbouw!O8</f>
        <v>0</v>
      </c>
      <c r="Q24" s="944">
        <f>+landbouw!P8</f>
        <v>0</v>
      </c>
      <c r="R24" s="629">
        <f>SUM(C24:Q24)</f>
        <v>9979.4312238655148</v>
      </c>
      <c r="S24" s="67"/>
    </row>
    <row r="25" spans="1:19" s="438" customFormat="1" ht="15" thickBot="1">
      <c r="A25" s="759" t="s">
        <v>802</v>
      </c>
      <c r="B25" s="946"/>
      <c r="C25" s="947">
        <f>IF(Onbekend_ele_kWh="---",0,Onbekend_ele_kWh)/1000+IF(REST_rest_ele_kWh="---",0,REST_rest_ele_kWh)/1000</f>
        <v>1088.18</v>
      </c>
      <c r="D25" s="947"/>
      <c r="E25" s="947">
        <f>IF(onbekend_gas_kWh="---",0,onbekend_gas_kWh)/1000+IF(REST_rest_gas_kWh="---",0,REST_rest_gas_kWh)/1000</f>
        <v>1728.6890000000001</v>
      </c>
      <c r="F25" s="947"/>
      <c r="G25" s="947"/>
      <c r="H25" s="947"/>
      <c r="I25" s="947"/>
      <c r="J25" s="947"/>
      <c r="K25" s="947"/>
      <c r="L25" s="947"/>
      <c r="M25" s="947"/>
      <c r="N25" s="947"/>
      <c r="O25" s="947"/>
      <c r="P25" s="947"/>
      <c r="Q25" s="948"/>
      <c r="R25" s="629">
        <f>SUM(C25:Q25)</f>
        <v>2816.8690000000001</v>
      </c>
      <c r="S25" s="67"/>
    </row>
    <row r="26" spans="1:19" s="438" customFormat="1" ht="15.75" thickBot="1">
      <c r="A26" s="634" t="s">
        <v>803</v>
      </c>
      <c r="B26" s="745"/>
      <c r="C26" s="740">
        <f>SUM(C24:C25)</f>
        <v>2986.587</v>
      </c>
      <c r="D26" s="740">
        <f t="shared" ref="D26:R26" si="2">SUM(D24:D25)</f>
        <v>62.357142857142847</v>
      </c>
      <c r="E26" s="740">
        <f t="shared" si="2"/>
        <v>3365.9110040000005</v>
      </c>
      <c r="F26" s="740">
        <f t="shared" si="2"/>
        <v>40.708565293772743</v>
      </c>
      <c r="G26" s="740">
        <f t="shared" si="2"/>
        <v>6157.8239939937039</v>
      </c>
      <c r="H26" s="740">
        <f t="shared" si="2"/>
        <v>0</v>
      </c>
      <c r="I26" s="740">
        <f t="shared" si="2"/>
        <v>0</v>
      </c>
      <c r="J26" s="740">
        <f t="shared" si="2"/>
        <v>0</v>
      </c>
      <c r="K26" s="740">
        <f t="shared" si="2"/>
        <v>182.91251772089581</v>
      </c>
      <c r="L26" s="740">
        <f t="shared" si="2"/>
        <v>0</v>
      </c>
      <c r="M26" s="740">
        <f t="shared" si="2"/>
        <v>0</v>
      </c>
      <c r="N26" s="740">
        <f t="shared" si="2"/>
        <v>0</v>
      </c>
      <c r="O26" s="740">
        <f t="shared" si="2"/>
        <v>0</v>
      </c>
      <c r="P26" s="740">
        <f t="shared" si="2"/>
        <v>0</v>
      </c>
      <c r="Q26" s="740">
        <f t="shared" si="2"/>
        <v>0</v>
      </c>
      <c r="R26" s="740">
        <f t="shared" si="2"/>
        <v>12796.300223865515</v>
      </c>
      <c r="S26" s="67"/>
    </row>
    <row r="27" spans="1:19" s="438" customFormat="1" ht="17.25" thickTop="1" thickBot="1">
      <c r="A27" s="635" t="s">
        <v>109</v>
      </c>
      <c r="B27" s="733"/>
      <c r="C27" s="636">
        <f ca="1">C22+C16+C26</f>
        <v>159901.52861940651</v>
      </c>
      <c r="D27" s="636">
        <f t="shared" ref="D27:R27" ca="1" si="3">D22+D16+D26</f>
        <v>62.357142857142847</v>
      </c>
      <c r="E27" s="636">
        <f t="shared" ca="1" si="3"/>
        <v>289589.8772699206</v>
      </c>
      <c r="F27" s="636">
        <f t="shared" si="3"/>
        <v>9171.1817715533143</v>
      </c>
      <c r="G27" s="636">
        <f t="shared" ca="1" si="3"/>
        <v>116380.86171612925</v>
      </c>
      <c r="H27" s="636">
        <f t="shared" si="3"/>
        <v>125405.01129173765</v>
      </c>
      <c r="I27" s="636">
        <f t="shared" si="3"/>
        <v>24013.605247079573</v>
      </c>
      <c r="J27" s="636">
        <f t="shared" si="3"/>
        <v>0</v>
      </c>
      <c r="K27" s="636">
        <f t="shared" si="3"/>
        <v>1993.1498192585927</v>
      </c>
      <c r="L27" s="636">
        <f t="shared" si="3"/>
        <v>0</v>
      </c>
      <c r="M27" s="636">
        <f t="shared" ca="1" si="3"/>
        <v>0</v>
      </c>
      <c r="N27" s="636">
        <f t="shared" si="3"/>
        <v>8001.5812469668908</v>
      </c>
      <c r="O27" s="636">
        <f t="shared" ca="1" si="3"/>
        <v>20122.661270529792</v>
      </c>
      <c r="P27" s="636">
        <f t="shared" si="3"/>
        <v>758.2166666666667</v>
      </c>
      <c r="Q27" s="636">
        <f t="shared" si="3"/>
        <v>1410.9333333333334</v>
      </c>
      <c r="R27" s="636">
        <f t="shared" ca="1" si="3"/>
        <v>756810.96539543942</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7050.1765414726306</v>
      </c>
      <c r="D40" s="943">
        <f ca="1">tertiair!C20</f>
        <v>0</v>
      </c>
      <c r="E40" s="943">
        <f ca="1">tertiair!D20</f>
        <v>8499.0092540760015</v>
      </c>
      <c r="F40" s="943">
        <f>tertiair!E20</f>
        <v>118.8739165031137</v>
      </c>
      <c r="G40" s="943">
        <f ca="1">tertiair!F20</f>
        <v>2245.8465938473269</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17913.906305899072</v>
      </c>
    </row>
    <row r="41" spans="1:18">
      <c r="A41" s="750" t="s">
        <v>214</v>
      </c>
      <c r="B41" s="757"/>
      <c r="C41" s="943">
        <f ca="1">huishoudens!B12</f>
        <v>10841.432679721682</v>
      </c>
      <c r="D41" s="943">
        <f ca="1">huishoudens!C12</f>
        <v>0</v>
      </c>
      <c r="E41" s="943">
        <f>huishoudens!D12</f>
        <v>24012.123649712001</v>
      </c>
      <c r="F41" s="943">
        <f>huishoudens!E12</f>
        <v>555.27163032553062</v>
      </c>
      <c r="G41" s="943">
        <f>huishoudens!F12</f>
        <v>20603.799068311437</v>
      </c>
      <c r="H41" s="943">
        <f>huishoudens!G12</f>
        <v>0</v>
      </c>
      <c r="I41" s="943">
        <f>huishoudens!H12</f>
        <v>0</v>
      </c>
      <c r="J41" s="943">
        <f>huishoudens!I12</f>
        <v>0</v>
      </c>
      <c r="K41" s="943">
        <f>huishoudens!J12</f>
        <v>637.04065483571026</v>
      </c>
      <c r="L41" s="943">
        <f>huishoudens!K12</f>
        <v>0</v>
      </c>
      <c r="M41" s="943">
        <f>huishoudens!L12</f>
        <v>0</v>
      </c>
      <c r="N41" s="943">
        <f>huishoudens!M12</f>
        <v>0</v>
      </c>
      <c r="O41" s="943">
        <f>huishoudens!N12</f>
        <v>0</v>
      </c>
      <c r="P41" s="943">
        <f>huishoudens!O12</f>
        <v>0</v>
      </c>
      <c r="Q41" s="703">
        <f>huishoudens!P12</f>
        <v>0</v>
      </c>
      <c r="R41" s="778">
        <f t="shared" ca="1" si="4"/>
        <v>56649.667682906365</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11168.053831108688</v>
      </c>
      <c r="D43" s="943">
        <f ca="1">industrie!C22</f>
        <v>0</v>
      </c>
      <c r="E43" s="943">
        <f>industrie!D22</f>
        <v>25298.145536884007</v>
      </c>
      <c r="F43" s="943">
        <f>industrie!E22</f>
        <v>1312.7118398084785</v>
      </c>
      <c r="G43" s="943">
        <f>industrie!F22</f>
        <v>6579.9054096514255</v>
      </c>
      <c r="H43" s="943">
        <f>industrie!G22</f>
        <v>0</v>
      </c>
      <c r="I43" s="943">
        <f>industrie!H22</f>
        <v>0</v>
      </c>
      <c r="J43" s="943">
        <f>industrie!I22</f>
        <v>0</v>
      </c>
      <c r="K43" s="943">
        <f>industrie!J22</f>
        <v>3.7833499086344591</v>
      </c>
      <c r="L43" s="943">
        <f>industrie!K22</f>
        <v>0</v>
      </c>
      <c r="M43" s="943">
        <f>industrie!L22</f>
        <v>0</v>
      </c>
      <c r="N43" s="943">
        <f>industrie!M22</f>
        <v>0</v>
      </c>
      <c r="O43" s="943">
        <f>industrie!N22</f>
        <v>0</v>
      </c>
      <c r="P43" s="943">
        <f>industrie!O22</f>
        <v>0</v>
      </c>
      <c r="Q43" s="703">
        <f>industrie!P22</f>
        <v>0</v>
      </c>
      <c r="R43" s="777">
        <f t="shared" ca="1" si="4"/>
        <v>44362.599967361231</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29059.663052302996</v>
      </c>
      <c r="D46" s="661">
        <f t="shared" ref="D46:Q46" ca="1" si="5">SUM(D39:D45)</f>
        <v>0</v>
      </c>
      <c r="E46" s="661">
        <f t="shared" ca="1" si="5"/>
        <v>57809.278440672009</v>
      </c>
      <c r="F46" s="661">
        <f t="shared" si="5"/>
        <v>1986.857386637123</v>
      </c>
      <c r="G46" s="661">
        <f t="shared" ca="1" si="5"/>
        <v>29429.55107181019</v>
      </c>
      <c r="H46" s="661">
        <f t="shared" si="5"/>
        <v>0</v>
      </c>
      <c r="I46" s="661">
        <f t="shared" si="5"/>
        <v>0</v>
      </c>
      <c r="J46" s="661">
        <f t="shared" si="5"/>
        <v>0</v>
      </c>
      <c r="K46" s="661">
        <f t="shared" si="5"/>
        <v>640.82400474434473</v>
      </c>
      <c r="L46" s="661">
        <f t="shared" si="5"/>
        <v>0</v>
      </c>
      <c r="M46" s="661">
        <f t="shared" ca="1" si="5"/>
        <v>0</v>
      </c>
      <c r="N46" s="661">
        <f t="shared" si="5"/>
        <v>0</v>
      </c>
      <c r="O46" s="661">
        <f t="shared" ca="1" si="5"/>
        <v>0</v>
      </c>
      <c r="P46" s="661">
        <f t="shared" si="5"/>
        <v>0</v>
      </c>
      <c r="Q46" s="661">
        <f t="shared" si="5"/>
        <v>0</v>
      </c>
      <c r="R46" s="661">
        <f ca="1">SUM(R39:R45)</f>
        <v>118926.17395616666</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3.6509831570892586</v>
      </c>
      <c r="D49" s="943">
        <f ca="1">transport!C58</f>
        <v>0</v>
      </c>
      <c r="E49" s="943">
        <f>transport!D58</f>
        <v>0</v>
      </c>
      <c r="F49" s="943">
        <f>transport!E58</f>
        <v>0</v>
      </c>
      <c r="G49" s="943">
        <f>transport!F58</f>
        <v>0</v>
      </c>
      <c r="H49" s="943">
        <f>transport!G58</f>
        <v>997.13487178341734</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1000.7858549405066</v>
      </c>
    </row>
    <row r="50" spans="1:18">
      <c r="A50" s="753" t="s">
        <v>296</v>
      </c>
      <c r="B50" s="763"/>
      <c r="C50" s="632">
        <f ca="1">transport!B18</f>
        <v>4.3724634544525918</v>
      </c>
      <c r="D50" s="632">
        <f>transport!C18</f>
        <v>0</v>
      </c>
      <c r="E50" s="632">
        <f>transport!D18</f>
        <v>7.9627450439590843</v>
      </c>
      <c r="F50" s="632">
        <f>transport!E18</f>
        <v>85.760031183793302</v>
      </c>
      <c r="G50" s="632">
        <f>transport!F18</f>
        <v>0</v>
      </c>
      <c r="H50" s="632">
        <f>transport!G18</f>
        <v>32486.003143110538</v>
      </c>
      <c r="I50" s="632">
        <f>transport!H18</f>
        <v>5979.3877065228135</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38563.486089315556</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8.0234466115418499</v>
      </c>
      <c r="D52" s="661">
        <f t="shared" ref="D52:Q52" ca="1" si="6">SUM(D48:D51)</f>
        <v>0</v>
      </c>
      <c r="E52" s="661">
        <f t="shared" si="6"/>
        <v>7.9627450439590843</v>
      </c>
      <c r="F52" s="661">
        <f t="shared" si="6"/>
        <v>85.760031183793302</v>
      </c>
      <c r="G52" s="661">
        <f t="shared" si="6"/>
        <v>0</v>
      </c>
      <c r="H52" s="661">
        <f t="shared" si="6"/>
        <v>33483.138014893957</v>
      </c>
      <c r="I52" s="661">
        <f t="shared" si="6"/>
        <v>5979.3877065228135</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39564.271944256063</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351.67014022914537</v>
      </c>
      <c r="D54" s="632">
        <f ca="1">+landbouw!C12</f>
        <v>0</v>
      </c>
      <c r="E54" s="632">
        <f>+landbouw!D12</f>
        <v>330.71884480800009</v>
      </c>
      <c r="F54" s="632">
        <f>+landbouw!E12</f>
        <v>9.2408443216864136</v>
      </c>
      <c r="G54" s="632">
        <f>+landbouw!F12</f>
        <v>1644.139006396319</v>
      </c>
      <c r="H54" s="632">
        <f>+landbouw!G12</f>
        <v>0</v>
      </c>
      <c r="I54" s="632">
        <f>+landbouw!H12</f>
        <v>0</v>
      </c>
      <c r="J54" s="632">
        <f>+landbouw!I12</f>
        <v>0</v>
      </c>
      <c r="K54" s="632">
        <f>+landbouw!J12</f>
        <v>64.751031273197114</v>
      </c>
      <c r="L54" s="632">
        <f>+landbouw!K12</f>
        <v>0</v>
      </c>
      <c r="M54" s="632">
        <f>+landbouw!L12</f>
        <v>0</v>
      </c>
      <c r="N54" s="632">
        <f>+landbouw!M12</f>
        <v>0</v>
      </c>
      <c r="O54" s="632">
        <f>+landbouw!N12</f>
        <v>0</v>
      </c>
      <c r="P54" s="632">
        <f>+landbouw!O12</f>
        <v>0</v>
      </c>
      <c r="Q54" s="633">
        <f>+landbouw!P12</f>
        <v>0</v>
      </c>
      <c r="R54" s="660">
        <f ca="1">SUM(C54:Q54)</f>
        <v>2400.5198670283476</v>
      </c>
    </row>
    <row r="55" spans="1:18" ht="15" thickBot="1">
      <c r="A55" s="753" t="s">
        <v>802</v>
      </c>
      <c r="B55" s="763"/>
      <c r="C55" s="632">
        <f ca="1">C25*'EF ele_warmte'!B12</f>
        <v>201.579752494882</v>
      </c>
      <c r="D55" s="632"/>
      <c r="E55" s="632">
        <f>E25*EF_CO2_aardgas</f>
        <v>349.19517800000006</v>
      </c>
      <c r="F55" s="632"/>
      <c r="G55" s="632"/>
      <c r="H55" s="632"/>
      <c r="I55" s="632"/>
      <c r="J55" s="632"/>
      <c r="K55" s="632"/>
      <c r="L55" s="632"/>
      <c r="M55" s="632"/>
      <c r="N55" s="632"/>
      <c r="O55" s="632"/>
      <c r="P55" s="632"/>
      <c r="Q55" s="633"/>
      <c r="R55" s="660">
        <f ca="1">SUM(C55:Q55)</f>
        <v>550.77493049488203</v>
      </c>
    </row>
    <row r="56" spans="1:18" ht="15.75" thickBot="1">
      <c r="A56" s="751" t="s">
        <v>803</v>
      </c>
      <c r="B56" s="764"/>
      <c r="C56" s="661">
        <f ca="1">SUM(C54:C55)</f>
        <v>553.2498927240274</v>
      </c>
      <c r="D56" s="661">
        <f t="shared" ref="D56:Q56" ca="1" si="7">SUM(D54:D55)</f>
        <v>0</v>
      </c>
      <c r="E56" s="661">
        <f t="shared" si="7"/>
        <v>679.91402280800014</v>
      </c>
      <c r="F56" s="661">
        <f t="shared" si="7"/>
        <v>9.2408443216864136</v>
      </c>
      <c r="G56" s="661">
        <f t="shared" si="7"/>
        <v>1644.139006396319</v>
      </c>
      <c r="H56" s="661">
        <f t="shared" si="7"/>
        <v>0</v>
      </c>
      <c r="I56" s="661">
        <f t="shared" si="7"/>
        <v>0</v>
      </c>
      <c r="J56" s="661">
        <f t="shared" si="7"/>
        <v>0</v>
      </c>
      <c r="K56" s="661">
        <f t="shared" si="7"/>
        <v>64.751031273197114</v>
      </c>
      <c r="L56" s="661">
        <f t="shared" si="7"/>
        <v>0</v>
      </c>
      <c r="M56" s="661">
        <f t="shared" si="7"/>
        <v>0</v>
      </c>
      <c r="N56" s="661">
        <f t="shared" si="7"/>
        <v>0</v>
      </c>
      <c r="O56" s="661">
        <f t="shared" si="7"/>
        <v>0</v>
      </c>
      <c r="P56" s="661">
        <f t="shared" si="7"/>
        <v>0</v>
      </c>
      <c r="Q56" s="662">
        <f t="shared" si="7"/>
        <v>0</v>
      </c>
      <c r="R56" s="663">
        <f ca="1">SUM(R54:R55)</f>
        <v>2951.2947975232296</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29620.936391638566</v>
      </c>
      <c r="D61" s="669">
        <f t="shared" ref="D61:Q61" ca="1" si="8">D46+D52+D56</f>
        <v>0</v>
      </c>
      <c r="E61" s="669">
        <f t="shared" ca="1" si="8"/>
        <v>58497.155208523967</v>
      </c>
      <c r="F61" s="669">
        <f t="shared" si="8"/>
        <v>2081.8582621426026</v>
      </c>
      <c r="G61" s="669">
        <f t="shared" ca="1" si="8"/>
        <v>31073.690078206509</v>
      </c>
      <c r="H61" s="669">
        <f t="shared" si="8"/>
        <v>33483.138014893957</v>
      </c>
      <c r="I61" s="669">
        <f t="shared" si="8"/>
        <v>5979.3877065228135</v>
      </c>
      <c r="J61" s="669">
        <f t="shared" si="8"/>
        <v>0</v>
      </c>
      <c r="K61" s="669">
        <f t="shared" si="8"/>
        <v>705.57503601754183</v>
      </c>
      <c r="L61" s="669">
        <f t="shared" si="8"/>
        <v>0</v>
      </c>
      <c r="M61" s="669">
        <f t="shared" ca="1" si="8"/>
        <v>0</v>
      </c>
      <c r="N61" s="669">
        <f t="shared" si="8"/>
        <v>0</v>
      </c>
      <c r="O61" s="669">
        <f t="shared" ca="1" si="8"/>
        <v>0</v>
      </c>
      <c r="P61" s="669">
        <f t="shared" si="8"/>
        <v>0</v>
      </c>
      <c r="Q61" s="669">
        <f t="shared" si="8"/>
        <v>0</v>
      </c>
      <c r="R61" s="669">
        <f ca="1">R46+R52+R56</f>
        <v>161441.74069794596</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0.1852448606801099</v>
      </c>
      <c r="D63" s="710">
        <f t="shared" ca="1" si="9"/>
        <v>0</v>
      </c>
      <c r="E63" s="954">
        <f t="shared" ca="1" si="9"/>
        <v>0.20200000000000001</v>
      </c>
      <c r="F63" s="710">
        <f t="shared" si="9"/>
        <v>0.22700000000000004</v>
      </c>
      <c r="G63" s="710">
        <f t="shared" ca="1" si="9"/>
        <v>0.26700000000000002</v>
      </c>
      <c r="H63" s="710">
        <f t="shared" si="9"/>
        <v>0.26700000000000002</v>
      </c>
      <c r="I63" s="710">
        <f t="shared" si="9"/>
        <v>0.249</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0</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25826.492231901684</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43.649999999999991</v>
      </c>
      <c r="C76" s="679">
        <f>'lokale energieproductie'!B8*IFERROR(SUM(D76:H76)/SUM(D76:O76),0)</f>
        <v>0</v>
      </c>
      <c r="D76" s="964">
        <f>'lokale energieproductie'!C8</f>
        <v>0</v>
      </c>
      <c r="E76" s="965">
        <f>'lokale energieproductie'!D8</f>
        <v>0</v>
      </c>
      <c r="F76" s="965">
        <f>'lokale energieproductie'!E8</f>
        <v>0</v>
      </c>
      <c r="G76" s="965">
        <f>'lokale energieproductie'!F8</f>
        <v>0</v>
      </c>
      <c r="H76" s="965">
        <f>'lokale energieproductie'!G8</f>
        <v>0</v>
      </c>
      <c r="I76" s="965">
        <f>'lokale energieproductie'!I8</f>
        <v>0</v>
      </c>
      <c r="J76" s="965">
        <f>'lokale energieproductie'!J8</f>
        <v>51.35294117647058</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0</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25870.142231901686</v>
      </c>
      <c r="C78" s="684">
        <f>SUM(C72:C77)</f>
        <v>0</v>
      </c>
      <c r="D78" s="685">
        <f t="shared" ref="D78:H78" si="10">SUM(D76:D77)</f>
        <v>0</v>
      </c>
      <c r="E78" s="685">
        <f t="shared" si="10"/>
        <v>0</v>
      </c>
      <c r="F78" s="685">
        <f t="shared" si="10"/>
        <v>0</v>
      </c>
      <c r="G78" s="685">
        <f t="shared" si="10"/>
        <v>0</v>
      </c>
      <c r="H78" s="685">
        <f t="shared" si="10"/>
        <v>0</v>
      </c>
      <c r="I78" s="685">
        <f>SUM(I76:I77)</f>
        <v>0</v>
      </c>
      <c r="J78" s="685">
        <f>SUM(J76:J77)</f>
        <v>51.35294117647058</v>
      </c>
      <c r="K78" s="685">
        <f t="shared" ref="K78:L78" si="11">SUM(K76:K77)</f>
        <v>0</v>
      </c>
      <c r="L78" s="685">
        <f t="shared" si="11"/>
        <v>0</v>
      </c>
      <c r="M78" s="685">
        <f>SUM(M76:M77)</f>
        <v>0</v>
      </c>
      <c r="N78" s="685">
        <f>SUM(N76:N77)</f>
        <v>0</v>
      </c>
      <c r="O78" s="788">
        <f>SUM(O76:O77)</f>
        <v>0</v>
      </c>
      <c r="P78" s="686">
        <v>0</v>
      </c>
      <c r="Q78" s="686">
        <f>SUM(Q76:Q77)</f>
        <v>0</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62.357142857142847</v>
      </c>
      <c r="C87" s="695">
        <f>'lokale energieproductie'!B17*IFERROR(SUM(D87:H87)/SUM(D87:O87),0)</f>
        <v>0</v>
      </c>
      <c r="D87" s="706">
        <f>'lokale energieproductie'!C17</f>
        <v>0</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73.361344537815114</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0</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62.357142857142847</v>
      </c>
      <c r="C90" s="684">
        <f>SUM(C87:C89)</f>
        <v>0</v>
      </c>
      <c r="D90" s="684">
        <f t="shared" ref="D90:H90" si="12">SUM(D87:D89)</f>
        <v>0</v>
      </c>
      <c r="E90" s="684">
        <f t="shared" si="12"/>
        <v>0</v>
      </c>
      <c r="F90" s="684">
        <f t="shared" si="12"/>
        <v>0</v>
      </c>
      <c r="G90" s="684">
        <f t="shared" si="12"/>
        <v>0</v>
      </c>
      <c r="H90" s="684">
        <f t="shared" si="12"/>
        <v>0</v>
      </c>
      <c r="I90" s="684">
        <f>SUM(I87:I89)</f>
        <v>0</v>
      </c>
      <c r="J90" s="684">
        <f>SUM(J87:J89)</f>
        <v>73.361344537815114</v>
      </c>
      <c r="K90" s="684">
        <f t="shared" ref="K90:L90" si="13">SUM(K87:K89)</f>
        <v>0</v>
      </c>
      <c r="L90" s="684">
        <f t="shared" si="13"/>
        <v>0</v>
      </c>
      <c r="M90" s="684">
        <f>SUM(M87:M89)</f>
        <v>0</v>
      </c>
      <c r="N90" s="684">
        <f>SUM(N87:N89)</f>
        <v>0</v>
      </c>
      <c r="O90" s="684">
        <f>SUM(O87:O89)</f>
        <v>0</v>
      </c>
      <c r="P90" s="684">
        <v>0</v>
      </c>
      <c r="Q90" s="684">
        <f>SUM(Q87:Q89)</f>
        <v>0</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58524.876965106254</v>
      </c>
      <c r="C4" s="442">
        <f>huishoudens!C8</f>
        <v>0</v>
      </c>
      <c r="D4" s="442">
        <f>huishoudens!D8</f>
        <v>118871.89925599999</v>
      </c>
      <c r="E4" s="442">
        <f>huishoudens!E8</f>
        <v>2446.1305300684166</v>
      </c>
      <c r="F4" s="442">
        <f>huishoudens!F8</f>
        <v>77167.786772702006</v>
      </c>
      <c r="G4" s="442">
        <f>huishoudens!G8</f>
        <v>0</v>
      </c>
      <c r="H4" s="442">
        <f>huishoudens!H8</f>
        <v>0</v>
      </c>
      <c r="I4" s="442">
        <f>huishoudens!I8</f>
        <v>0</v>
      </c>
      <c r="J4" s="442">
        <f>huishoudens!J8</f>
        <v>1799.5498724172608</v>
      </c>
      <c r="K4" s="442">
        <f>huishoudens!K8</f>
        <v>0</v>
      </c>
      <c r="L4" s="442">
        <f>huishoudens!L8</f>
        <v>0</v>
      </c>
      <c r="M4" s="442">
        <f>huishoudens!M8</f>
        <v>0</v>
      </c>
      <c r="N4" s="442">
        <f>huishoudens!N8</f>
        <v>14731.797467990453</v>
      </c>
      <c r="O4" s="442">
        <f>huishoudens!O8</f>
        <v>758.2166666666667</v>
      </c>
      <c r="P4" s="443">
        <f>huishoudens!P8</f>
        <v>1353.7333333333333</v>
      </c>
      <c r="Q4" s="444">
        <f>SUM(B4:P4)</f>
        <v>275653.99086428439</v>
      </c>
    </row>
    <row r="5" spans="1:17">
      <c r="A5" s="441" t="s">
        <v>149</v>
      </c>
      <c r="B5" s="442">
        <f ca="1">tertiair!B16</f>
        <v>35906.14</v>
      </c>
      <c r="C5" s="442">
        <f ca="1">tertiair!C16</f>
        <v>0</v>
      </c>
      <c r="D5" s="442">
        <f ca="1">tertiair!D16</f>
        <v>42074.303238</v>
      </c>
      <c r="E5" s="442">
        <f>tertiair!E16</f>
        <v>523.67364098287976</v>
      </c>
      <c r="F5" s="442">
        <f ca="1">tertiair!F16</f>
        <v>8411.4104638476656</v>
      </c>
      <c r="G5" s="442">
        <f>tertiair!G16</f>
        <v>0</v>
      </c>
      <c r="H5" s="442">
        <f>tertiair!H16</f>
        <v>0</v>
      </c>
      <c r="I5" s="442">
        <f>tertiair!I16</f>
        <v>0</v>
      </c>
      <c r="J5" s="442">
        <f>tertiair!J16</f>
        <v>0</v>
      </c>
      <c r="K5" s="442">
        <f>tertiair!K16</f>
        <v>0</v>
      </c>
      <c r="L5" s="442">
        <f ca="1">tertiair!L16</f>
        <v>0</v>
      </c>
      <c r="M5" s="442">
        <f>tertiair!M16</f>
        <v>0</v>
      </c>
      <c r="N5" s="442">
        <f ca="1">tertiair!N16</f>
        <v>2556.0290807194024</v>
      </c>
      <c r="O5" s="442">
        <f>tertiair!O16</f>
        <v>0</v>
      </c>
      <c r="P5" s="443">
        <f>tertiair!P16</f>
        <v>57.2</v>
      </c>
      <c r="Q5" s="441">
        <f t="shared" ref="Q5:Q14" ca="1" si="0">SUM(B5:P5)</f>
        <v>89528.756423549945</v>
      </c>
    </row>
    <row r="6" spans="1:17">
      <c r="A6" s="441" t="s">
        <v>187</v>
      </c>
      <c r="B6" s="442">
        <f>'openbare verlichting'!B8</f>
        <v>2152.549</v>
      </c>
      <c r="C6" s="442"/>
      <c r="D6" s="442"/>
      <c r="E6" s="442"/>
      <c r="F6" s="442"/>
      <c r="G6" s="442"/>
      <c r="H6" s="442"/>
      <c r="I6" s="442"/>
      <c r="J6" s="442"/>
      <c r="K6" s="442"/>
      <c r="L6" s="442"/>
      <c r="M6" s="442"/>
      <c r="N6" s="442"/>
      <c r="O6" s="442"/>
      <c r="P6" s="443"/>
      <c r="Q6" s="441">
        <f t="shared" si="0"/>
        <v>2152.549</v>
      </c>
    </row>
    <row r="7" spans="1:17">
      <c r="A7" s="441" t="s">
        <v>105</v>
      </c>
      <c r="B7" s="442">
        <f>landbouw!B8</f>
        <v>1898.4069999999999</v>
      </c>
      <c r="C7" s="442">
        <f>landbouw!C8</f>
        <v>62.357142857142847</v>
      </c>
      <c r="D7" s="442">
        <f>landbouw!D8</f>
        <v>1637.2220040000002</v>
      </c>
      <c r="E7" s="442">
        <f>landbouw!E8</f>
        <v>40.708565293772743</v>
      </c>
      <c r="F7" s="442">
        <f>landbouw!F8</f>
        <v>6157.8239939937039</v>
      </c>
      <c r="G7" s="442">
        <f>landbouw!G8</f>
        <v>0</v>
      </c>
      <c r="H7" s="442">
        <f>landbouw!H8</f>
        <v>0</v>
      </c>
      <c r="I7" s="442">
        <f>landbouw!I8</f>
        <v>0</v>
      </c>
      <c r="J7" s="442">
        <f>landbouw!J8</f>
        <v>182.91251772089581</v>
      </c>
      <c r="K7" s="442">
        <f>landbouw!K8</f>
        <v>0</v>
      </c>
      <c r="L7" s="442">
        <f>landbouw!L8</f>
        <v>0</v>
      </c>
      <c r="M7" s="442">
        <f>landbouw!M8</f>
        <v>0</v>
      </c>
      <c r="N7" s="442">
        <f>landbouw!N8</f>
        <v>0</v>
      </c>
      <c r="O7" s="442">
        <f>landbouw!O8</f>
        <v>0</v>
      </c>
      <c r="P7" s="443">
        <f>landbouw!P8</f>
        <v>0</v>
      </c>
      <c r="Q7" s="441">
        <f t="shared" si="0"/>
        <v>9979.4312238655148</v>
      </c>
    </row>
    <row r="8" spans="1:17">
      <c r="A8" s="441" t="s">
        <v>612</v>
      </c>
      <c r="B8" s="442">
        <f>industrie!B18</f>
        <v>60288.062999999995</v>
      </c>
      <c r="C8" s="442">
        <f>industrie!C18</f>
        <v>0</v>
      </c>
      <c r="D8" s="442">
        <f>industrie!D18</f>
        <v>125238.34424200002</v>
      </c>
      <c r="E8" s="442">
        <f>industrie!E18</f>
        <v>5782.8715410065133</v>
      </c>
      <c r="F8" s="442">
        <f>industrie!F18</f>
        <v>24643.840485585861</v>
      </c>
      <c r="G8" s="442">
        <f>industrie!G18</f>
        <v>0</v>
      </c>
      <c r="H8" s="442">
        <f>industrie!H18</f>
        <v>0</v>
      </c>
      <c r="I8" s="442">
        <f>industrie!I18</f>
        <v>0</v>
      </c>
      <c r="J8" s="442">
        <f>industrie!J18</f>
        <v>10.687429120436326</v>
      </c>
      <c r="K8" s="442">
        <f>industrie!K18</f>
        <v>0</v>
      </c>
      <c r="L8" s="442">
        <f>industrie!L18</f>
        <v>0</v>
      </c>
      <c r="M8" s="442">
        <f>industrie!M18</f>
        <v>0</v>
      </c>
      <c r="N8" s="442">
        <f>industrie!N18</f>
        <v>2834.8347218199374</v>
      </c>
      <c r="O8" s="442">
        <f>industrie!O18</f>
        <v>0</v>
      </c>
      <c r="P8" s="443">
        <f>industrie!P18</f>
        <v>0</v>
      </c>
      <c r="Q8" s="441">
        <f t="shared" si="0"/>
        <v>218798.64141953277</v>
      </c>
    </row>
    <row r="9" spans="1:17" s="447" customFormat="1">
      <c r="A9" s="445" t="s">
        <v>556</v>
      </c>
      <c r="B9" s="446">
        <f>transport!B14</f>
        <v>23.603696417808756</v>
      </c>
      <c r="C9" s="446">
        <f>transport!C14</f>
        <v>0</v>
      </c>
      <c r="D9" s="446">
        <f>transport!D14</f>
        <v>39.419529920589525</v>
      </c>
      <c r="E9" s="446">
        <f>transport!E14</f>
        <v>377.7974942017326</v>
      </c>
      <c r="F9" s="446">
        <f>transport!F14</f>
        <v>0</v>
      </c>
      <c r="G9" s="446">
        <f>transport!G14</f>
        <v>121670.4237569683</v>
      </c>
      <c r="H9" s="446">
        <f>transport!H14</f>
        <v>24013.605247079573</v>
      </c>
      <c r="I9" s="446">
        <f>transport!I14</f>
        <v>0</v>
      </c>
      <c r="J9" s="446">
        <f>transport!J14</f>
        <v>0</v>
      </c>
      <c r="K9" s="446">
        <f>transport!K14</f>
        <v>0</v>
      </c>
      <c r="L9" s="446">
        <f>transport!L14</f>
        <v>0</v>
      </c>
      <c r="M9" s="446">
        <f>transport!M14</f>
        <v>7786.5883771883609</v>
      </c>
      <c r="N9" s="446">
        <f>transport!N14</f>
        <v>0</v>
      </c>
      <c r="O9" s="446">
        <f>transport!O14</f>
        <v>0</v>
      </c>
      <c r="P9" s="446">
        <f>transport!P14</f>
        <v>0</v>
      </c>
      <c r="Q9" s="445">
        <f>SUM(B9:P9)</f>
        <v>153911.43810177638</v>
      </c>
    </row>
    <row r="10" spans="1:17">
      <c r="A10" s="441" t="s">
        <v>546</v>
      </c>
      <c r="B10" s="442">
        <f>transport!B54</f>
        <v>19.708957882475126</v>
      </c>
      <c r="C10" s="442">
        <f>transport!C54</f>
        <v>0</v>
      </c>
      <c r="D10" s="442">
        <f>transport!D54</f>
        <v>0</v>
      </c>
      <c r="E10" s="442">
        <f>transport!E54</f>
        <v>0</v>
      </c>
      <c r="F10" s="442">
        <f>transport!F54</f>
        <v>0</v>
      </c>
      <c r="G10" s="442">
        <f>transport!G54</f>
        <v>3734.5875347693532</v>
      </c>
      <c r="H10" s="442">
        <f>transport!H54</f>
        <v>0</v>
      </c>
      <c r="I10" s="442">
        <f>transport!I54</f>
        <v>0</v>
      </c>
      <c r="J10" s="442">
        <f>transport!J54</f>
        <v>0</v>
      </c>
      <c r="K10" s="442">
        <f>transport!K54</f>
        <v>0</v>
      </c>
      <c r="L10" s="442">
        <f>transport!L54</f>
        <v>0</v>
      </c>
      <c r="M10" s="442">
        <f>transport!M54</f>
        <v>214.99286977852992</v>
      </c>
      <c r="N10" s="442">
        <f>transport!N54</f>
        <v>0</v>
      </c>
      <c r="O10" s="442">
        <f>transport!O54</f>
        <v>0</v>
      </c>
      <c r="P10" s="443">
        <f>transport!P54</f>
        <v>0</v>
      </c>
      <c r="Q10" s="441">
        <f t="shared" si="0"/>
        <v>3969.2893624303583</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1088.18</v>
      </c>
      <c r="C14" s="449"/>
      <c r="D14" s="449">
        <f>'SEAP template'!E25</f>
        <v>1728.6890000000001</v>
      </c>
      <c r="E14" s="449"/>
      <c r="F14" s="449"/>
      <c r="G14" s="449"/>
      <c r="H14" s="449"/>
      <c r="I14" s="449"/>
      <c r="J14" s="449"/>
      <c r="K14" s="449"/>
      <c r="L14" s="449"/>
      <c r="M14" s="449"/>
      <c r="N14" s="449"/>
      <c r="O14" s="449"/>
      <c r="P14" s="450"/>
      <c r="Q14" s="441">
        <f t="shared" si="0"/>
        <v>2816.8690000000001</v>
      </c>
    </row>
    <row r="15" spans="1:17" s="451" customFormat="1">
      <c r="A15" s="969" t="s">
        <v>550</v>
      </c>
      <c r="B15" s="909">
        <f ca="1">SUM(B4:B14)</f>
        <v>159901.52861940654</v>
      </c>
      <c r="C15" s="909">
        <f t="shared" ref="C15:Q15" ca="1" si="1">SUM(C4:C14)</f>
        <v>62.357142857142847</v>
      </c>
      <c r="D15" s="909">
        <f t="shared" ca="1" si="1"/>
        <v>289589.87726992066</v>
      </c>
      <c r="E15" s="909">
        <f t="shared" si="1"/>
        <v>9171.1817715533143</v>
      </c>
      <c r="F15" s="909">
        <f t="shared" ca="1" si="1"/>
        <v>116380.86171612923</v>
      </c>
      <c r="G15" s="909">
        <f t="shared" si="1"/>
        <v>125405.01129173765</v>
      </c>
      <c r="H15" s="909">
        <f t="shared" si="1"/>
        <v>24013.605247079573</v>
      </c>
      <c r="I15" s="909">
        <f t="shared" si="1"/>
        <v>0</v>
      </c>
      <c r="J15" s="909">
        <f t="shared" si="1"/>
        <v>1993.1498192585927</v>
      </c>
      <c r="K15" s="909">
        <f t="shared" si="1"/>
        <v>0</v>
      </c>
      <c r="L15" s="909">
        <f t="shared" ca="1" si="1"/>
        <v>0</v>
      </c>
      <c r="M15" s="909">
        <f t="shared" si="1"/>
        <v>8001.5812469668908</v>
      </c>
      <c r="N15" s="909">
        <f t="shared" ca="1" si="1"/>
        <v>20122.661270529792</v>
      </c>
      <c r="O15" s="909">
        <f t="shared" si="1"/>
        <v>758.2166666666667</v>
      </c>
      <c r="P15" s="909">
        <f t="shared" si="1"/>
        <v>1410.9333333333334</v>
      </c>
      <c r="Q15" s="909">
        <f t="shared" ca="1" si="1"/>
        <v>756810.96539543942</v>
      </c>
    </row>
    <row r="17" spans="1:17">
      <c r="A17" s="452" t="s">
        <v>551</v>
      </c>
      <c r="B17" s="715">
        <f ca="1">huishoudens!B10</f>
        <v>0.1852448606801099</v>
      </c>
      <c r="C17" s="715">
        <f ca="1">huishoudens!C10</f>
        <v>0</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10841.432679721682</v>
      </c>
      <c r="C22" s="442">
        <f t="shared" ref="C22:C32" ca="1" si="3">C4*$C$17</f>
        <v>0</v>
      </c>
      <c r="D22" s="442">
        <f t="shared" ref="D22:D32" si="4">D4*$D$17</f>
        <v>24012.123649712001</v>
      </c>
      <c r="E22" s="442">
        <f t="shared" ref="E22:E32" si="5">E4*$E$17</f>
        <v>555.27163032553062</v>
      </c>
      <c r="F22" s="442">
        <f t="shared" ref="F22:F32" si="6">F4*$F$17</f>
        <v>20603.799068311437</v>
      </c>
      <c r="G22" s="442">
        <f t="shared" ref="G22:G32" si="7">G4*$G$17</f>
        <v>0</v>
      </c>
      <c r="H22" s="442">
        <f t="shared" ref="H22:H32" si="8">H4*$H$17</f>
        <v>0</v>
      </c>
      <c r="I22" s="442">
        <f t="shared" ref="I22:I32" si="9">I4*$I$17</f>
        <v>0</v>
      </c>
      <c r="J22" s="442">
        <f t="shared" ref="J22:J32" si="10">J4*$J$17</f>
        <v>637.04065483571026</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56649.667682906365</v>
      </c>
    </row>
    <row r="23" spans="1:17">
      <c r="A23" s="441" t="s">
        <v>149</v>
      </c>
      <c r="B23" s="442">
        <f t="shared" ca="1" si="2"/>
        <v>6651.4279018605212</v>
      </c>
      <c r="C23" s="442">
        <f t="shared" ca="1" si="3"/>
        <v>0</v>
      </c>
      <c r="D23" s="442">
        <f t="shared" ca="1" si="4"/>
        <v>8499.0092540760015</v>
      </c>
      <c r="E23" s="442">
        <f t="shared" si="5"/>
        <v>118.8739165031137</v>
      </c>
      <c r="F23" s="442">
        <f t="shared" ca="1" si="6"/>
        <v>2245.8465938473269</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17515.157666286963</v>
      </c>
    </row>
    <row r="24" spans="1:17">
      <c r="A24" s="441" t="s">
        <v>187</v>
      </c>
      <c r="B24" s="442">
        <f t="shared" ca="1" si="2"/>
        <v>398.74863961210986</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398.74863961210986</v>
      </c>
    </row>
    <row r="25" spans="1:17">
      <c r="A25" s="441" t="s">
        <v>105</v>
      </c>
      <c r="B25" s="442">
        <f t="shared" ca="1" si="2"/>
        <v>351.67014022914537</v>
      </c>
      <c r="C25" s="442">
        <f t="shared" ca="1" si="3"/>
        <v>0</v>
      </c>
      <c r="D25" s="442">
        <f t="shared" si="4"/>
        <v>330.71884480800009</v>
      </c>
      <c r="E25" s="442">
        <f t="shared" si="5"/>
        <v>9.2408443216864136</v>
      </c>
      <c r="F25" s="442">
        <f t="shared" si="6"/>
        <v>1644.139006396319</v>
      </c>
      <c r="G25" s="442">
        <f t="shared" si="7"/>
        <v>0</v>
      </c>
      <c r="H25" s="442">
        <f t="shared" si="8"/>
        <v>0</v>
      </c>
      <c r="I25" s="442">
        <f t="shared" si="9"/>
        <v>0</v>
      </c>
      <c r="J25" s="442">
        <f t="shared" si="10"/>
        <v>64.751031273197114</v>
      </c>
      <c r="K25" s="442">
        <f t="shared" si="11"/>
        <v>0</v>
      </c>
      <c r="L25" s="442">
        <f t="shared" si="12"/>
        <v>0</v>
      </c>
      <c r="M25" s="442">
        <f t="shared" si="13"/>
        <v>0</v>
      </c>
      <c r="N25" s="442">
        <f t="shared" si="14"/>
        <v>0</v>
      </c>
      <c r="O25" s="442">
        <f t="shared" si="15"/>
        <v>0</v>
      </c>
      <c r="P25" s="443">
        <f t="shared" si="16"/>
        <v>0</v>
      </c>
      <c r="Q25" s="441">
        <f t="shared" ca="1" si="17"/>
        <v>2400.5198670283476</v>
      </c>
    </row>
    <row r="26" spans="1:17">
      <c r="A26" s="441" t="s">
        <v>612</v>
      </c>
      <c r="B26" s="442">
        <f t="shared" ca="1" si="2"/>
        <v>11168.053831108688</v>
      </c>
      <c r="C26" s="442">
        <f t="shared" ca="1" si="3"/>
        <v>0</v>
      </c>
      <c r="D26" s="442">
        <f t="shared" si="4"/>
        <v>25298.145536884007</v>
      </c>
      <c r="E26" s="442">
        <f t="shared" si="5"/>
        <v>1312.7118398084785</v>
      </c>
      <c r="F26" s="442">
        <f t="shared" si="6"/>
        <v>6579.9054096514255</v>
      </c>
      <c r="G26" s="442">
        <f t="shared" si="7"/>
        <v>0</v>
      </c>
      <c r="H26" s="442">
        <f t="shared" si="8"/>
        <v>0</v>
      </c>
      <c r="I26" s="442">
        <f t="shared" si="9"/>
        <v>0</v>
      </c>
      <c r="J26" s="442">
        <f t="shared" si="10"/>
        <v>3.7833499086344591</v>
      </c>
      <c r="K26" s="442">
        <f t="shared" si="11"/>
        <v>0</v>
      </c>
      <c r="L26" s="442">
        <f t="shared" si="12"/>
        <v>0</v>
      </c>
      <c r="M26" s="442">
        <f t="shared" si="13"/>
        <v>0</v>
      </c>
      <c r="N26" s="442">
        <f t="shared" si="14"/>
        <v>0</v>
      </c>
      <c r="O26" s="442">
        <f t="shared" si="15"/>
        <v>0</v>
      </c>
      <c r="P26" s="443">
        <f t="shared" si="16"/>
        <v>0</v>
      </c>
      <c r="Q26" s="441">
        <f t="shared" ca="1" si="17"/>
        <v>44362.599967361231</v>
      </c>
    </row>
    <row r="27" spans="1:17" s="447" customFormat="1">
      <c r="A27" s="445" t="s">
        <v>556</v>
      </c>
      <c r="B27" s="709">
        <f t="shared" ca="1" si="2"/>
        <v>4.3724634544525918</v>
      </c>
      <c r="C27" s="446">
        <f t="shared" ca="1" si="3"/>
        <v>0</v>
      </c>
      <c r="D27" s="446">
        <f t="shared" si="4"/>
        <v>7.9627450439590843</v>
      </c>
      <c r="E27" s="446">
        <f t="shared" si="5"/>
        <v>85.760031183793302</v>
      </c>
      <c r="F27" s="446">
        <f t="shared" si="6"/>
        <v>0</v>
      </c>
      <c r="G27" s="446">
        <f t="shared" si="7"/>
        <v>32486.003143110538</v>
      </c>
      <c r="H27" s="446">
        <f t="shared" si="8"/>
        <v>5979.3877065228135</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38563.486089315556</v>
      </c>
    </row>
    <row r="28" spans="1:17">
      <c r="A28" s="441" t="s">
        <v>546</v>
      </c>
      <c r="B28" s="442">
        <f t="shared" ca="1" si="2"/>
        <v>3.6509831570892586</v>
      </c>
      <c r="C28" s="442">
        <f t="shared" ca="1" si="3"/>
        <v>0</v>
      </c>
      <c r="D28" s="442">
        <f t="shared" si="4"/>
        <v>0</v>
      </c>
      <c r="E28" s="442">
        <f t="shared" si="5"/>
        <v>0</v>
      </c>
      <c r="F28" s="442">
        <f t="shared" si="6"/>
        <v>0</v>
      </c>
      <c r="G28" s="442">
        <f t="shared" si="7"/>
        <v>997.13487178341734</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1000.7858549405066</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201.579752494882</v>
      </c>
      <c r="C32" s="442">
        <f t="shared" ca="1" si="3"/>
        <v>0</v>
      </c>
      <c r="D32" s="442">
        <f t="shared" si="4"/>
        <v>349.19517800000006</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550.77493049488203</v>
      </c>
    </row>
    <row r="33" spans="1:17" s="451" customFormat="1">
      <c r="A33" s="969" t="s">
        <v>550</v>
      </c>
      <c r="B33" s="909">
        <f ca="1">SUM(B22:B32)</f>
        <v>29620.936391638563</v>
      </c>
      <c r="C33" s="909">
        <f t="shared" ref="C33:Q33" ca="1" si="18">SUM(C22:C32)</f>
        <v>0</v>
      </c>
      <c r="D33" s="909">
        <f t="shared" ca="1" si="18"/>
        <v>58497.155208523975</v>
      </c>
      <c r="E33" s="909">
        <f t="shared" si="18"/>
        <v>2081.8582621426026</v>
      </c>
      <c r="F33" s="909">
        <f t="shared" ca="1" si="18"/>
        <v>31073.690078206509</v>
      </c>
      <c r="G33" s="909">
        <f t="shared" si="18"/>
        <v>33483.138014893957</v>
      </c>
      <c r="H33" s="909">
        <f t="shared" si="18"/>
        <v>5979.3877065228135</v>
      </c>
      <c r="I33" s="909">
        <f t="shared" si="18"/>
        <v>0</v>
      </c>
      <c r="J33" s="909">
        <f t="shared" si="18"/>
        <v>705.57503601754183</v>
      </c>
      <c r="K33" s="909">
        <f t="shared" si="18"/>
        <v>0</v>
      </c>
      <c r="L33" s="909">
        <f t="shared" ca="1" si="18"/>
        <v>0</v>
      </c>
      <c r="M33" s="909">
        <f t="shared" si="18"/>
        <v>0</v>
      </c>
      <c r="N33" s="909">
        <f t="shared" ca="1" si="18"/>
        <v>0</v>
      </c>
      <c r="O33" s="909">
        <f t="shared" si="18"/>
        <v>0</v>
      </c>
      <c r="P33" s="909">
        <f t="shared" si="18"/>
        <v>0</v>
      </c>
      <c r="Q33" s="909">
        <f t="shared" ca="1" si="18"/>
        <v>161441.74069794596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0</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25826.492231901684</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43.649999999999991</v>
      </c>
      <c r="C8" s="986">
        <f>'SEAP template'!C76</f>
        <v>0</v>
      </c>
      <c r="D8" s="986">
        <f>'SEAP template'!D76</f>
        <v>0</v>
      </c>
      <c r="E8" s="986">
        <f>'SEAP template'!E76</f>
        <v>0</v>
      </c>
      <c r="F8" s="986">
        <f>'SEAP template'!F76</f>
        <v>0</v>
      </c>
      <c r="G8" s="986">
        <f>'SEAP template'!G76</f>
        <v>0</v>
      </c>
      <c r="H8" s="986">
        <f>'SEAP template'!H76</f>
        <v>0</v>
      </c>
      <c r="I8" s="986">
        <f>'SEAP template'!I76</f>
        <v>0</v>
      </c>
      <c r="J8" s="986">
        <f>'SEAP template'!J76</f>
        <v>51.35294117647058</v>
      </c>
      <c r="K8" s="986">
        <f>'SEAP template'!K76</f>
        <v>0</v>
      </c>
      <c r="L8" s="986">
        <f>'SEAP template'!L76</f>
        <v>0</v>
      </c>
      <c r="M8" s="986">
        <f>'SEAP template'!M76</f>
        <v>0</v>
      </c>
      <c r="N8" s="986">
        <f>'SEAP template'!N76</f>
        <v>0</v>
      </c>
      <c r="O8" s="986">
        <f>'SEAP template'!O76</f>
        <v>0</v>
      </c>
      <c r="P8" s="987">
        <f>'SEAP template'!Q76</f>
        <v>0</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25870.142231901686</v>
      </c>
      <c r="C10" s="990">
        <f>SUM(C4:C9)</f>
        <v>0</v>
      </c>
      <c r="D10" s="990">
        <f t="shared" ref="D10:H10" si="0">SUM(D8:D9)</f>
        <v>0</v>
      </c>
      <c r="E10" s="990">
        <f t="shared" si="0"/>
        <v>0</v>
      </c>
      <c r="F10" s="990">
        <f t="shared" si="0"/>
        <v>0</v>
      </c>
      <c r="G10" s="990">
        <f t="shared" si="0"/>
        <v>0</v>
      </c>
      <c r="H10" s="990">
        <f t="shared" si="0"/>
        <v>0</v>
      </c>
      <c r="I10" s="990">
        <f>SUM(I8:I9)</f>
        <v>0</v>
      </c>
      <c r="J10" s="990">
        <f>SUM(J8:J9)</f>
        <v>51.35294117647058</v>
      </c>
      <c r="K10" s="990">
        <f t="shared" ref="K10:L10" si="1">SUM(K8:K9)</f>
        <v>0</v>
      </c>
      <c r="L10" s="990">
        <f t="shared" si="1"/>
        <v>0</v>
      </c>
      <c r="M10" s="990">
        <f>SUM(M8:M9)</f>
        <v>0</v>
      </c>
      <c r="N10" s="990">
        <f>SUM(N8:N9)</f>
        <v>0</v>
      </c>
      <c r="O10" s="990">
        <f>SUM(O8:O9)</f>
        <v>0</v>
      </c>
      <c r="P10" s="990">
        <f>SUM(P8:P9)</f>
        <v>0</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0.1852448606801099</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62.357142857142847</v>
      </c>
      <c r="C17" s="992">
        <f>'SEAP template'!C87</f>
        <v>0</v>
      </c>
      <c r="D17" s="987">
        <f>'SEAP template'!D87</f>
        <v>0</v>
      </c>
      <c r="E17" s="987">
        <f>'SEAP template'!E87</f>
        <v>0</v>
      </c>
      <c r="F17" s="987">
        <f>'SEAP template'!F87</f>
        <v>0</v>
      </c>
      <c r="G17" s="987">
        <f>'SEAP template'!G87</f>
        <v>0</v>
      </c>
      <c r="H17" s="987">
        <f>'SEAP template'!H87</f>
        <v>0</v>
      </c>
      <c r="I17" s="987">
        <f>'SEAP template'!I87</f>
        <v>0</v>
      </c>
      <c r="J17" s="987">
        <f>'SEAP template'!J87</f>
        <v>73.361344537815114</v>
      </c>
      <c r="K17" s="987">
        <f>'SEAP template'!K87</f>
        <v>0</v>
      </c>
      <c r="L17" s="987">
        <f>'SEAP template'!L87</f>
        <v>0</v>
      </c>
      <c r="M17" s="987">
        <f>'SEAP template'!M87</f>
        <v>0</v>
      </c>
      <c r="N17" s="987">
        <f>'SEAP template'!N87</f>
        <v>0</v>
      </c>
      <c r="O17" s="987">
        <f>'SEAP template'!O87</f>
        <v>0</v>
      </c>
      <c r="P17" s="987">
        <f>'SEAP template'!Q87</f>
        <v>0</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62.357142857142847</v>
      </c>
      <c r="C20" s="990">
        <f>SUM(C17:C19)</f>
        <v>0</v>
      </c>
      <c r="D20" s="990">
        <f t="shared" ref="D20:H20" si="2">SUM(D17:D19)</f>
        <v>0</v>
      </c>
      <c r="E20" s="990">
        <f t="shared" si="2"/>
        <v>0</v>
      </c>
      <c r="F20" s="990">
        <f t="shared" si="2"/>
        <v>0</v>
      </c>
      <c r="G20" s="990">
        <f t="shared" si="2"/>
        <v>0</v>
      </c>
      <c r="H20" s="990">
        <f t="shared" si="2"/>
        <v>0</v>
      </c>
      <c r="I20" s="990">
        <f>SUM(I17:I19)</f>
        <v>0</v>
      </c>
      <c r="J20" s="990">
        <f>SUM(J17:J19)</f>
        <v>73.361344537815114</v>
      </c>
      <c r="K20" s="990">
        <f t="shared" ref="K20:L20" si="3">SUM(K17:K19)</f>
        <v>0</v>
      </c>
      <c r="L20" s="990">
        <f t="shared" si="3"/>
        <v>0</v>
      </c>
      <c r="M20" s="990">
        <f>SUM(M17:M19)</f>
        <v>0</v>
      </c>
      <c r="N20" s="990">
        <f>SUM(N17:N19)</f>
        <v>0</v>
      </c>
      <c r="O20" s="990">
        <f>SUM(O17:O19)</f>
        <v>0</v>
      </c>
      <c r="P20" s="990">
        <f>SUM(P17:P19)</f>
        <v>0</v>
      </c>
    </row>
    <row r="22" spans="1:16">
      <c r="A22" s="452" t="s">
        <v>826</v>
      </c>
      <c r="B22" s="715" t="s">
        <v>820</v>
      </c>
      <c r="C22" s="71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0.1852448606801099</v>
      </c>
      <c r="C17" s="489">
        <f ca="1">'EF ele_warmte'!B22</f>
        <v>0</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0</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0</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0.1852448606801099</v>
      </c>
      <c r="C17" s="489">
        <f ca="1">'EF ele_warmte'!B22</f>
        <v>0</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0.1852448606801099</v>
      </c>
      <c r="C29" s="490">
        <f ca="1">'EF ele_warmte'!B22</f>
        <v>0</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12871</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2889</v>
      </c>
      <c r="C14" s="322"/>
      <c r="D14" s="322"/>
      <c r="E14" s="322"/>
      <c r="F14" s="322"/>
    </row>
    <row r="15" spans="1:6">
      <c r="A15" s="1261" t="s">
        <v>177</v>
      </c>
      <c r="B15" s="1262">
        <v>3320</v>
      </c>
      <c r="C15" s="322"/>
      <c r="D15" s="322"/>
      <c r="E15" s="322"/>
      <c r="F15" s="322"/>
    </row>
    <row r="16" spans="1:6">
      <c r="A16" s="1261" t="s">
        <v>6</v>
      </c>
      <c r="B16" s="1262">
        <v>2453</v>
      </c>
      <c r="C16" s="322"/>
      <c r="D16" s="322"/>
      <c r="E16" s="322"/>
      <c r="F16" s="322"/>
    </row>
    <row r="17" spans="1:6">
      <c r="A17" s="1261" t="s">
        <v>7</v>
      </c>
      <c r="B17" s="1262">
        <v>227</v>
      </c>
      <c r="C17" s="322"/>
      <c r="D17" s="322"/>
      <c r="E17" s="322"/>
      <c r="F17" s="322"/>
    </row>
    <row r="18" spans="1:6">
      <c r="A18" s="1261" t="s">
        <v>8</v>
      </c>
      <c r="B18" s="1262">
        <v>1473</v>
      </c>
      <c r="C18" s="322"/>
      <c r="D18" s="322"/>
      <c r="E18" s="322"/>
      <c r="F18" s="322"/>
    </row>
    <row r="19" spans="1:6">
      <c r="A19" s="1261" t="s">
        <v>9</v>
      </c>
      <c r="B19" s="1262">
        <v>1244</v>
      </c>
      <c r="C19" s="322"/>
      <c r="D19" s="322"/>
      <c r="E19" s="322"/>
      <c r="F19" s="322"/>
    </row>
    <row r="20" spans="1:6">
      <c r="A20" s="1261" t="s">
        <v>10</v>
      </c>
      <c r="B20" s="1262">
        <v>634</v>
      </c>
      <c r="C20" s="322"/>
      <c r="D20" s="322"/>
      <c r="E20" s="322"/>
      <c r="F20" s="322"/>
    </row>
    <row r="21" spans="1:6">
      <c r="A21" s="1261" t="s">
        <v>11</v>
      </c>
      <c r="B21" s="1262">
        <v>4025</v>
      </c>
      <c r="C21" s="322"/>
      <c r="D21" s="322"/>
      <c r="E21" s="322"/>
      <c r="F21" s="322"/>
    </row>
    <row r="22" spans="1:6">
      <c r="A22" s="1261" t="s">
        <v>12</v>
      </c>
      <c r="B22" s="1262">
        <v>11378</v>
      </c>
      <c r="C22" s="322"/>
      <c r="D22" s="322"/>
      <c r="E22" s="322"/>
      <c r="F22" s="322"/>
    </row>
    <row r="23" spans="1:6">
      <c r="A23" s="1261" t="s">
        <v>13</v>
      </c>
      <c r="B23" s="1262">
        <v>234</v>
      </c>
      <c r="C23" s="322"/>
      <c r="D23" s="322"/>
      <c r="E23" s="322"/>
      <c r="F23" s="322"/>
    </row>
    <row r="24" spans="1:6">
      <c r="A24" s="1261" t="s">
        <v>14</v>
      </c>
      <c r="B24" s="1262">
        <v>11</v>
      </c>
      <c r="C24" s="322"/>
      <c r="D24" s="322"/>
      <c r="E24" s="322"/>
      <c r="F24" s="322"/>
    </row>
    <row r="25" spans="1:6">
      <c r="A25" s="1261" t="s">
        <v>15</v>
      </c>
      <c r="B25" s="1262">
        <v>1121</v>
      </c>
      <c r="C25" s="322"/>
      <c r="D25" s="322"/>
      <c r="E25" s="322"/>
      <c r="F25" s="322"/>
    </row>
    <row r="26" spans="1:6">
      <c r="A26" s="1261" t="s">
        <v>16</v>
      </c>
      <c r="B26" s="1262">
        <v>247</v>
      </c>
      <c r="C26" s="322"/>
      <c r="D26" s="322"/>
      <c r="E26" s="322"/>
      <c r="F26" s="322"/>
    </row>
    <row r="27" spans="1:6">
      <c r="A27" s="1261" t="s">
        <v>17</v>
      </c>
      <c r="B27" s="1262">
        <v>4</v>
      </c>
      <c r="C27" s="322"/>
      <c r="D27" s="322"/>
      <c r="E27" s="322"/>
      <c r="F27" s="322"/>
    </row>
    <row r="28" spans="1:6">
      <c r="A28" s="1261" t="s">
        <v>18</v>
      </c>
      <c r="B28" s="1263">
        <v>191151</v>
      </c>
      <c r="C28" s="322"/>
      <c r="D28" s="322"/>
      <c r="E28" s="322"/>
      <c r="F28" s="322"/>
    </row>
    <row r="29" spans="1:6">
      <c r="A29" s="1261" t="s">
        <v>901</v>
      </c>
      <c r="B29" s="1263">
        <v>175</v>
      </c>
      <c r="C29" s="322"/>
      <c r="D29" s="322"/>
      <c r="E29" s="322"/>
      <c r="F29" s="322"/>
    </row>
    <row r="30" spans="1:6">
      <c r="A30" s="1256" t="s">
        <v>902</v>
      </c>
      <c r="B30" s="1264">
        <v>41</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5</v>
      </c>
      <c r="F36" s="1262">
        <v>17150</v>
      </c>
    </row>
    <row r="37" spans="1:6">
      <c r="A37" s="1261" t="s">
        <v>24</v>
      </c>
      <c r="B37" s="1261" t="s">
        <v>27</v>
      </c>
      <c r="C37" s="1262">
        <v>0</v>
      </c>
      <c r="D37" s="1262">
        <v>0</v>
      </c>
      <c r="E37" s="1262">
        <v>0</v>
      </c>
      <c r="F37" s="1262">
        <v>0</v>
      </c>
    </row>
    <row r="38" spans="1:6">
      <c r="A38" s="1261" t="s">
        <v>24</v>
      </c>
      <c r="B38" s="1261" t="s">
        <v>28</v>
      </c>
      <c r="C38" s="1262">
        <v>1</v>
      </c>
      <c r="D38" s="1262">
        <v>312120</v>
      </c>
      <c r="E38" s="1262">
        <v>1</v>
      </c>
      <c r="F38" s="1262">
        <v>52892</v>
      </c>
    </row>
    <row r="39" spans="1:6">
      <c r="A39" s="1261" t="s">
        <v>29</v>
      </c>
      <c r="B39" s="1261" t="s">
        <v>30</v>
      </c>
      <c r="C39" s="1262">
        <v>8358</v>
      </c>
      <c r="D39" s="1262">
        <v>131787028</v>
      </c>
      <c r="E39" s="1262">
        <v>13112</v>
      </c>
      <c r="F39" s="1262">
        <v>48207378</v>
      </c>
    </row>
    <row r="40" spans="1:6">
      <c r="A40" s="1261" t="s">
        <v>29</v>
      </c>
      <c r="B40" s="1261" t="s">
        <v>28</v>
      </c>
      <c r="C40" s="1262">
        <v>0</v>
      </c>
      <c r="D40" s="1262">
        <v>0</v>
      </c>
      <c r="E40" s="1262">
        <v>0</v>
      </c>
      <c r="F40" s="1262">
        <v>0</v>
      </c>
    </row>
    <row r="41" spans="1:6">
      <c r="A41" s="1261" t="s">
        <v>31</v>
      </c>
      <c r="B41" s="1261" t="s">
        <v>32</v>
      </c>
      <c r="C41" s="1262">
        <v>113</v>
      </c>
      <c r="D41" s="1262">
        <v>10008884</v>
      </c>
      <c r="E41" s="1262">
        <v>247</v>
      </c>
      <c r="F41" s="1262">
        <v>18253064</v>
      </c>
    </row>
    <row r="42" spans="1:6">
      <c r="A42" s="1261" t="s">
        <v>31</v>
      </c>
      <c r="B42" s="1261" t="s">
        <v>33</v>
      </c>
      <c r="C42" s="1262">
        <v>3</v>
      </c>
      <c r="D42" s="1262">
        <v>871512</v>
      </c>
      <c r="E42" s="1262">
        <v>4</v>
      </c>
      <c r="F42" s="1262">
        <v>1140059</v>
      </c>
    </row>
    <row r="43" spans="1:6">
      <c r="A43" s="1261" t="s">
        <v>31</v>
      </c>
      <c r="B43" s="1261" t="s">
        <v>34</v>
      </c>
      <c r="C43" s="1262">
        <v>0</v>
      </c>
      <c r="D43" s="1262">
        <v>0</v>
      </c>
      <c r="E43" s="1262">
        <v>3</v>
      </c>
      <c r="F43" s="1262">
        <v>4256707</v>
      </c>
    </row>
    <row r="44" spans="1:6">
      <c r="A44" s="1261" t="s">
        <v>31</v>
      </c>
      <c r="B44" s="1261" t="s">
        <v>35</v>
      </c>
      <c r="C44" s="1262">
        <v>37</v>
      </c>
      <c r="D44" s="1262">
        <v>56224868</v>
      </c>
      <c r="E44" s="1262">
        <v>63</v>
      </c>
      <c r="F44" s="1262">
        <v>29471457</v>
      </c>
    </row>
    <row r="45" spans="1:6">
      <c r="A45" s="1261" t="s">
        <v>31</v>
      </c>
      <c r="B45" s="1261" t="s">
        <v>36</v>
      </c>
      <c r="C45" s="1262">
        <v>3</v>
      </c>
      <c r="D45" s="1262">
        <v>1144120</v>
      </c>
      <c r="E45" s="1262">
        <v>0</v>
      </c>
      <c r="F45" s="1262">
        <v>0</v>
      </c>
    </row>
    <row r="46" spans="1:6">
      <c r="A46" s="1261" t="s">
        <v>31</v>
      </c>
      <c r="B46" s="1261" t="s">
        <v>37</v>
      </c>
      <c r="C46" s="1262">
        <v>0</v>
      </c>
      <c r="D46" s="1262">
        <v>0</v>
      </c>
      <c r="E46" s="1262">
        <v>0</v>
      </c>
      <c r="F46" s="1262">
        <v>0</v>
      </c>
    </row>
    <row r="47" spans="1:6">
      <c r="A47" s="1261" t="s">
        <v>31</v>
      </c>
      <c r="B47" s="1261" t="s">
        <v>38</v>
      </c>
      <c r="C47" s="1262">
        <v>3</v>
      </c>
      <c r="D47" s="1262">
        <v>2062167</v>
      </c>
      <c r="E47" s="1262">
        <v>6</v>
      </c>
      <c r="F47" s="1262">
        <v>5147515</v>
      </c>
    </row>
    <row r="48" spans="1:6">
      <c r="A48" s="1261" t="s">
        <v>31</v>
      </c>
      <c r="B48" s="1261" t="s">
        <v>28</v>
      </c>
      <c r="C48" s="1262">
        <v>7</v>
      </c>
      <c r="D48" s="1262">
        <v>63882228</v>
      </c>
      <c r="E48" s="1262">
        <v>5</v>
      </c>
      <c r="F48" s="1262">
        <v>59792</v>
      </c>
    </row>
    <row r="49" spans="1:6">
      <c r="A49" s="1261" t="s">
        <v>31</v>
      </c>
      <c r="B49" s="1261" t="s">
        <v>39</v>
      </c>
      <c r="C49" s="1262">
        <v>6</v>
      </c>
      <c r="D49" s="1262">
        <v>3705001</v>
      </c>
      <c r="E49" s="1262">
        <v>8</v>
      </c>
      <c r="F49" s="1262">
        <v>1523399</v>
      </c>
    </row>
    <row r="50" spans="1:6">
      <c r="A50" s="1261" t="s">
        <v>31</v>
      </c>
      <c r="B50" s="1261" t="s">
        <v>40</v>
      </c>
      <c r="C50" s="1262">
        <v>12</v>
      </c>
      <c r="D50" s="1262">
        <v>946391</v>
      </c>
      <c r="E50" s="1262">
        <v>22</v>
      </c>
      <c r="F50" s="1262">
        <v>436070</v>
      </c>
    </row>
    <row r="51" spans="1:6">
      <c r="A51" s="1261" t="s">
        <v>41</v>
      </c>
      <c r="B51" s="1261" t="s">
        <v>42</v>
      </c>
      <c r="C51" s="1262">
        <v>31</v>
      </c>
      <c r="D51" s="1262">
        <v>1815102</v>
      </c>
      <c r="E51" s="1262">
        <v>98</v>
      </c>
      <c r="F51" s="1262">
        <v>1898407</v>
      </c>
    </row>
    <row r="52" spans="1:6">
      <c r="A52" s="1261" t="s">
        <v>41</v>
      </c>
      <c r="B52" s="1261" t="s">
        <v>28</v>
      </c>
      <c r="C52" s="1262">
        <v>0</v>
      </c>
      <c r="D52" s="1262">
        <v>0</v>
      </c>
      <c r="E52" s="1262">
        <v>0</v>
      </c>
      <c r="F52" s="1262">
        <v>0</v>
      </c>
    </row>
    <row r="53" spans="1:6">
      <c r="A53" s="1261" t="s">
        <v>43</v>
      </c>
      <c r="B53" s="1261" t="s">
        <v>44</v>
      </c>
      <c r="C53" s="1262">
        <v>0</v>
      </c>
      <c r="D53" s="1262">
        <v>0</v>
      </c>
      <c r="E53" s="1262">
        <v>0</v>
      </c>
      <c r="F53" s="1262">
        <v>0</v>
      </c>
    </row>
    <row r="54" spans="1:6">
      <c r="A54" s="1261" t="s">
        <v>45</v>
      </c>
      <c r="B54" s="1261" t="s">
        <v>46</v>
      </c>
      <c r="C54" s="1262">
        <v>0</v>
      </c>
      <c r="D54" s="1262">
        <v>0</v>
      </c>
      <c r="E54" s="1262">
        <v>151</v>
      </c>
      <c r="F54" s="1262">
        <v>2152549</v>
      </c>
    </row>
    <row r="55" spans="1:6">
      <c r="A55" s="1261" t="s">
        <v>45</v>
      </c>
      <c r="B55" s="1261" t="s">
        <v>28</v>
      </c>
      <c r="C55" s="1262">
        <v>0</v>
      </c>
      <c r="D55" s="1262">
        <v>0</v>
      </c>
      <c r="E55" s="1262">
        <v>0</v>
      </c>
      <c r="F55" s="1262">
        <v>0</v>
      </c>
    </row>
    <row r="56" spans="1:6">
      <c r="A56" s="1261" t="s">
        <v>47</v>
      </c>
      <c r="B56" s="1261" t="s">
        <v>28</v>
      </c>
      <c r="C56" s="1262">
        <v>84</v>
      </c>
      <c r="D56" s="1262">
        <v>1728689</v>
      </c>
      <c r="E56" s="1262">
        <v>239</v>
      </c>
      <c r="F56" s="1262">
        <v>1088180</v>
      </c>
    </row>
    <row r="57" spans="1:6">
      <c r="A57" s="1261" t="s">
        <v>48</v>
      </c>
      <c r="B57" s="1261" t="s">
        <v>49</v>
      </c>
      <c r="C57" s="1262">
        <v>76</v>
      </c>
      <c r="D57" s="1262">
        <v>4043091</v>
      </c>
      <c r="E57" s="1262">
        <v>161</v>
      </c>
      <c r="F57" s="1262">
        <v>5699733</v>
      </c>
    </row>
    <row r="58" spans="1:6">
      <c r="A58" s="1261" t="s">
        <v>48</v>
      </c>
      <c r="B58" s="1261" t="s">
        <v>50</v>
      </c>
      <c r="C58" s="1262">
        <v>60</v>
      </c>
      <c r="D58" s="1262">
        <v>12793806</v>
      </c>
      <c r="E58" s="1262">
        <v>91</v>
      </c>
      <c r="F58" s="1262">
        <v>4197049</v>
      </c>
    </row>
    <row r="59" spans="1:6">
      <c r="A59" s="1261" t="s">
        <v>48</v>
      </c>
      <c r="B59" s="1261" t="s">
        <v>51</v>
      </c>
      <c r="C59" s="1262">
        <v>176</v>
      </c>
      <c r="D59" s="1262">
        <v>9127390</v>
      </c>
      <c r="E59" s="1262">
        <v>323</v>
      </c>
      <c r="F59" s="1262">
        <v>11145001</v>
      </c>
    </row>
    <row r="60" spans="1:6">
      <c r="A60" s="1261" t="s">
        <v>48</v>
      </c>
      <c r="B60" s="1261" t="s">
        <v>52</v>
      </c>
      <c r="C60" s="1262">
        <v>80</v>
      </c>
      <c r="D60" s="1262">
        <v>4519216</v>
      </c>
      <c r="E60" s="1262">
        <v>117</v>
      </c>
      <c r="F60" s="1262">
        <v>3317161</v>
      </c>
    </row>
    <row r="61" spans="1:6">
      <c r="A61" s="1261" t="s">
        <v>48</v>
      </c>
      <c r="B61" s="1261" t="s">
        <v>53</v>
      </c>
      <c r="C61" s="1262">
        <v>220</v>
      </c>
      <c r="D61" s="1262">
        <v>9659417</v>
      </c>
      <c r="E61" s="1262">
        <v>539</v>
      </c>
      <c r="F61" s="1262">
        <v>9792236</v>
      </c>
    </row>
    <row r="62" spans="1:6">
      <c r="A62" s="1261" t="s">
        <v>48</v>
      </c>
      <c r="B62" s="1261" t="s">
        <v>54</v>
      </c>
      <c r="C62" s="1262">
        <v>33</v>
      </c>
      <c r="D62" s="1262">
        <v>6502649</v>
      </c>
      <c r="E62" s="1262">
        <v>41</v>
      </c>
      <c r="F62" s="1262">
        <v>1754960</v>
      </c>
    </row>
    <row r="63" spans="1:6">
      <c r="A63" s="1261" t="s">
        <v>48</v>
      </c>
      <c r="B63" s="1261" t="s">
        <v>28</v>
      </c>
      <c r="C63" s="1262">
        <v>0</v>
      </c>
      <c r="D63" s="1262">
        <v>0</v>
      </c>
      <c r="E63" s="1262">
        <v>0</v>
      </c>
      <c r="F63" s="1262">
        <v>0</v>
      </c>
    </row>
    <row r="64" spans="1:6">
      <c r="A64" s="1261" t="s">
        <v>55</v>
      </c>
      <c r="B64" s="1261" t="s">
        <v>56</v>
      </c>
      <c r="C64" s="1262">
        <v>0</v>
      </c>
      <c r="D64" s="1262">
        <v>0</v>
      </c>
      <c r="E64" s="1262">
        <v>0</v>
      </c>
      <c r="F64" s="1262">
        <v>0</v>
      </c>
    </row>
    <row r="65" spans="1:6">
      <c r="A65" s="1261" t="s">
        <v>55</v>
      </c>
      <c r="B65" s="1261" t="s">
        <v>28</v>
      </c>
      <c r="C65" s="1262">
        <v>4</v>
      </c>
      <c r="D65" s="1262">
        <v>260092</v>
      </c>
      <c r="E65" s="1262">
        <v>0</v>
      </c>
      <c r="F65" s="1262">
        <v>0</v>
      </c>
    </row>
    <row r="66" spans="1:6">
      <c r="A66" s="1261" t="s">
        <v>55</v>
      </c>
      <c r="B66" s="1261" t="s">
        <v>57</v>
      </c>
      <c r="C66" s="1262">
        <v>0</v>
      </c>
      <c r="D66" s="1262">
        <v>0</v>
      </c>
      <c r="E66" s="1262">
        <v>0</v>
      </c>
      <c r="F66" s="1262">
        <v>0</v>
      </c>
    </row>
    <row r="67" spans="1:6">
      <c r="A67" s="1261" t="s">
        <v>55</v>
      </c>
      <c r="B67" s="1261" t="s">
        <v>58</v>
      </c>
      <c r="C67" s="1262">
        <v>0</v>
      </c>
      <c r="D67" s="1262">
        <v>0</v>
      </c>
      <c r="E67" s="1262">
        <v>0</v>
      </c>
      <c r="F67" s="1262">
        <v>0</v>
      </c>
    </row>
    <row r="68" spans="1:6">
      <c r="A68" s="1256" t="s">
        <v>55</v>
      </c>
      <c r="B68" s="1256" t="s">
        <v>59</v>
      </c>
      <c r="C68" s="1264">
        <v>0</v>
      </c>
      <c r="D68" s="1264">
        <v>0</v>
      </c>
      <c r="E68" s="1264">
        <v>13</v>
      </c>
      <c r="F68" s="1264">
        <v>488276</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122858000</v>
      </c>
      <c r="E73" s="440"/>
      <c r="F73" s="322"/>
    </row>
    <row r="74" spans="1:6">
      <c r="A74" s="1261" t="s">
        <v>63</v>
      </c>
      <c r="B74" s="1261" t="s">
        <v>670</v>
      </c>
      <c r="C74" s="1274" t="s">
        <v>672</v>
      </c>
      <c r="D74" s="1262">
        <v>12315598.261567365</v>
      </c>
      <c r="E74" s="440"/>
      <c r="F74" s="322"/>
    </row>
    <row r="75" spans="1:6">
      <c r="A75" s="1261" t="s">
        <v>64</v>
      </c>
      <c r="B75" s="1261" t="s">
        <v>669</v>
      </c>
      <c r="C75" s="1274" t="s">
        <v>673</v>
      </c>
      <c r="D75" s="1262">
        <v>44987576</v>
      </c>
      <c r="E75" s="440"/>
      <c r="F75" s="322"/>
    </row>
    <row r="76" spans="1:6">
      <c r="A76" s="1261" t="s">
        <v>64</v>
      </c>
      <c r="B76" s="1261" t="s">
        <v>670</v>
      </c>
      <c r="C76" s="1274" t="s">
        <v>674</v>
      </c>
      <c r="D76" s="1262">
        <v>1249773.2615673642</v>
      </c>
      <c r="E76" s="440"/>
      <c r="F76" s="322"/>
    </row>
    <row r="77" spans="1:6">
      <c r="A77" s="1261" t="s">
        <v>65</v>
      </c>
      <c r="B77" s="1261" t="s">
        <v>669</v>
      </c>
      <c r="C77" s="1274" t="s">
        <v>675</v>
      </c>
      <c r="D77" s="1262">
        <v>0</v>
      </c>
      <c r="E77" s="440"/>
      <c r="F77" s="322"/>
    </row>
    <row r="78" spans="1:6">
      <c r="A78" s="1256" t="s">
        <v>65</v>
      </c>
      <c r="B78" s="1256" t="s">
        <v>670</v>
      </c>
      <c r="C78" s="1256" t="s">
        <v>676</v>
      </c>
      <c r="D78" s="1264">
        <v>0</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1066083.4768652713</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0</v>
      </c>
      <c r="C90" s="322"/>
      <c r="D90" s="322"/>
      <c r="E90" s="322"/>
      <c r="F90" s="322"/>
    </row>
    <row r="91" spans="1:6">
      <c r="A91" s="1261" t="s">
        <v>67</v>
      </c>
      <c r="B91" s="1262">
        <v>10317.498965106259</v>
      </c>
      <c r="C91" s="322"/>
      <c r="D91" s="322"/>
      <c r="E91" s="322"/>
      <c r="F91" s="322"/>
    </row>
    <row r="92" spans="1:6">
      <c r="A92" s="1256" t="s">
        <v>68</v>
      </c>
      <c r="B92" s="1257">
        <v>15508.993266795425</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3344</v>
      </c>
      <c r="C97" s="322"/>
      <c r="D97" s="322"/>
      <c r="E97" s="322"/>
      <c r="F97" s="322"/>
    </row>
    <row r="98" spans="1:6">
      <c r="A98" s="1261" t="s">
        <v>71</v>
      </c>
      <c r="B98" s="1262">
        <v>4</v>
      </c>
      <c r="C98" s="322"/>
      <c r="D98" s="322"/>
      <c r="E98" s="322"/>
      <c r="F98" s="322"/>
    </row>
    <row r="99" spans="1:6">
      <c r="A99" s="1261" t="s">
        <v>72</v>
      </c>
      <c r="B99" s="1262">
        <v>160</v>
      </c>
      <c r="C99" s="322"/>
      <c r="D99" s="322"/>
      <c r="E99" s="322"/>
      <c r="F99" s="322"/>
    </row>
    <row r="100" spans="1:6">
      <c r="A100" s="1261" t="s">
        <v>73</v>
      </c>
      <c r="B100" s="1262">
        <v>517</v>
      </c>
      <c r="C100" s="322"/>
      <c r="D100" s="322"/>
      <c r="E100" s="322"/>
      <c r="F100" s="322"/>
    </row>
    <row r="101" spans="1:6">
      <c r="A101" s="1261" t="s">
        <v>74</v>
      </c>
      <c r="B101" s="1262">
        <v>132</v>
      </c>
      <c r="C101" s="322"/>
      <c r="D101" s="322"/>
      <c r="E101" s="322"/>
      <c r="F101" s="322"/>
    </row>
    <row r="102" spans="1:6">
      <c r="A102" s="1261" t="s">
        <v>75</v>
      </c>
      <c r="B102" s="1262">
        <v>110</v>
      </c>
      <c r="C102" s="322"/>
      <c r="D102" s="322"/>
      <c r="E102" s="322"/>
      <c r="F102" s="322"/>
    </row>
    <row r="103" spans="1:6">
      <c r="A103" s="1261" t="s">
        <v>76</v>
      </c>
      <c r="B103" s="1262">
        <v>145</v>
      </c>
      <c r="C103" s="322"/>
      <c r="D103" s="322"/>
      <c r="E103" s="322"/>
      <c r="F103" s="322"/>
    </row>
    <row r="104" spans="1:6">
      <c r="A104" s="1261" t="s">
        <v>77</v>
      </c>
      <c r="B104" s="1262">
        <v>6042</v>
      </c>
      <c r="C104" s="322"/>
      <c r="D104" s="322"/>
      <c r="E104" s="322"/>
      <c r="F104" s="322"/>
    </row>
    <row r="105" spans="1:6">
      <c r="A105" s="1256" t="s">
        <v>78</v>
      </c>
      <c r="B105" s="1264">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0</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33</v>
      </c>
      <c r="C123" s="1262">
        <v>40</v>
      </c>
      <c r="D123" s="322"/>
      <c r="E123" s="322"/>
      <c r="F123" s="322"/>
    </row>
    <row r="124" spans="1:6">
      <c r="A124" s="1261" t="s">
        <v>88</v>
      </c>
      <c r="B124" s="1262">
        <v>3</v>
      </c>
      <c r="C124" s="1262">
        <v>2</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443</v>
      </c>
      <c r="C129" s="322"/>
      <c r="D129" s="322"/>
      <c r="E129" s="322"/>
      <c r="F129" s="322"/>
    </row>
    <row r="130" spans="1:6">
      <c r="A130" s="1261" t="s">
        <v>284</v>
      </c>
      <c r="B130" s="1262">
        <v>0</v>
      </c>
      <c r="C130" s="322"/>
      <c r="D130" s="322"/>
      <c r="E130" s="322"/>
      <c r="F130" s="322"/>
    </row>
    <row r="131" spans="1:6">
      <c r="A131" s="1261" t="s">
        <v>285</v>
      </c>
      <c r="B131" s="1262">
        <v>3</v>
      </c>
      <c r="C131" s="322"/>
      <c r="D131" s="322"/>
      <c r="E131" s="322"/>
      <c r="F131" s="322"/>
    </row>
    <row r="132" spans="1:6">
      <c r="A132" s="1256" t="s">
        <v>286</v>
      </c>
      <c r="B132" s="1257">
        <v>35</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159901.52861940651</v>
      </c>
      <c r="C3" s="43" t="s">
        <v>163</v>
      </c>
      <c r="D3" s="43"/>
      <c r="E3" s="153"/>
      <c r="F3" s="43"/>
      <c r="G3" s="43"/>
      <c r="H3" s="43"/>
      <c r="I3" s="43"/>
      <c r="J3" s="43"/>
      <c r="K3" s="96"/>
    </row>
    <row r="4" spans="1:11">
      <c r="A4" s="349" t="s">
        <v>164</v>
      </c>
      <c r="B4" s="49">
        <f>IF(ISERROR('SEAP template'!B78+'SEAP template'!C78),0,'SEAP template'!B78+'SEAP template'!C78)</f>
        <v>25870.142231901686</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0</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0.1852448606801099</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0</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62.357142857142847</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2152.549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2152.549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0.1852448606801099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398.74863961210986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48207.377999999997</v>
      </c>
      <c r="C5" s="17">
        <f>IF(ISERROR('Eigen informatie GS &amp; warmtenet'!B57),0,'Eigen informatie GS &amp; warmtenet'!B57)</f>
        <v>0</v>
      </c>
      <c r="D5" s="30">
        <f>(SUM(HH_hh_gas_kWh,HH_rest_gas_kWh)/1000)*0.902</f>
        <v>118871.89925599999</v>
      </c>
      <c r="E5" s="17">
        <f>B32*B41</f>
        <v>2446.1305300684166</v>
      </c>
      <c r="F5" s="17">
        <f>B36*B45</f>
        <v>77167.786772702006</v>
      </c>
      <c r="G5" s="18"/>
      <c r="H5" s="17"/>
      <c r="I5" s="17"/>
      <c r="J5" s="17">
        <f>B35*B44+C35*C44</f>
        <v>1799.5498724172608</v>
      </c>
      <c r="K5" s="17"/>
      <c r="L5" s="17"/>
      <c r="M5" s="17"/>
      <c r="N5" s="17">
        <f>B34*B43+C34*C43</f>
        <v>14731.797467990453</v>
      </c>
      <c r="O5" s="17">
        <f>B52*B53*B54</f>
        <v>758.2166666666667</v>
      </c>
      <c r="P5" s="17">
        <f>B60*B61*B62/1000-B60*B61*B62/1000/B63</f>
        <v>1353.7333333333333</v>
      </c>
    </row>
    <row r="6" spans="1:16">
      <c r="A6" s="16" t="s">
        <v>593</v>
      </c>
      <c r="B6" s="717">
        <f>kWh_PV_kleiner_dan_10kW</f>
        <v>10317.498965106259</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58524.876965106254</v>
      </c>
      <c r="C8" s="21">
        <f>C5</f>
        <v>0</v>
      </c>
      <c r="D8" s="21">
        <f>D5</f>
        <v>118871.89925599999</v>
      </c>
      <c r="E8" s="21">
        <f>E5</f>
        <v>2446.1305300684166</v>
      </c>
      <c r="F8" s="21">
        <f>F5</f>
        <v>77167.786772702006</v>
      </c>
      <c r="G8" s="21"/>
      <c r="H8" s="21"/>
      <c r="I8" s="21"/>
      <c r="J8" s="21">
        <f>J5</f>
        <v>1799.5498724172608</v>
      </c>
      <c r="K8" s="21"/>
      <c r="L8" s="21">
        <f>L5</f>
        <v>0</v>
      </c>
      <c r="M8" s="21">
        <f>M5</f>
        <v>0</v>
      </c>
      <c r="N8" s="21">
        <f>N5</f>
        <v>14731.797467990453</v>
      </c>
      <c r="O8" s="21">
        <f>O5</f>
        <v>758.2166666666667</v>
      </c>
      <c r="P8" s="21">
        <f>P5</f>
        <v>1353.7333333333333</v>
      </c>
    </row>
    <row r="9" spans="1:16">
      <c r="B9" s="19"/>
      <c r="C9" s="19"/>
      <c r="D9" s="253"/>
      <c r="E9" s="19"/>
      <c r="F9" s="19"/>
      <c r="G9" s="19"/>
      <c r="H9" s="19"/>
      <c r="I9" s="19"/>
      <c r="J9" s="19"/>
      <c r="K9" s="19"/>
      <c r="L9" s="19"/>
      <c r="M9" s="19"/>
      <c r="N9" s="19"/>
      <c r="O9" s="19"/>
      <c r="P9" s="19"/>
    </row>
    <row r="10" spans="1:16">
      <c r="A10" s="24" t="s">
        <v>207</v>
      </c>
      <c r="B10" s="25">
        <f ca="1">'EF ele_warmte'!B12</f>
        <v>0.1852448606801099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10841.432679721682</v>
      </c>
      <c r="C12" s="23">
        <f ca="1">C10*C8</f>
        <v>0</v>
      </c>
      <c r="D12" s="23">
        <f>D8*D10</f>
        <v>24012.123649712001</v>
      </c>
      <c r="E12" s="23">
        <f>E10*E8</f>
        <v>555.27163032553062</v>
      </c>
      <c r="F12" s="23">
        <f>F10*F8</f>
        <v>20603.799068311437</v>
      </c>
      <c r="G12" s="23"/>
      <c r="H12" s="23"/>
      <c r="I12" s="23"/>
      <c r="J12" s="23">
        <f>J10*J8</f>
        <v>637.04065483571026</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12871</v>
      </c>
      <c r="C26" s="36"/>
      <c r="D26" s="224"/>
    </row>
    <row r="27" spans="1:5" s="15" customFormat="1">
      <c r="A27" s="226" t="s">
        <v>696</v>
      </c>
      <c r="B27" s="37">
        <f>SUM(HH_hh_gas_aantal,HH_rest_gas_aantal)</f>
        <v>8358</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7940.1</v>
      </c>
      <c r="C31" s="34" t="s">
        <v>104</v>
      </c>
      <c r="D31" s="170"/>
    </row>
    <row r="32" spans="1:5">
      <c r="A32" s="167" t="s">
        <v>72</v>
      </c>
      <c r="B32" s="33">
        <f>IF((B21*($B$26-($B$27-0.05*$B$27)-$B$60))&lt;0,0,B21*($B$26-($B$27-0.05*$B$27)-$B$60))</f>
        <v>30.642740863033893</v>
      </c>
      <c r="C32" s="34" t="s">
        <v>104</v>
      </c>
      <c r="D32" s="170"/>
    </row>
    <row r="33" spans="1:6">
      <c r="A33" s="167" t="s">
        <v>73</v>
      </c>
      <c r="B33" s="33">
        <f>IF((B22*($B$26-($B$27-0.05*$B$27)-$B$60))&lt;0,0,B22*($B$26-($B$27-0.05*$B$27)-$B$60))</f>
        <v>1067.0915531799162</v>
      </c>
      <c r="C33" s="34" t="s">
        <v>104</v>
      </c>
      <c r="D33" s="170"/>
    </row>
    <row r="34" spans="1:6">
      <c r="A34" s="167" t="s">
        <v>74</v>
      </c>
      <c r="B34" s="33">
        <f>IF((B24*($B$26-($B$27-0.05*$B$27)-$B$60))&lt;0,0,B24*($B$26-($B$27-0.05*$B$27)-$B$60))</f>
        <v>211.81295257248607</v>
      </c>
      <c r="C34" s="33">
        <f>B26*C24</f>
        <v>2633.4025124857262</v>
      </c>
      <c r="D34" s="229"/>
    </row>
    <row r="35" spans="1:6">
      <c r="A35" s="167" t="s">
        <v>76</v>
      </c>
      <c r="B35" s="33">
        <f>IF((B19*($B$26-($B$27-0.05*$B$27)-$B$60))&lt;0,0,B19*($B$26-($B$27-0.05*$B$27)-$B$60))</f>
        <v>103.48267304498225</v>
      </c>
      <c r="C35" s="33">
        <f>B35/2</f>
        <v>51.741336522491125</v>
      </c>
      <c r="D35" s="229"/>
    </row>
    <row r="36" spans="1:6">
      <c r="A36" s="167" t="s">
        <v>77</v>
      </c>
      <c r="B36" s="33">
        <f>IF((B18*($B$26-($B$27-0.05*$B$27)-$B$60))&lt;0,0,B18*($B$26-($B$27-0.05*$B$27)-$B$60))</f>
        <v>3446.8700803395827</v>
      </c>
      <c r="C36" s="34" t="s">
        <v>104</v>
      </c>
      <c r="D36" s="170"/>
    </row>
    <row r="37" spans="1:6">
      <c r="A37" s="167" t="s">
        <v>78</v>
      </c>
      <c r="B37" s="33">
        <f>B60</f>
        <v>71</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485</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71</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35906.14</v>
      </c>
      <c r="C5" s="17">
        <f>IF(ISERROR('Eigen informatie GS &amp; warmtenet'!B58),0,'Eigen informatie GS &amp; warmtenet'!B58)</f>
        <v>0</v>
      </c>
      <c r="D5" s="30">
        <f>SUM(D6:D12)</f>
        <v>42074.303238</v>
      </c>
      <c r="E5" s="17">
        <f>SUM(E6:E12)</f>
        <v>523.67364098287976</v>
      </c>
      <c r="F5" s="17">
        <f>SUM(F6:F12)</f>
        <v>8411.4104638476656</v>
      </c>
      <c r="G5" s="18"/>
      <c r="H5" s="17"/>
      <c r="I5" s="17"/>
      <c r="J5" s="17">
        <f>SUM(J6:J12)</f>
        <v>0</v>
      </c>
      <c r="K5" s="17"/>
      <c r="L5" s="17"/>
      <c r="M5" s="17"/>
      <c r="N5" s="17">
        <f>SUM(N6:N12)</f>
        <v>2556.0290807194024</v>
      </c>
      <c r="O5" s="17">
        <f>B38*B39*B40</f>
        <v>0</v>
      </c>
      <c r="P5" s="17">
        <f>B46*B47*B48/1000-B46*B47*B48/1000/B49</f>
        <v>57.2</v>
      </c>
      <c r="R5" s="32"/>
    </row>
    <row r="6" spans="1:18">
      <c r="A6" s="32" t="s">
        <v>53</v>
      </c>
      <c r="B6" s="37">
        <f>B26</f>
        <v>9792.2360000000008</v>
      </c>
      <c r="C6" s="33"/>
      <c r="D6" s="37">
        <f>IF(ISERROR(TER_kantoor_gas_kWh/1000),0,TER_kantoor_gas_kWh/1000)*0.902</f>
        <v>8712.7941339999998</v>
      </c>
      <c r="E6" s="33">
        <f>$C$26*'E Balans VL '!I12/100/3.6*1000000</f>
        <v>0.13732622219551055</v>
      </c>
      <c r="F6" s="33">
        <f>$C$26*('E Balans VL '!L12+'E Balans VL '!N12)/100/3.6*1000000</f>
        <v>1361.1047359103454</v>
      </c>
      <c r="G6" s="34"/>
      <c r="H6" s="33"/>
      <c r="I6" s="33"/>
      <c r="J6" s="33">
        <f>$C$26*('E Balans VL '!D12+'E Balans VL '!E12)/100/3.6*1000000</f>
        <v>0</v>
      </c>
      <c r="K6" s="33"/>
      <c r="L6" s="33"/>
      <c r="M6" s="33"/>
      <c r="N6" s="33">
        <f>$C$26*'E Balans VL '!Y12/100/3.6*1000000</f>
        <v>121.19637792154212</v>
      </c>
      <c r="O6" s="33"/>
      <c r="P6" s="33"/>
      <c r="R6" s="32"/>
    </row>
    <row r="7" spans="1:18">
      <c r="A7" s="32" t="s">
        <v>52</v>
      </c>
      <c r="B7" s="37">
        <f t="shared" ref="B7:B12" si="0">B27</f>
        <v>3317.1610000000001</v>
      </c>
      <c r="C7" s="33"/>
      <c r="D7" s="37">
        <f>IF(ISERROR(TER_horeca_gas_kWh/1000),0,TER_horeca_gas_kWh/1000)*0.902</f>
        <v>4076.3328320000005</v>
      </c>
      <c r="E7" s="33">
        <f>$C$27*'E Balans VL '!I9/100/3.6*1000000</f>
        <v>47.349952196754138</v>
      </c>
      <c r="F7" s="33">
        <f>$C$27*('E Balans VL '!L9+'E Balans VL '!N9)/100/3.6*1000000</f>
        <v>515.68515198340083</v>
      </c>
      <c r="G7" s="34"/>
      <c r="H7" s="33"/>
      <c r="I7" s="33"/>
      <c r="J7" s="33">
        <f>$C$27*('E Balans VL '!D9+'E Balans VL '!E9)/100/3.6*1000000</f>
        <v>0</v>
      </c>
      <c r="K7" s="33"/>
      <c r="L7" s="33"/>
      <c r="M7" s="33"/>
      <c r="N7" s="33">
        <f>$C$27*'E Balans VL '!Y9/100/3.6*1000000</f>
        <v>0.85478019694287199</v>
      </c>
      <c r="O7" s="33"/>
      <c r="P7" s="33"/>
      <c r="R7" s="32"/>
    </row>
    <row r="8" spans="1:18">
      <c r="A8" s="6" t="s">
        <v>51</v>
      </c>
      <c r="B8" s="37">
        <f t="shared" si="0"/>
        <v>11145.001</v>
      </c>
      <c r="C8" s="33"/>
      <c r="D8" s="37">
        <f>IF(ISERROR(TER_handel_gas_kWh/1000),0,TER_handel_gas_kWh/1000)*0.902</f>
        <v>8232.9057799999991</v>
      </c>
      <c r="E8" s="33">
        <f>$C$28*'E Balans VL '!I13/100/3.6*1000000</f>
        <v>301.642038683029</v>
      </c>
      <c r="F8" s="33">
        <f>$C$28*('E Balans VL '!L13+'E Balans VL '!N13)/100/3.6*1000000</f>
        <v>1730.6109794716415</v>
      </c>
      <c r="G8" s="34"/>
      <c r="H8" s="33"/>
      <c r="I8" s="33"/>
      <c r="J8" s="33">
        <f>$C$28*('E Balans VL '!D13+'E Balans VL '!E13)/100/3.6*1000000</f>
        <v>0</v>
      </c>
      <c r="K8" s="33"/>
      <c r="L8" s="33"/>
      <c r="M8" s="33"/>
      <c r="N8" s="33">
        <f>$C$28*'E Balans VL '!Y13/100/3.6*1000000</f>
        <v>90.304370375751006</v>
      </c>
      <c r="O8" s="33"/>
      <c r="P8" s="33"/>
      <c r="R8" s="32"/>
    </row>
    <row r="9" spans="1:18">
      <c r="A9" s="32" t="s">
        <v>50</v>
      </c>
      <c r="B9" s="37">
        <f t="shared" si="0"/>
        <v>4197.049</v>
      </c>
      <c r="C9" s="33"/>
      <c r="D9" s="37">
        <f>IF(ISERROR(TER_gezond_gas_kWh/1000),0,TER_gezond_gas_kWh/1000)*0.902</f>
        <v>11540.013012000001</v>
      </c>
      <c r="E9" s="33">
        <f>$C$29*'E Balans VL '!I10/100/3.6*1000000</f>
        <v>0.26189367586831541</v>
      </c>
      <c r="F9" s="33">
        <f>$C$29*('E Balans VL '!L10+'E Balans VL '!N10)/100/3.6*1000000</f>
        <v>543.34795462786497</v>
      </c>
      <c r="G9" s="34"/>
      <c r="H9" s="33"/>
      <c r="I9" s="33"/>
      <c r="J9" s="33">
        <f>$C$29*('E Balans VL '!D10+'E Balans VL '!E10)/100/3.6*1000000</f>
        <v>0</v>
      </c>
      <c r="K9" s="33"/>
      <c r="L9" s="33"/>
      <c r="M9" s="33"/>
      <c r="N9" s="33">
        <f>$C$29*'E Balans VL '!Y10/100/3.6*1000000</f>
        <v>34.411700461636954</v>
      </c>
      <c r="O9" s="33"/>
      <c r="P9" s="33"/>
      <c r="R9" s="32"/>
    </row>
    <row r="10" spans="1:18">
      <c r="A10" s="32" t="s">
        <v>49</v>
      </c>
      <c r="B10" s="37">
        <f t="shared" si="0"/>
        <v>5699.7330000000002</v>
      </c>
      <c r="C10" s="33"/>
      <c r="D10" s="37">
        <f>IF(ISERROR(TER_ander_gas_kWh/1000),0,TER_ander_gas_kWh/1000)*0.902</f>
        <v>3646.868082</v>
      </c>
      <c r="E10" s="33">
        <f>$C$30*'E Balans VL '!I14/100/3.6*1000000</f>
        <v>172.07227829908916</v>
      </c>
      <c r="F10" s="33">
        <f>$C$30*('E Balans VL '!L14+'E Balans VL '!N14)/100/3.6*1000000</f>
        <v>3608.7738150294736</v>
      </c>
      <c r="G10" s="34"/>
      <c r="H10" s="33"/>
      <c r="I10" s="33"/>
      <c r="J10" s="33">
        <f>$C$30*('E Balans VL '!D14+'E Balans VL '!E14)/100/3.6*1000000</f>
        <v>0</v>
      </c>
      <c r="K10" s="33"/>
      <c r="L10" s="33"/>
      <c r="M10" s="33"/>
      <c r="N10" s="33">
        <f>$C$30*'E Balans VL '!Y14/100/3.6*1000000</f>
        <v>2307.0395182007842</v>
      </c>
      <c r="O10" s="33"/>
      <c r="P10" s="33"/>
      <c r="R10" s="32"/>
    </row>
    <row r="11" spans="1:18">
      <c r="A11" s="32" t="s">
        <v>54</v>
      </c>
      <c r="B11" s="37">
        <f t="shared" si="0"/>
        <v>1754.96</v>
      </c>
      <c r="C11" s="33"/>
      <c r="D11" s="37">
        <f>IF(ISERROR(TER_onderwijs_gas_kWh/1000),0,TER_onderwijs_gas_kWh/1000)*0.902</f>
        <v>5865.3893980000003</v>
      </c>
      <c r="E11" s="33">
        <f>$C$31*'E Balans VL '!I11/100/3.6*1000000</f>
        <v>2.2101519059437145</v>
      </c>
      <c r="F11" s="33">
        <f>$C$31*('E Balans VL '!L11+'E Balans VL '!N11)/100/3.6*1000000</f>
        <v>651.88782682493888</v>
      </c>
      <c r="G11" s="34"/>
      <c r="H11" s="33"/>
      <c r="I11" s="33"/>
      <c r="J11" s="33">
        <f>$C$31*('E Balans VL '!D11+'E Balans VL '!E11)/100/3.6*1000000</f>
        <v>0</v>
      </c>
      <c r="K11" s="33"/>
      <c r="L11" s="33"/>
      <c r="M11" s="33"/>
      <c r="N11" s="33">
        <f>$C$31*'E Balans VL '!Y11/100/3.6*1000000</f>
        <v>2.2223335627449203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35906.14</v>
      </c>
      <c r="C16" s="21">
        <f t="shared" ca="1" si="1"/>
        <v>0</v>
      </c>
      <c r="D16" s="21">
        <f t="shared" ca="1" si="1"/>
        <v>42074.303238</v>
      </c>
      <c r="E16" s="21">
        <f t="shared" si="1"/>
        <v>523.67364098287976</v>
      </c>
      <c r="F16" s="21">
        <f t="shared" ca="1" si="1"/>
        <v>8411.4104638476656</v>
      </c>
      <c r="G16" s="21">
        <f t="shared" si="1"/>
        <v>0</v>
      </c>
      <c r="H16" s="21">
        <f t="shared" si="1"/>
        <v>0</v>
      </c>
      <c r="I16" s="21">
        <f t="shared" si="1"/>
        <v>0</v>
      </c>
      <c r="J16" s="21">
        <f t="shared" si="1"/>
        <v>0</v>
      </c>
      <c r="K16" s="21">
        <f t="shared" si="1"/>
        <v>0</v>
      </c>
      <c r="L16" s="21">
        <f t="shared" ca="1" si="1"/>
        <v>0</v>
      </c>
      <c r="M16" s="21">
        <f t="shared" si="1"/>
        <v>0</v>
      </c>
      <c r="N16" s="21">
        <f t="shared" ca="1" si="1"/>
        <v>2556.0290807194024</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0.1852448606801099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6651.4279018605212</v>
      </c>
      <c r="C20" s="23">
        <f t="shared" ref="C20:P20" ca="1" si="2">C16*C18</f>
        <v>0</v>
      </c>
      <c r="D20" s="23">
        <f t="shared" ca="1" si="2"/>
        <v>8499.0092540760015</v>
      </c>
      <c r="E20" s="23">
        <f t="shared" si="2"/>
        <v>118.8739165031137</v>
      </c>
      <c r="F20" s="23">
        <f t="shared" ca="1" si="2"/>
        <v>2245.8465938473269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9792.2360000000008</v>
      </c>
      <c r="C26" s="39">
        <f>IF(ISERROR(B26*3.6/1000000/'E Balans VL '!Z12*100),0,B26*3.6/1000000/'E Balans VL '!Z12*100)</f>
        <v>0.26597547827903328</v>
      </c>
      <c r="D26" s="232" t="s">
        <v>651</v>
      </c>
      <c r="F26" s="6"/>
    </row>
    <row r="27" spans="1:18">
      <c r="A27" s="227" t="s">
        <v>52</v>
      </c>
      <c r="B27" s="33">
        <f>IF(ISERROR(TER_horeca_ele_kWh/1000),0,TER_horeca_ele_kWh/1000)</f>
        <v>3317.1610000000001</v>
      </c>
      <c r="C27" s="39">
        <f>IF(ISERROR(B27*3.6/1000000/'E Balans VL '!Z9*100),0,B27*3.6/1000000/'E Balans VL '!Z9*100)</f>
        <v>0.26655972263617411</v>
      </c>
      <c r="D27" s="232" t="s">
        <v>651</v>
      </c>
      <c r="F27" s="6"/>
    </row>
    <row r="28" spans="1:18">
      <c r="A28" s="167" t="s">
        <v>51</v>
      </c>
      <c r="B28" s="33">
        <f>IF(ISERROR(TER_handel_ele_kWh/1000),0,TER_handel_ele_kWh/1000)</f>
        <v>11145.001</v>
      </c>
      <c r="C28" s="39">
        <f>IF(ISERROR(B28*3.6/1000000/'E Balans VL '!Z13*100),0,B28*3.6/1000000/'E Balans VL '!Z13*100)</f>
        <v>0.32916902991157215</v>
      </c>
      <c r="D28" s="232" t="s">
        <v>651</v>
      </c>
      <c r="F28" s="6"/>
    </row>
    <row r="29" spans="1:18">
      <c r="A29" s="227" t="s">
        <v>50</v>
      </c>
      <c r="B29" s="33">
        <f>IF(ISERROR(TER_gezond_ele_kWh/1000),0,TER_gezond_ele_kWh/1000)</f>
        <v>4197.049</v>
      </c>
      <c r="C29" s="39">
        <f>IF(ISERROR(B29*3.6/1000000/'E Balans VL '!Z10*100),0,B29*3.6/1000000/'E Balans VL '!Z10*100)</f>
        <v>0.47999967538928456</v>
      </c>
      <c r="D29" s="232" t="s">
        <v>651</v>
      </c>
      <c r="F29" s="6"/>
    </row>
    <row r="30" spans="1:18">
      <c r="A30" s="227" t="s">
        <v>49</v>
      </c>
      <c r="B30" s="33">
        <f>IF(ISERROR(TER_ander_ele_kWh/1000),0,TER_ander_ele_kWh/1000)</f>
        <v>5699.7330000000002</v>
      </c>
      <c r="C30" s="39">
        <f>IF(ISERROR(B30*3.6/1000000/'E Balans VL '!Z14*100),0,B30*3.6/1000000/'E Balans VL '!Z14*100)</f>
        <v>0.26636039912259102</v>
      </c>
      <c r="D30" s="232" t="s">
        <v>651</v>
      </c>
      <c r="F30" s="6"/>
    </row>
    <row r="31" spans="1:18">
      <c r="A31" s="227" t="s">
        <v>54</v>
      </c>
      <c r="B31" s="33">
        <f>IF(ISERROR(TER_onderwijs_ele_kWh/1000),0,TER_onderwijs_ele_kWh/1000)</f>
        <v>1754.96</v>
      </c>
      <c r="C31" s="39">
        <f>IF(ISERROR(B31*3.6/1000000/'E Balans VL '!Z11*100),0,B31*3.6/1000000/'E Balans VL '!Z11*100)</f>
        <v>0.4634297641738982</v>
      </c>
      <c r="D31" s="232" t="s">
        <v>651</v>
      </c>
    </row>
    <row r="32" spans="1:18">
      <c r="A32" s="227" t="s">
        <v>249</v>
      </c>
      <c r="B32" s="33">
        <f>IF(ISERROR(TER_rest_ele_kWh/1000),0,TER_rest_ele_kWh/1000)</f>
        <v>0</v>
      </c>
      <c r="C32" s="39">
        <f>IF(ISERROR(B32*3.6/1000000/'E Balans VL '!Z8*100),0,B32*3.6/1000000/'E Balans VL '!Z8*100)</f>
        <v>0</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0</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3</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60288.062999999995</v>
      </c>
      <c r="C5" s="17">
        <f>IF(ISERROR('Eigen informatie GS &amp; warmtenet'!B59),0,'Eigen informatie GS &amp; warmtenet'!B59)</f>
        <v>0</v>
      </c>
      <c r="D5" s="30">
        <f>SUM(D6:D15)</f>
        <v>125238.34424200002</v>
      </c>
      <c r="E5" s="17">
        <f>SUM(E6:E15)</f>
        <v>5782.8715410065133</v>
      </c>
      <c r="F5" s="17">
        <f>SUM(F6:F15)</f>
        <v>24643.840485585861</v>
      </c>
      <c r="G5" s="18"/>
      <c r="H5" s="17"/>
      <c r="I5" s="17"/>
      <c r="J5" s="17">
        <f>SUM(J6:J15)</f>
        <v>10.687429120436326</v>
      </c>
      <c r="K5" s="17"/>
      <c r="L5" s="17"/>
      <c r="M5" s="17"/>
      <c r="N5" s="17">
        <f>SUM(N6:N15)</f>
        <v>2834.8347218199374</v>
      </c>
      <c r="O5" s="17">
        <f>B43*B44*B45</f>
        <v>0</v>
      </c>
      <c r="P5" s="17">
        <f>B51*B52*B53/1000-B51*B52*B53/1000/B54</f>
        <v>0</v>
      </c>
      <c r="R5" s="32"/>
    </row>
    <row r="6" spans="1:18">
      <c r="A6" s="6" t="s">
        <v>34</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29471.456999999999</v>
      </c>
      <c r="C8" s="33"/>
      <c r="D8" s="37">
        <f>IF( ISERROR(IND_metaal_Gas_kWH/1000),0,IND_metaal_Gas_kWH/1000)*0.902</f>
        <v>50714.830936000006</v>
      </c>
      <c r="E8" s="33">
        <f>C30*'E Balans VL '!I18/100/3.6*1000000</f>
        <v>737.56742082029962</v>
      </c>
      <c r="F8" s="33">
        <f>C30*'E Balans VL '!L18/100/3.6*1000000+C30*'E Balans VL '!N18/100/3.6*1000000</f>
        <v>9236.5012223663853</v>
      </c>
      <c r="G8" s="34"/>
      <c r="H8" s="33"/>
      <c r="I8" s="33"/>
      <c r="J8" s="40">
        <f>C30*'E Balans VL '!D18/100/3.6*1000000+C30*'E Balans VL '!E18/100/3.6*1000000</f>
        <v>0</v>
      </c>
      <c r="K8" s="33"/>
      <c r="L8" s="33"/>
      <c r="M8" s="33"/>
      <c r="N8" s="33">
        <f>C30*'E Balans VL '!Y18/100/3.6*1000000</f>
        <v>740.39948494046712</v>
      </c>
      <c r="O8" s="33"/>
      <c r="P8" s="33"/>
      <c r="R8" s="32"/>
    </row>
    <row r="9" spans="1:18">
      <c r="A9" s="6" t="s">
        <v>32</v>
      </c>
      <c r="B9" s="37">
        <f t="shared" si="0"/>
        <v>18253.063999999998</v>
      </c>
      <c r="C9" s="33"/>
      <c r="D9" s="37">
        <f>IF( ISERROR(IND_andere_gas_kWh/1000),0,IND_andere_gas_kWh/1000)*0.902</f>
        <v>9028.0133679999999</v>
      </c>
      <c r="E9" s="33">
        <f>C31*'E Balans VL '!I19/100/3.6*1000000</f>
        <v>5018.8439495652765</v>
      </c>
      <c r="F9" s="33">
        <f>C31*'E Balans VL '!L19/100/3.6*1000000+C31*'E Balans VL '!N19/100/3.6*1000000</f>
        <v>14386.590693185075</v>
      </c>
      <c r="G9" s="34"/>
      <c r="H9" s="33"/>
      <c r="I9" s="33"/>
      <c r="J9" s="40">
        <f>C31*'E Balans VL '!D19/100/3.6*1000000+C31*'E Balans VL '!E19/100/3.6*1000000</f>
        <v>0</v>
      </c>
      <c r="K9" s="33"/>
      <c r="L9" s="33"/>
      <c r="M9" s="33"/>
      <c r="N9" s="33">
        <f>C31*'E Balans VL '!Y19/100/3.6*1000000</f>
        <v>1470.4783381081802</v>
      </c>
      <c r="O9" s="33"/>
      <c r="P9" s="33"/>
      <c r="R9" s="32"/>
    </row>
    <row r="10" spans="1:18">
      <c r="A10" s="6" t="s">
        <v>40</v>
      </c>
      <c r="B10" s="37">
        <f t="shared" si="0"/>
        <v>436.07</v>
      </c>
      <c r="C10" s="33"/>
      <c r="D10" s="37">
        <f>IF( ISERROR(IND_voed_gas_kWh/1000),0,IND_voed_gas_kWh/1000)*0.902</f>
        <v>853.64468199999999</v>
      </c>
      <c r="E10" s="33">
        <f>C32*'E Balans VL '!I20/100/3.6*1000000</f>
        <v>4.4454934176662295</v>
      </c>
      <c r="F10" s="33">
        <f>C32*'E Balans VL '!L20/100/3.6*1000000+C32*'E Balans VL '!N20/100/3.6*1000000</f>
        <v>823.73350264542432</v>
      </c>
      <c r="G10" s="34"/>
      <c r="H10" s="33"/>
      <c r="I10" s="33"/>
      <c r="J10" s="40">
        <f>C32*'E Balans VL '!D20/100/3.6*1000000+C32*'E Balans VL '!E20/100/3.6*1000000</f>
        <v>10.436581927499818</v>
      </c>
      <c r="K10" s="33"/>
      <c r="L10" s="33"/>
      <c r="M10" s="33"/>
      <c r="N10" s="33">
        <f>C32*'E Balans VL '!Y20/100/3.6*1000000</f>
        <v>229.85911910472811</v>
      </c>
      <c r="O10" s="33"/>
      <c r="P10" s="33"/>
      <c r="R10" s="32"/>
    </row>
    <row r="11" spans="1:18">
      <c r="A11" s="6" t="s">
        <v>39</v>
      </c>
      <c r="B11" s="37">
        <f t="shared" si="0"/>
        <v>1523.3989999999999</v>
      </c>
      <c r="C11" s="33"/>
      <c r="D11" s="37">
        <f>IF( ISERROR(IND_textiel_gas_kWh/1000),0,IND_textiel_gas_kWh/1000)*0.902</f>
        <v>3341.9109020000001</v>
      </c>
      <c r="E11" s="33">
        <f>C33*'E Balans VL '!I21/100/3.6*1000000</f>
        <v>4.037752623453998</v>
      </c>
      <c r="F11" s="33">
        <f>C33*'E Balans VL '!L21/100/3.6*1000000+C33*'E Balans VL '!N21/100/3.6*1000000</f>
        <v>68.036570843085713</v>
      </c>
      <c r="G11" s="34"/>
      <c r="H11" s="33"/>
      <c r="I11" s="33"/>
      <c r="J11" s="40">
        <f>C33*'E Balans VL '!D21/100/3.6*1000000+C33*'E Balans VL '!E21/100/3.6*1000000</f>
        <v>0</v>
      </c>
      <c r="K11" s="33"/>
      <c r="L11" s="33"/>
      <c r="M11" s="33"/>
      <c r="N11" s="33">
        <f>C33*'E Balans VL '!Y21/100/3.6*1000000</f>
        <v>14.356946585243456</v>
      </c>
      <c r="O11" s="33"/>
      <c r="P11" s="33"/>
      <c r="R11" s="32"/>
    </row>
    <row r="12" spans="1:18">
      <c r="A12" s="6" t="s">
        <v>36</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357.00618360583422</v>
      </c>
      <c r="O13" s="33"/>
      <c r="P13" s="33"/>
      <c r="R13" s="32"/>
    </row>
    <row r="14" spans="1:18">
      <c r="A14" s="6" t="s">
        <v>33</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259</v>
      </c>
      <c r="B15" s="37">
        <f t="shared" si="0"/>
        <v>59.792000000000002</v>
      </c>
      <c r="C15" s="33"/>
      <c r="D15" s="37">
        <f>IF( ISERROR(IND_rest_gas_kWh/1000),0,IND_rest_gas_kWh/1000)*0.902</f>
        <v>57621.769656000004</v>
      </c>
      <c r="E15" s="33">
        <f>C37*'E Balans VL '!I15/100/3.6*1000000</f>
        <v>3.0418050139619663</v>
      </c>
      <c r="F15" s="33">
        <f>C37*'E Balans VL '!L15/100/3.6*1000000+C37*'E Balans VL '!N15/100/3.6*1000000</f>
        <v>13.62884642706827</v>
      </c>
      <c r="G15" s="34"/>
      <c r="H15" s="33"/>
      <c r="I15" s="33"/>
      <c r="J15" s="40">
        <f>C37*'E Balans VL '!D15/100/3.6*1000000+C37*'E Balans VL '!E15/100/3.6*1000000</f>
        <v>0.25084719293650715</v>
      </c>
      <c r="K15" s="33"/>
      <c r="L15" s="33"/>
      <c r="M15" s="33"/>
      <c r="N15" s="33">
        <f>C37*'E Balans VL '!Y15/100/3.6*1000000</f>
        <v>3.2572885970371521</v>
      </c>
      <c r="O15" s="33"/>
      <c r="P15" s="33"/>
      <c r="R15" s="32"/>
    </row>
    <row r="16" spans="1:18">
      <c r="A16" s="16" t="s">
        <v>480</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60288.062999999995</v>
      </c>
      <c r="C18" s="21">
        <f>C5+C16</f>
        <v>0</v>
      </c>
      <c r="D18" s="21">
        <f>MAX((D5+D16),0)</f>
        <v>125238.34424200002</v>
      </c>
      <c r="E18" s="21">
        <f>MAX((E5+E16),0)</f>
        <v>5782.8715410065133</v>
      </c>
      <c r="F18" s="21">
        <f>MAX((F5+F16),0)</f>
        <v>24643.840485585861</v>
      </c>
      <c r="G18" s="21"/>
      <c r="H18" s="21"/>
      <c r="I18" s="21"/>
      <c r="J18" s="21">
        <f>MAX((J5+J16),0)</f>
        <v>10.687429120436326</v>
      </c>
      <c r="K18" s="21"/>
      <c r="L18" s="21">
        <f>MAX((L5+L16),0)</f>
        <v>0</v>
      </c>
      <c r="M18" s="21"/>
      <c r="N18" s="21">
        <f>MAX((N5+N16),0)</f>
        <v>2834.8347218199374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0.1852448606801099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11168.053831108688</v>
      </c>
      <c r="C22" s="23">
        <f ca="1">C18*C20</f>
        <v>0</v>
      </c>
      <c r="D22" s="23">
        <f>D18*D20</f>
        <v>25298.145536884007</v>
      </c>
      <c r="E22" s="23">
        <f>E18*E20</f>
        <v>1312.7118398084785</v>
      </c>
      <c r="F22" s="23">
        <f>F18*F20</f>
        <v>6579.9054096514255</v>
      </c>
      <c r="G22" s="23"/>
      <c r="H22" s="23"/>
      <c r="I22" s="23"/>
      <c r="J22" s="23">
        <f>J18*J20</f>
        <v>3.7833499086344591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29471.456999999999</v>
      </c>
      <c r="C30" s="39">
        <f>IF(ISERROR(B30*3.6/1000000/'E Balans VL '!Z18*100),0,B30*3.6/1000000/'E Balans VL '!Z18*100)</f>
        <v>4.1250218328453956</v>
      </c>
      <c r="D30" s="232" t="s">
        <v>651</v>
      </c>
    </row>
    <row r="31" spans="1:18">
      <c r="A31" s="6" t="s">
        <v>32</v>
      </c>
      <c r="B31" s="37">
        <f>IF( ISERROR(IND_ander_ele_kWh/1000),0,IND_ander_ele_kWh/1000)</f>
        <v>18253.063999999998</v>
      </c>
      <c r="C31" s="39">
        <f>IF(ISERROR(B31*3.6/1000000/'E Balans VL '!Z19*100),0,B31*3.6/1000000/'E Balans VL '!Z19*100)</f>
        <v>0.79893365021232754</v>
      </c>
      <c r="D31" s="232" t="s">
        <v>651</v>
      </c>
    </row>
    <row r="32" spans="1:18">
      <c r="A32" s="167" t="s">
        <v>40</v>
      </c>
      <c r="B32" s="37">
        <f>IF( ISERROR(IND_voed_ele_kWh/1000),0,IND_voed_ele_kWh/1000)</f>
        <v>436.07</v>
      </c>
      <c r="C32" s="39">
        <f>IF(ISERROR(B32*3.6/1000000/'E Balans VL '!Z20*100),0,B32*3.6/1000000/'E Balans VL '!Z20*100)</f>
        <v>0.1079564508295907</v>
      </c>
      <c r="D32" s="232" t="s">
        <v>651</v>
      </c>
    </row>
    <row r="33" spans="1:5">
      <c r="A33" s="167" t="s">
        <v>39</v>
      </c>
      <c r="B33" s="37">
        <f>IF( ISERROR(IND_textiel_ele_kWh/1000),0,IND_textiel_ele_kWh/1000)</f>
        <v>1523.3989999999999</v>
      </c>
      <c r="C33" s="39">
        <f>IF(ISERROR(B33*3.6/1000000/'E Balans VL '!Z21*100),0,B33*3.6/1000000/'E Balans VL '!Z21*100)</f>
        <v>0.1716602323793843</v>
      </c>
      <c r="D33" s="232" t="s">
        <v>651</v>
      </c>
    </row>
    <row r="34" spans="1:5">
      <c r="A34" s="167" t="s">
        <v>36</v>
      </c>
      <c r="B34" s="37">
        <f>IF( ISERROR(IND_min_ele_kWh/1000),0,IND_min_ele_kWh/1000)</f>
        <v>0</v>
      </c>
      <c r="C34" s="39">
        <f>IF(ISERROR(B34*3.6/1000000/'E Balans VL '!Z22*100),0,B34*3.6/1000000/'E Balans VL '!Z22*100)</f>
        <v>0</v>
      </c>
      <c r="D34" s="232" t="s">
        <v>651</v>
      </c>
    </row>
    <row r="35" spans="1:5">
      <c r="A35" s="167" t="s">
        <v>38</v>
      </c>
      <c r="B35" s="37">
        <f>IF( ISERROR(IND_papier_ele_kWh/1000),0,IND_papier_ele_kWh/1000)</f>
        <v>5147.5150000000003</v>
      </c>
      <c r="C35" s="39">
        <f>IF(ISERROR(B35*3.6/1000000/'E Balans VL '!Z22*100),0,B35*3.6/1000000/'E Balans VL '!Z22*100)</f>
        <v>0.14606547496747294</v>
      </c>
      <c r="D35" s="232" t="s">
        <v>651</v>
      </c>
    </row>
    <row r="36" spans="1:5">
      <c r="A36" s="167" t="s">
        <v>33</v>
      </c>
      <c r="B36" s="37">
        <f>IF( ISERROR(IND_chemie_ele_kWh/1000),0,IND_chemie_ele_kWh/1000)</f>
        <v>1140.059</v>
      </c>
      <c r="C36" s="39">
        <f>IF(ISERROR(B36*3.6/1000000/'E Balans VL '!Z24*100),0,B36*3.6/1000000/'E Balans VL '!Z24*100)</f>
        <v>2.9069764385858517E-2</v>
      </c>
      <c r="D36" s="232" t="s">
        <v>651</v>
      </c>
    </row>
    <row r="37" spans="1:5">
      <c r="A37" s="167" t="s">
        <v>259</v>
      </c>
      <c r="B37" s="37">
        <f>IF( ISERROR(IND_rest_ele_kWh/1000),0,IND_rest_ele_kWh/1000)</f>
        <v>59.792000000000002</v>
      </c>
      <c r="C37" s="39">
        <f>IF(ISERROR(B37*3.6/1000000/'E Balans VL '!Z15*100),0,B37*3.6/1000000/'E Balans VL '!Z15*100)</f>
        <v>4.4334744317641399E-4</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1898.4069999999999</v>
      </c>
      <c r="C5" s="17">
        <f>'Eigen informatie GS &amp; warmtenet'!B60</f>
        <v>0</v>
      </c>
      <c r="D5" s="30">
        <f>IF(ISERROR(SUM(LB_lb_gas_kWh,LB_rest_gas_kWh)/1000),0,SUM(LB_lb_gas_kWh,LB_rest_gas_kWh)/1000)*0.902</f>
        <v>1637.2220040000002</v>
      </c>
      <c r="E5" s="17">
        <f>B17*'E Balans VL '!I25/3.6*1000000/100</f>
        <v>40.708565293772743</v>
      </c>
      <c r="F5" s="17">
        <f>B17*('E Balans VL '!L25/3.6*1000000+'E Balans VL '!N25/3.6*1000000)/100</f>
        <v>6157.8239939937039</v>
      </c>
      <c r="G5" s="18"/>
      <c r="H5" s="17"/>
      <c r="I5" s="17"/>
      <c r="J5" s="17">
        <f>('E Balans VL '!D25+'E Balans VL '!E25)/3.6*1000000*landbouw!B17/100</f>
        <v>182.91251772089581</v>
      </c>
      <c r="K5" s="17"/>
      <c r="L5" s="17">
        <f>L6*(-1)</f>
        <v>0</v>
      </c>
      <c r="M5" s="17"/>
      <c r="N5" s="17">
        <f>N6*(-1)</f>
        <v>124.71428571428569</v>
      </c>
      <c r="O5" s="17"/>
      <c r="P5" s="17"/>
      <c r="R5" s="32"/>
    </row>
    <row r="6" spans="1:18">
      <c r="A6" s="16" t="s">
        <v>480</v>
      </c>
      <c r="B6" s="17" t="s">
        <v>204</v>
      </c>
      <c r="C6" s="17">
        <f>'lokale energieproductie'!O39+'lokale energieproductie'!O32</f>
        <v>62.357142857142847</v>
      </c>
      <c r="D6" s="300">
        <f>('lokale energieproductie'!P32+'lokale energieproductie'!P39)*(-1)</f>
        <v>0</v>
      </c>
      <c r="E6" s="243"/>
      <c r="F6" s="300">
        <f>('lokale energieproductie'!S32+'lokale energieproductie'!S868)*(-1)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1898.4069999999999</v>
      </c>
      <c r="C8" s="21">
        <f>C5+C6</f>
        <v>62.357142857142847</v>
      </c>
      <c r="D8" s="21">
        <f>MAX((D5+D6),0)</f>
        <v>1637.2220040000002</v>
      </c>
      <c r="E8" s="21">
        <f>MAX((E5+E6),0)</f>
        <v>40.708565293772743</v>
      </c>
      <c r="F8" s="21">
        <f>MAX((F5+F6),0)</f>
        <v>6157.8239939937039</v>
      </c>
      <c r="G8" s="21"/>
      <c r="H8" s="21"/>
      <c r="I8" s="21"/>
      <c r="J8" s="21">
        <f>MAX((J5+J6),0)</f>
        <v>182.91251772089581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0.1852448606801099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351.67014022914537</v>
      </c>
      <c r="C12" s="23">
        <f ca="1">C8*C10</f>
        <v>0</v>
      </c>
      <c r="D12" s="23">
        <f>D8*D10</f>
        <v>330.71884480800009</v>
      </c>
      <c r="E12" s="23">
        <f>E8*E10</f>
        <v>9.2408443216864136</v>
      </c>
      <c r="F12" s="23">
        <f>F8*F10</f>
        <v>1644.139006396319</v>
      </c>
      <c r="G12" s="23"/>
      <c r="H12" s="23"/>
      <c r="I12" s="23"/>
      <c r="J12" s="23">
        <f>J8*J10</f>
        <v>64.751031273197114</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0.2699132222138742</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491.52058696139642</v>
      </c>
      <c r="C26" s="242">
        <f>B26*'GWP N2O_CH4'!B5</f>
        <v>10321.932326189324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180.36560678573844</v>
      </c>
      <c r="C27" s="242">
        <f>B27*'GWP N2O_CH4'!B5</f>
        <v>3787.6777425005071</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9.2286233015710692</v>
      </c>
      <c r="C28" s="242">
        <f>B28*'GWP N2O_CH4'!B4</f>
        <v>2860.8732234870313</v>
      </c>
      <c r="D28" s="50"/>
    </row>
    <row r="29" spans="1:4">
      <c r="A29" s="41" t="s">
        <v>266</v>
      </c>
      <c r="B29" s="242">
        <f>B34*'ha_N2O bodem landbouw'!B4</f>
        <v>19.12456506938571</v>
      </c>
      <c r="C29" s="242">
        <f>B29*'GWP N2O_CH4'!B4</f>
        <v>5928.6151715095702</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4.2893030216647659E-3</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8.4973307104111524E-5</v>
      </c>
      <c r="C5" s="428" t="s">
        <v>204</v>
      </c>
      <c r="D5" s="413">
        <f>SUM(D6:D11)</f>
        <v>1.4191030771412228E-4</v>
      </c>
      <c r="E5" s="413">
        <f>SUM(E6:E11)</f>
        <v>1.3600709791262372E-3</v>
      </c>
      <c r="F5" s="426" t="s">
        <v>204</v>
      </c>
      <c r="G5" s="413">
        <f>SUM(G6:G11)</f>
        <v>0.43801352552508588</v>
      </c>
      <c r="H5" s="413">
        <f>SUM(H6:H11)</f>
        <v>8.6448978889486466E-2</v>
      </c>
      <c r="I5" s="428" t="s">
        <v>204</v>
      </c>
      <c r="J5" s="428" t="s">
        <v>204</v>
      </c>
      <c r="K5" s="428" t="s">
        <v>204</v>
      </c>
      <c r="L5" s="428" t="s">
        <v>204</v>
      </c>
      <c r="M5" s="413">
        <f>SUM(M6:M11)</f>
        <v>2.80317181578781E-2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5.7626452126606187E-5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8.7155788424755443E-5</v>
      </c>
      <c r="E6" s="819">
        <f>vkm_GW_PW*SUMIFS(TableVerdeelsleutelVkm[LPG],TableVerdeelsleutelVkm[Voertuigtype],"Lichte voertuigen")*SUMIFS(TableECFTransport[EnergieConsumptieFactor (PJ per km)],TableECFTransport[Index],CONCATENATE($A6,"_LPG_LPG"))</f>
        <v>8.5140654433284873E-4</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0.19768496958226806</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5.3845641767851643E-2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1.3103658118847178E-2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3.0020798761488384E-6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0.11522046412164628</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2.5818045792059402E-6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6.680232618196183E-3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2.4040127362885792E-5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5.4754519289366822E-5</v>
      </c>
      <c r="E8" s="416">
        <f>vkm_NGW_PW*SUMIFS(TableVerdeelsleutelVkm[LPG],TableVerdeelsleutelVkm[Voertuigtype],"Lichte voertuigen")*SUMIFS(TableECFTransport[EnergieConsumptieFactor (PJ per km)],TableECFTransport[Index],CONCATENATE($A8,"_LPG_LPG"))</f>
        <v>5.0866443479338861E-4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0.11008547179698763</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3.2600439077982678E-2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7.3768491147434409E-3</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3.0464773847070814E-7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1.5022620024183914E-2</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3.1623907294365082E-7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8.7097830609129468E-4</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23.603696417808756</v>
      </c>
      <c r="C14" s="21"/>
      <c r="D14" s="21">
        <f t="shared" ref="D14:M14" si="0">((D5)*10^9/3600)+D12</f>
        <v>39.419529920589525</v>
      </c>
      <c r="E14" s="21">
        <f t="shared" si="0"/>
        <v>377.7974942017326</v>
      </c>
      <c r="F14" s="21"/>
      <c r="G14" s="21">
        <f t="shared" si="0"/>
        <v>121670.4237569683</v>
      </c>
      <c r="H14" s="21">
        <f t="shared" si="0"/>
        <v>24013.605247079573</v>
      </c>
      <c r="I14" s="21"/>
      <c r="J14" s="21"/>
      <c r="K14" s="21"/>
      <c r="L14" s="21"/>
      <c r="M14" s="21">
        <f t="shared" si="0"/>
        <v>7786.5883771883609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0.1852448606801099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4.3724634544525918</v>
      </c>
      <c r="C18" s="23"/>
      <c r="D18" s="23">
        <f t="shared" ref="D18:M18" si="1">D14*D16</f>
        <v>7.9627450439590843</v>
      </c>
      <c r="E18" s="23">
        <f t="shared" si="1"/>
        <v>85.760031183793302</v>
      </c>
      <c r="F18" s="23"/>
      <c r="G18" s="23">
        <f t="shared" si="1"/>
        <v>32486.003143110538</v>
      </c>
      <c r="H18" s="23">
        <f t="shared" si="1"/>
        <v>5979.3877065228135</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7.0952248376910464E-5</v>
      </c>
      <c r="C50" s="311">
        <f t="shared" ref="C50:P50" si="2">SUM(C51:C52)</f>
        <v>0</v>
      </c>
      <c r="D50" s="311">
        <f t="shared" si="2"/>
        <v>0</v>
      </c>
      <c r="E50" s="311">
        <f t="shared" si="2"/>
        <v>0</v>
      </c>
      <c r="F50" s="311">
        <f t="shared" si="2"/>
        <v>0</v>
      </c>
      <c r="G50" s="311">
        <f t="shared" si="2"/>
        <v>1.3444515125169672E-2</v>
      </c>
      <c r="H50" s="311">
        <f t="shared" si="2"/>
        <v>0</v>
      </c>
      <c r="I50" s="311">
        <f t="shared" si="2"/>
        <v>0</v>
      </c>
      <c r="J50" s="311">
        <f t="shared" si="2"/>
        <v>0</v>
      </c>
      <c r="K50" s="311">
        <f t="shared" si="2"/>
        <v>0</v>
      </c>
      <c r="L50" s="311">
        <f t="shared" si="2"/>
        <v>0</v>
      </c>
      <c r="M50" s="311">
        <f t="shared" si="2"/>
        <v>7.739743312027077E-4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7.0952248376910464E-5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1.3444515125169672E-2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7.739743312027077E-4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19.708957882475126</v>
      </c>
      <c r="C54" s="21">
        <f t="shared" ref="C54:P54" si="3">(C50)*10^9/3600</f>
        <v>0</v>
      </c>
      <c r="D54" s="21">
        <f t="shared" si="3"/>
        <v>0</v>
      </c>
      <c r="E54" s="21">
        <f t="shared" si="3"/>
        <v>0</v>
      </c>
      <c r="F54" s="21">
        <f t="shared" si="3"/>
        <v>0</v>
      </c>
      <c r="G54" s="21">
        <f t="shared" si="3"/>
        <v>3734.5875347693532</v>
      </c>
      <c r="H54" s="21">
        <f t="shared" si="3"/>
        <v>0</v>
      </c>
      <c r="I54" s="21">
        <f t="shared" si="3"/>
        <v>0</v>
      </c>
      <c r="J54" s="21">
        <f t="shared" si="3"/>
        <v>0</v>
      </c>
      <c r="K54" s="21">
        <f t="shared" si="3"/>
        <v>0</v>
      </c>
      <c r="L54" s="21">
        <f t="shared" si="3"/>
        <v>0</v>
      </c>
      <c r="M54" s="21">
        <f t="shared" si="3"/>
        <v>214.99286977852992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0.1852448606801099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3.6509831570892586</v>
      </c>
      <c r="C58" s="23">
        <f t="shared" ref="C58:P58" ca="1" si="4">C54*C56</f>
        <v>0</v>
      </c>
      <c r="D58" s="23">
        <f t="shared" si="4"/>
        <v>0</v>
      </c>
      <c r="E58" s="23">
        <f t="shared" si="4"/>
        <v>0</v>
      </c>
      <c r="F58" s="23">
        <f t="shared" si="4"/>
        <v>0</v>
      </c>
      <c r="G58" s="23">
        <f t="shared" si="4"/>
        <v>997.13487178341734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0</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25826.492231901684</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N29</f>
        <v>43.649999999999991</v>
      </c>
      <c r="C8" s="535">
        <f>B48</f>
        <v>0</v>
      </c>
      <c r="D8" s="974"/>
      <c r="E8" s="974">
        <f>E48</f>
        <v>0</v>
      </c>
      <c r="F8" s="975"/>
      <c r="G8" s="536"/>
      <c r="H8" s="974">
        <f>I48</f>
        <v>0</v>
      </c>
      <c r="I8" s="974">
        <f>G48+F48</f>
        <v>0</v>
      </c>
      <c r="J8" s="974">
        <f>H48+D48+C48</f>
        <v>51.35294117647058</v>
      </c>
      <c r="K8" s="974"/>
      <c r="L8" s="974"/>
      <c r="M8" s="974"/>
      <c r="N8" s="537"/>
      <c r="O8" s="538">
        <f>C8*$C$12+D8*$D$12+E8*$E$12+F8*$F$12+G8*$G$12+H8*$H$12+I8*$I$12+J8*$J$12</f>
        <v>0</v>
      </c>
      <c r="P8" s="1218"/>
      <c r="Q8" s="1219"/>
      <c r="S8" s="938"/>
      <c r="T8" s="1193"/>
      <c r="U8" s="1193"/>
    </row>
    <row r="9" spans="1:21" s="524" customFormat="1" ht="17.45" customHeight="1" thickBot="1">
      <c r="A9" s="539" t="s">
        <v>237</v>
      </c>
      <c r="B9" s="540">
        <f>N36+'Eigen informatie GS &amp; warmtenet'!B12</f>
        <v>0</v>
      </c>
      <c r="C9" s="54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25870.142231901686</v>
      </c>
      <c r="C10" s="548">
        <f t="shared" ref="C10:L10" si="0">SUM(C8:C9)</f>
        <v>0</v>
      </c>
      <c r="D10" s="548">
        <f t="shared" si="0"/>
        <v>0</v>
      </c>
      <c r="E10" s="548">
        <f t="shared" si="0"/>
        <v>0</v>
      </c>
      <c r="F10" s="548">
        <f t="shared" si="0"/>
        <v>0</v>
      </c>
      <c r="G10" s="548">
        <f t="shared" si="0"/>
        <v>0</v>
      </c>
      <c r="H10" s="548">
        <f t="shared" si="0"/>
        <v>0</v>
      </c>
      <c r="I10" s="548">
        <f t="shared" si="0"/>
        <v>0</v>
      </c>
      <c r="J10" s="548">
        <f t="shared" si="0"/>
        <v>51.35294117647058</v>
      </c>
      <c r="K10" s="548">
        <f t="shared" si="0"/>
        <v>0</v>
      </c>
      <c r="L10" s="548">
        <f t="shared" si="0"/>
        <v>0</v>
      </c>
      <c r="M10" s="977"/>
      <c r="N10" s="977"/>
      <c r="O10" s="549">
        <f>SUM(O4:O9)</f>
        <v>0</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O29</f>
        <v>62.357142857142847</v>
      </c>
      <c r="C17" s="560">
        <f>B49</f>
        <v>0</v>
      </c>
      <c r="D17" s="561"/>
      <c r="E17" s="561">
        <f>E49</f>
        <v>0</v>
      </c>
      <c r="F17" s="980"/>
      <c r="G17" s="562"/>
      <c r="H17" s="560">
        <f>I49</f>
        <v>0</v>
      </c>
      <c r="I17" s="561">
        <f>G49+F49</f>
        <v>0</v>
      </c>
      <c r="J17" s="561">
        <f>H49+D49+C49</f>
        <v>73.361344537815114</v>
      </c>
      <c r="K17" s="561"/>
      <c r="L17" s="561"/>
      <c r="M17" s="561"/>
      <c r="N17" s="981"/>
      <c r="O17" s="563">
        <f>C17*$C$22+E17*$E$22+H17*$H$22+I17*$I$22+J17*$J$22+D17*$D$22+F17*$F$22+G17*$G$22+K17*$K$22+L17*$L$22</f>
        <v>0</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62.357142857142847</v>
      </c>
      <c r="C20" s="547">
        <f>SUM(C17:C19)</f>
        <v>0</v>
      </c>
      <c r="D20" s="547">
        <f t="shared" ref="D20:L20" si="1">SUM(D17:D19)</f>
        <v>0</v>
      </c>
      <c r="E20" s="547">
        <f t="shared" si="1"/>
        <v>0</v>
      </c>
      <c r="F20" s="547">
        <f t="shared" si="1"/>
        <v>0</v>
      </c>
      <c r="G20" s="547">
        <f t="shared" si="1"/>
        <v>0</v>
      </c>
      <c r="H20" s="547">
        <f t="shared" si="1"/>
        <v>0</v>
      </c>
      <c r="I20" s="547">
        <f t="shared" si="1"/>
        <v>0</v>
      </c>
      <c r="J20" s="547">
        <f t="shared" si="1"/>
        <v>73.361344537815114</v>
      </c>
      <c r="K20" s="547">
        <f t="shared" si="1"/>
        <v>0</v>
      </c>
      <c r="L20" s="547">
        <f t="shared" si="1"/>
        <v>0</v>
      </c>
      <c r="M20" s="547"/>
      <c r="N20" s="547"/>
      <c r="O20" s="566">
        <f>SUM(O17:O19)</f>
        <v>0</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25.5" hidden="1">
      <c r="A28" s="570"/>
      <c r="B28" s="725">
        <v>72029</v>
      </c>
      <c r="C28" s="725">
        <v>3900</v>
      </c>
      <c r="D28" s="618"/>
      <c r="E28" s="617"/>
      <c r="F28" s="617"/>
      <c r="G28" s="617" t="s">
        <v>904</v>
      </c>
      <c r="H28" s="617" t="s">
        <v>905</v>
      </c>
      <c r="I28" s="617"/>
      <c r="J28" s="724"/>
      <c r="K28" s="724"/>
      <c r="L28" s="617" t="s">
        <v>906</v>
      </c>
      <c r="M28" s="617">
        <v>9.6999999999999993</v>
      </c>
      <c r="N28" s="617">
        <v>43.649999999999991</v>
      </c>
      <c r="O28" s="617">
        <v>62.357142857142847</v>
      </c>
      <c r="P28" s="617">
        <v>0</v>
      </c>
      <c r="Q28" s="617">
        <v>124.71428571428569</v>
      </c>
      <c r="R28" s="617">
        <v>0</v>
      </c>
      <c r="S28" s="617">
        <v>0</v>
      </c>
      <c r="T28" s="617">
        <v>0</v>
      </c>
      <c r="U28" s="617">
        <v>0</v>
      </c>
      <c r="V28" s="617">
        <v>0</v>
      </c>
      <c r="W28" s="617">
        <v>0</v>
      </c>
      <c r="X28" s="617"/>
      <c r="Y28" s="617">
        <v>10</v>
      </c>
      <c r="Z28" s="617" t="s">
        <v>105</v>
      </c>
      <c r="AA28" s="619" t="s">
        <v>105</v>
      </c>
    </row>
    <row r="29" spans="1:27" s="555" customFormat="1" hidden="1">
      <c r="A29" s="573" t="s">
        <v>269</v>
      </c>
      <c r="B29" s="574"/>
      <c r="C29" s="574"/>
      <c r="D29" s="574"/>
      <c r="E29" s="574"/>
      <c r="F29" s="574"/>
      <c r="G29" s="574"/>
      <c r="H29" s="574"/>
      <c r="I29" s="574"/>
      <c r="J29" s="574"/>
      <c r="K29" s="574"/>
      <c r="L29" s="575"/>
      <c r="M29" s="575">
        <f>SUM(M28:M28)</f>
        <v>9.6999999999999993</v>
      </c>
      <c r="N29" s="575">
        <f>SUM(N28:N28)</f>
        <v>43.649999999999991</v>
      </c>
      <c r="O29" s="575">
        <f>SUM(O28:O28)</f>
        <v>62.357142857142847</v>
      </c>
      <c r="P29" s="575">
        <f>SUM(P28:P28)</f>
        <v>0</v>
      </c>
      <c r="Q29" s="575">
        <f>SUM(Q28:Q28)</f>
        <v>124.71428571428569</v>
      </c>
      <c r="R29" s="575">
        <f>SUM(R28:R28)</f>
        <v>0</v>
      </c>
      <c r="S29" s="575">
        <f>SUM(S28:S28)</f>
        <v>0</v>
      </c>
      <c r="T29" s="575">
        <f>SUM(T28:T28)</f>
        <v>0</v>
      </c>
      <c r="U29" s="575">
        <f>SUM(U28:U28)</f>
        <v>0</v>
      </c>
      <c r="V29" s="575">
        <f>SUM(V28:V28)</f>
        <v>0</v>
      </c>
      <c r="W29" s="575">
        <f>SUM(W28:W28)</f>
        <v>0</v>
      </c>
      <c r="X29" s="575"/>
      <c r="Y29" s="576"/>
      <c r="Z29" s="576"/>
      <c r="AA29" s="577"/>
    </row>
    <row r="30" spans="1:27" s="555" customFormat="1">
      <c r="A30" s="573" t="s">
        <v>276</v>
      </c>
      <c r="B30" s="574"/>
      <c r="C30" s="574"/>
      <c r="D30" s="574"/>
      <c r="E30" s="574"/>
      <c r="F30" s="574"/>
      <c r="G30" s="574"/>
      <c r="H30" s="574"/>
      <c r="I30" s="574"/>
      <c r="J30" s="574"/>
      <c r="K30" s="574"/>
      <c r="L30" s="575"/>
      <c r="M30" s="575">
        <f>SUMIF($AA$28:$AA$28,"industrie",M28:M28)</f>
        <v>0</v>
      </c>
      <c r="N30" s="575">
        <f>SUMIF($AA$28:$AA$28,"industrie",N28:N28)</f>
        <v>0</v>
      </c>
      <c r="O30" s="575">
        <f>SUMIF($AA$28:$AA$28,"industrie",O28:O28)</f>
        <v>0</v>
      </c>
      <c r="P30" s="575">
        <f>SUMIF($AA$28:$AA$28,"industrie",P28:P28)</f>
        <v>0</v>
      </c>
      <c r="Q30" s="575">
        <f>SUMIF($AA$28:$AA$28,"industrie",Q28:Q28)</f>
        <v>0</v>
      </c>
      <c r="R30" s="575">
        <f>SUMIF($AA$28:$AA$28,"industrie",R28:R28)</f>
        <v>0</v>
      </c>
      <c r="S30" s="575">
        <f>SUMIF($AA$28:$AA$28,"industrie",S28:S28)</f>
        <v>0</v>
      </c>
      <c r="T30" s="575">
        <f>SUMIF($AA$28:$AA$28,"industrie",T28:T28)</f>
        <v>0</v>
      </c>
      <c r="U30" s="575">
        <f>SUMIF($AA$28:$AA$28,"industrie",U28:U28)</f>
        <v>0</v>
      </c>
      <c r="V30" s="575">
        <f>SUMIF($AA$28:$AA$28,"industrie",V28:V28)</f>
        <v>0</v>
      </c>
      <c r="W30" s="575">
        <f>SUMIF($AA$28:$AA$28,"industrie",W28:W28)</f>
        <v>0</v>
      </c>
      <c r="X30" s="575"/>
      <c r="Y30" s="576"/>
      <c r="Z30" s="576"/>
      <c r="AA30" s="577"/>
    </row>
    <row r="31" spans="1:27" s="555" customFormat="1">
      <c r="A31" s="573" t="s">
        <v>277</v>
      </c>
      <c r="B31" s="574"/>
      <c r="C31" s="574"/>
      <c r="D31" s="574"/>
      <c r="E31" s="574"/>
      <c r="F31" s="574"/>
      <c r="G31" s="574"/>
      <c r="H31" s="574"/>
      <c r="I31" s="574"/>
      <c r="J31" s="574"/>
      <c r="K31" s="574"/>
      <c r="L31" s="575"/>
      <c r="M31" s="575">
        <f ca="1">SUMIF($AA$28:AD28,"tertiair",M28:M28)</f>
        <v>0</v>
      </c>
      <c r="N31" s="575">
        <f ca="1">SUMIF($AA$28:AE28,"tertiair",N28:N28)</f>
        <v>0</v>
      </c>
      <c r="O31" s="575">
        <f ca="1">SUMIF($AA$28:AF28,"tertiair",O28:O28)</f>
        <v>0</v>
      </c>
      <c r="P31" s="575">
        <f ca="1">SUMIF($AA$28:AG28,"tertiair",P28:P28)</f>
        <v>0</v>
      </c>
      <c r="Q31" s="575">
        <f ca="1">SUMIF($AA$28:AH28,"tertiair",Q28:Q28)</f>
        <v>0</v>
      </c>
      <c r="R31" s="575">
        <f ca="1">SUMIF($AA$28:AI28,"tertiair",R28:R28)</f>
        <v>0</v>
      </c>
      <c r="S31" s="575">
        <f ca="1">SUMIF($AA$28:AJ28,"tertiair",S28:S28)</f>
        <v>0</v>
      </c>
      <c r="T31" s="575">
        <f ca="1">SUMIF($AA$28:AK28,"tertiair",T28:T28)</f>
        <v>0</v>
      </c>
      <c r="U31" s="575">
        <f ca="1">SUMIF($AA$28:AL28,"tertiair",U28:U28)</f>
        <v>0</v>
      </c>
      <c r="V31" s="575">
        <f ca="1">SUMIF($AA$28:AM28,"tertiair",V28:V28)</f>
        <v>0</v>
      </c>
      <c r="W31" s="575">
        <f ca="1">SUMIF($AA$28:AN28,"tertiair",W28:W28)</f>
        <v>0</v>
      </c>
      <c r="X31" s="575"/>
      <c r="Y31" s="576"/>
      <c r="Z31" s="576"/>
      <c r="AA31" s="577"/>
    </row>
    <row r="32" spans="1:27" s="555" customFormat="1" ht="15.75" thickBot="1">
      <c r="A32" s="578" t="s">
        <v>278</v>
      </c>
      <c r="B32" s="579"/>
      <c r="C32" s="579"/>
      <c r="D32" s="579"/>
      <c r="E32" s="579"/>
      <c r="F32" s="579"/>
      <c r="G32" s="579"/>
      <c r="H32" s="579"/>
      <c r="I32" s="579"/>
      <c r="J32" s="579"/>
      <c r="K32" s="579"/>
      <c r="L32" s="580"/>
      <c r="M32" s="580">
        <f>SUMIF($AA$28:$AA$28,"landbouw",M28:M28)</f>
        <v>9.6999999999999993</v>
      </c>
      <c r="N32" s="580">
        <f>SUMIF($AA$28:$AA$28,"landbouw",N28:N28)</f>
        <v>43.649999999999991</v>
      </c>
      <c r="O32" s="580">
        <f>SUMIF($AA$28:$AA$28,"landbouw",O28:O28)</f>
        <v>62.357142857142847</v>
      </c>
      <c r="P32" s="580">
        <f>SUMIF($AA$28:$AA$28,"landbouw",P28:P28)</f>
        <v>0</v>
      </c>
      <c r="Q32" s="580">
        <f>SUMIF($AA$28:$AA$28,"landbouw",Q28:Q28)</f>
        <v>124.71428571428569</v>
      </c>
      <c r="R32" s="580">
        <f>SUMIF($AA$28:$AA$28,"landbouw",R28:R28)</f>
        <v>0</v>
      </c>
      <c r="S32" s="580">
        <f>SUMIF($AA$28:$AA$28,"landbouw",S28:S28)</f>
        <v>0</v>
      </c>
      <c r="T32" s="580">
        <f>SUMIF($AA$28:$AA$28,"landbouw",T28:T28)</f>
        <v>0</v>
      </c>
      <c r="U32" s="580">
        <f>SUMIF($AA$28:$AA$28,"landbouw",U28:U28)</f>
        <v>0</v>
      </c>
      <c r="V32" s="580">
        <f>SUMIF($AA$28:$AA$28,"landbouw",V28:V28)</f>
        <v>0</v>
      </c>
      <c r="W32" s="580">
        <f>SUMIF($AA$28:$AA$28,"landbouw",W28:W28)</f>
        <v>0</v>
      </c>
      <c r="X32" s="580"/>
      <c r="Y32" s="581"/>
      <c r="Z32" s="581"/>
      <c r="AA32" s="582"/>
    </row>
    <row r="33" spans="1:28" s="524" customFormat="1" ht="15.75" thickBot="1">
      <c r="A33" s="583"/>
      <c r="B33" s="584"/>
      <c r="C33" s="584"/>
      <c r="D33" s="584"/>
      <c r="E33" s="584"/>
      <c r="F33" s="584"/>
      <c r="G33" s="584"/>
      <c r="H33" s="584"/>
      <c r="I33" s="584"/>
      <c r="J33" s="584"/>
      <c r="K33" s="584"/>
      <c r="L33" s="567"/>
      <c r="M33" s="567"/>
      <c r="N33" s="567"/>
      <c r="O33" s="568"/>
      <c r="P33" s="568"/>
    </row>
    <row r="34" spans="1:28" s="524" customFormat="1" ht="45">
      <c r="A34" s="585" t="s">
        <v>270</v>
      </c>
      <c r="B34" s="614" t="s">
        <v>89</v>
      </c>
      <c r="C34" s="614" t="s">
        <v>90</v>
      </c>
      <c r="D34" s="614"/>
      <c r="E34" s="614"/>
      <c r="F34" s="614"/>
      <c r="G34" s="614" t="s">
        <v>91</v>
      </c>
      <c r="H34" s="614" t="s">
        <v>92</v>
      </c>
      <c r="I34" s="614"/>
      <c r="J34" s="614"/>
      <c r="K34" s="614"/>
      <c r="L34" s="614" t="s">
        <v>93</v>
      </c>
      <c r="M34" s="615" t="s">
        <v>287</v>
      </c>
      <c r="N34" s="615" t="s">
        <v>94</v>
      </c>
      <c r="O34" s="615" t="s">
        <v>95</v>
      </c>
      <c r="P34" s="615" t="s">
        <v>529</v>
      </c>
      <c r="Q34" s="615" t="s">
        <v>96</v>
      </c>
      <c r="R34" s="615" t="s">
        <v>97</v>
      </c>
      <c r="S34" s="615" t="s">
        <v>98</v>
      </c>
      <c r="T34" s="615" t="s">
        <v>99</v>
      </c>
      <c r="U34" s="615" t="s">
        <v>100</v>
      </c>
      <c r="V34" s="615" t="s">
        <v>101</v>
      </c>
      <c r="W34" s="614" t="s">
        <v>102</v>
      </c>
      <c r="X34" s="614" t="s">
        <v>903</v>
      </c>
      <c r="Y34" s="614" t="s">
        <v>288</v>
      </c>
      <c r="Z34" s="614" t="s">
        <v>103</v>
      </c>
      <c r="AA34" s="616" t="s">
        <v>289</v>
      </c>
    </row>
    <row r="35" spans="1:28" s="586" customFormat="1" ht="12.75" hidden="1">
      <c r="A35" s="572"/>
      <c r="B35" s="725"/>
      <c r="C35" s="725"/>
      <c r="D35" s="620"/>
      <c r="E35" s="620"/>
      <c r="F35" s="620"/>
      <c r="G35" s="620"/>
      <c r="H35" s="620"/>
      <c r="I35" s="620"/>
      <c r="J35" s="724"/>
      <c r="K35" s="724"/>
      <c r="L35" s="620"/>
      <c r="M35" s="620"/>
      <c r="N35" s="620"/>
      <c r="O35" s="620"/>
      <c r="P35" s="620"/>
      <c r="Q35" s="620"/>
      <c r="R35" s="620"/>
      <c r="S35" s="620"/>
      <c r="T35" s="620"/>
      <c r="U35" s="620"/>
      <c r="V35" s="620"/>
      <c r="W35" s="620"/>
      <c r="X35" s="620"/>
      <c r="Y35" s="620"/>
      <c r="Z35" s="620"/>
      <c r="AA35" s="621"/>
    </row>
    <row r="36" spans="1:28" s="555" customFormat="1" hidden="1">
      <c r="A36" s="573" t="s">
        <v>269</v>
      </c>
      <c r="B36" s="574"/>
      <c r="C36" s="574"/>
      <c r="D36" s="574"/>
      <c r="E36" s="574"/>
      <c r="F36" s="574"/>
      <c r="G36" s="574"/>
      <c r="H36" s="574"/>
      <c r="I36" s="574"/>
      <c r="J36" s="574"/>
      <c r="K36" s="574"/>
      <c r="L36" s="575"/>
      <c r="M36" s="575">
        <f>SUM(M35:M35)</f>
        <v>0</v>
      </c>
      <c r="N36" s="575">
        <f>SUM(N35:N35)</f>
        <v>0</v>
      </c>
      <c r="O36" s="575">
        <f>SUM(O35:O35)</f>
        <v>0</v>
      </c>
      <c r="P36" s="575">
        <f>SUM(P35:P35)</f>
        <v>0</v>
      </c>
      <c r="Q36" s="575">
        <f>SUM(Q35:Q35)</f>
        <v>0</v>
      </c>
      <c r="R36" s="575">
        <f>SUM(R35:R35)</f>
        <v>0</v>
      </c>
      <c r="S36" s="575">
        <f>SUM(S35:S35)</f>
        <v>0</v>
      </c>
      <c r="T36" s="575">
        <f>SUM(T35:T35)</f>
        <v>0</v>
      </c>
      <c r="U36" s="575">
        <f>SUM(U35:U35)</f>
        <v>0</v>
      </c>
      <c r="V36" s="575">
        <f>SUM(V35:V35)</f>
        <v>0</v>
      </c>
      <c r="W36" s="575">
        <f>SUM(W35:W35)</f>
        <v>0</v>
      </c>
      <c r="X36" s="575"/>
      <c r="Y36" s="576"/>
      <c r="Z36" s="576"/>
      <c r="AA36" s="577"/>
    </row>
    <row r="37" spans="1:28" s="555" customFormat="1">
      <c r="A37" s="573" t="s">
        <v>276</v>
      </c>
      <c r="B37" s="574"/>
      <c r="C37" s="574"/>
      <c r="D37" s="574"/>
      <c r="E37" s="574"/>
      <c r="F37" s="574"/>
      <c r="G37" s="574"/>
      <c r="H37" s="574"/>
      <c r="I37" s="574"/>
      <c r="J37" s="574"/>
      <c r="K37" s="574"/>
      <c r="L37" s="575"/>
      <c r="M37" s="575">
        <f>SUMIF($AA$35:$AA$35,"industrie",M35:M35)</f>
        <v>0</v>
      </c>
      <c r="N37" s="575">
        <f>SUMIF($AA$35:$AA$35,"industrie",N35:N35)</f>
        <v>0</v>
      </c>
      <c r="O37" s="575">
        <f>SUMIF($AA$35:$AA$35,"industrie",O35:O35)</f>
        <v>0</v>
      </c>
      <c r="P37" s="575">
        <f>SUMIF($AA$35:$AA$35,"industrie",P35:P35)</f>
        <v>0</v>
      </c>
      <c r="Q37" s="575">
        <f>SUMIF($AA$35:$AA$35,"industrie",Q35:Q35)</f>
        <v>0</v>
      </c>
      <c r="R37" s="575">
        <f>SUMIF($AA$35:$AA$35,"industrie",R35:R35)</f>
        <v>0</v>
      </c>
      <c r="S37" s="575">
        <f>SUMIF($AA$35:$AA$35,"industrie",S35:S35)</f>
        <v>0</v>
      </c>
      <c r="T37" s="575">
        <f>SUMIF($AA$35:$AA$35,"industrie",T35:T35)</f>
        <v>0</v>
      </c>
      <c r="U37" s="575">
        <f>SUMIF($AA$35:$AA$35,"industrie",U35:U35)</f>
        <v>0</v>
      </c>
      <c r="V37" s="575">
        <f>SUMIF($AA$35:$AA$35,"industrie",V35:V35)</f>
        <v>0</v>
      </c>
      <c r="W37" s="575">
        <f>SUMIF($AA$35:$AA$35,"industrie",W35:W35)</f>
        <v>0</v>
      </c>
      <c r="X37" s="575"/>
      <c r="Y37" s="576"/>
      <c r="Z37" s="576"/>
      <c r="AA37" s="577"/>
    </row>
    <row r="38" spans="1:28" s="555" customFormat="1">
      <c r="A38" s="573" t="s">
        <v>277</v>
      </c>
      <c r="B38" s="574"/>
      <c r="C38" s="574"/>
      <c r="D38" s="574"/>
      <c r="E38" s="574"/>
      <c r="F38" s="574"/>
      <c r="G38" s="574"/>
      <c r="H38" s="574"/>
      <c r="I38" s="574"/>
      <c r="J38" s="574"/>
      <c r="K38" s="574"/>
      <c r="L38" s="575"/>
      <c r="M38" s="575">
        <f>SUMIF($AA$35:$AA$36,"tertiair",M35:M36)</f>
        <v>0</v>
      </c>
      <c r="N38" s="575">
        <f>SUMIF($AA$35:$AA$36,"tertiair",N35:N36)</f>
        <v>0</v>
      </c>
      <c r="O38" s="575">
        <f>SUMIF($AA$35:$AA$36,"tertiair",O35:O36)</f>
        <v>0</v>
      </c>
      <c r="P38" s="575">
        <f>SUMIF($AA$35:$AA$36,"tertiair",P35:P36)</f>
        <v>0</v>
      </c>
      <c r="Q38" s="575">
        <f>SUMIF($AA$35:$AA$36,"tertiair",Q35:Q36)</f>
        <v>0</v>
      </c>
      <c r="R38" s="575">
        <f>SUMIF($AA$35:$AA$36,"tertiair",R35:R36)</f>
        <v>0</v>
      </c>
      <c r="S38" s="575">
        <f>SUMIF($AA$35:$AA$36,"tertiair",S35:S36)</f>
        <v>0</v>
      </c>
      <c r="T38" s="575">
        <f>SUMIF($AA$35:$AA$36,"tertiair",T35:T36)</f>
        <v>0</v>
      </c>
      <c r="U38" s="575">
        <f>SUMIF($AA$35:$AA$36,"tertiair",U35:U36)</f>
        <v>0</v>
      </c>
      <c r="V38" s="575">
        <f>SUMIF($AA$35:$AA$36,"tertiair",V35:V36)</f>
        <v>0</v>
      </c>
      <c r="W38" s="575">
        <f>SUMIF($AA$35:$AA$36,"tertiair",W35:W36)</f>
        <v>0</v>
      </c>
      <c r="X38" s="575"/>
      <c r="Y38" s="576"/>
      <c r="Z38" s="576"/>
      <c r="AA38" s="577"/>
    </row>
    <row r="39" spans="1:28" s="555" customFormat="1" ht="15.75" thickBot="1">
      <c r="A39" s="578" t="s">
        <v>278</v>
      </c>
      <c r="B39" s="579"/>
      <c r="C39" s="579"/>
      <c r="D39" s="579"/>
      <c r="E39" s="579"/>
      <c r="F39" s="579"/>
      <c r="G39" s="579"/>
      <c r="H39" s="579"/>
      <c r="I39" s="579"/>
      <c r="J39" s="579"/>
      <c r="K39" s="579"/>
      <c r="L39" s="580"/>
      <c r="M39" s="580">
        <f>SUMIF($AA$35:$AA$37,"landbouw",M35:M37)</f>
        <v>0</v>
      </c>
      <c r="N39" s="580">
        <f>SUMIF($AA$35:$AA$37,"landbouw",N35:N37)</f>
        <v>0</v>
      </c>
      <c r="O39" s="580">
        <f>SUMIF($AA$35:$AA$37,"landbouw",O35:O37)</f>
        <v>0</v>
      </c>
      <c r="P39" s="580">
        <f>SUMIF($AA$35:$AA$37,"landbouw",P35:P37)</f>
        <v>0</v>
      </c>
      <c r="Q39" s="580">
        <f>SUMIF($AA$35:$AA$37,"landbouw",Q35:Q37)</f>
        <v>0</v>
      </c>
      <c r="R39" s="580">
        <f>SUMIF($AA$35:$AA$37,"landbouw",R35:R37)</f>
        <v>0</v>
      </c>
      <c r="S39" s="580">
        <f>SUMIF($AA$35:$AA$37,"landbouw",S35:S37)</f>
        <v>0</v>
      </c>
      <c r="T39" s="580">
        <f>SUMIF($AA$35:$AA$37,"landbouw",T35:T37)</f>
        <v>0</v>
      </c>
      <c r="U39" s="580">
        <f>SUMIF($AA$35:$AA$37,"landbouw",U35:U37)</f>
        <v>0</v>
      </c>
      <c r="V39" s="580">
        <f>SUMIF($AA$35:$AA$37,"landbouw",V35:V37)</f>
        <v>0</v>
      </c>
      <c r="W39" s="580">
        <f>SUMIF($AA$35:$AA$37,"landbouw",W35:W37)</f>
        <v>0</v>
      </c>
      <c r="X39" s="580"/>
      <c r="Y39" s="581"/>
      <c r="Z39" s="581"/>
      <c r="AA39" s="582"/>
    </row>
    <row r="40" spans="1:28" s="587" customFormat="1">
      <c r="A40" s="583"/>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row>
    <row r="41" spans="1:28" s="587" customFormat="1" ht="15.75" thickBot="1">
      <c r="A41" s="583"/>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row>
    <row r="42" spans="1:28">
      <c r="A42" s="588" t="s">
        <v>271</v>
      </c>
      <c r="B42" s="589"/>
      <c r="C42" s="589"/>
      <c r="D42" s="589"/>
      <c r="E42" s="589"/>
      <c r="F42" s="589"/>
      <c r="G42" s="589"/>
      <c r="H42" s="589"/>
      <c r="I42" s="590"/>
      <c r="J42" s="591"/>
      <c r="K42" s="591"/>
      <c r="L42" s="592"/>
      <c r="M42" s="592"/>
      <c r="N42" s="592"/>
      <c r="O42" s="592"/>
      <c r="P42" s="592"/>
    </row>
    <row r="43" spans="1:28">
      <c r="A43" s="594"/>
      <c r="B43" s="584"/>
      <c r="C43" s="584"/>
      <c r="D43" s="584"/>
      <c r="E43" s="584"/>
      <c r="F43" s="584"/>
      <c r="G43" s="584"/>
      <c r="H43" s="584"/>
      <c r="I43" s="595"/>
      <c r="J43" s="584"/>
      <c r="K43" s="584"/>
      <c r="L43" s="592"/>
      <c r="M43" s="592"/>
      <c r="N43" s="592"/>
      <c r="O43" s="592"/>
      <c r="P43" s="592"/>
    </row>
    <row r="44" spans="1:28">
      <c r="A44" s="596"/>
      <c r="B44" s="597" t="s">
        <v>272</v>
      </c>
      <c r="C44" s="597" t="s">
        <v>273</v>
      </c>
      <c r="D44" s="597"/>
      <c r="E44" s="597"/>
      <c r="F44" s="597"/>
      <c r="G44" s="597"/>
      <c r="H44" s="597"/>
      <c r="I44" s="598"/>
      <c r="J44" s="597"/>
      <c r="K44" s="597"/>
      <c r="L44" s="597"/>
      <c r="M44" s="597"/>
      <c r="N44" s="597"/>
      <c r="O44" s="597"/>
      <c r="P44" s="592"/>
    </row>
    <row r="45" spans="1:28">
      <c r="A45" s="594" t="s">
        <v>269</v>
      </c>
      <c r="B45" s="599">
        <f>IF(ISERROR(O29/(O29+N29)),0,O29/(O29+N29))</f>
        <v>0.58823529411764708</v>
      </c>
      <c r="C45" s="600">
        <f>IF(ISERROR(N29/(O29+N29)),0,N29/(N29+O29))</f>
        <v>0.41176470588235292</v>
      </c>
      <c r="D45" s="567"/>
      <c r="E45" s="567"/>
      <c r="F45" s="567"/>
      <c r="G45" s="567"/>
      <c r="H45" s="567"/>
      <c r="I45" s="601"/>
      <c r="J45" s="567"/>
      <c r="K45" s="567"/>
      <c r="L45" s="602"/>
      <c r="M45" s="602"/>
      <c r="N45" s="602"/>
      <c r="O45" s="602"/>
      <c r="P45" s="592"/>
    </row>
    <row r="46" spans="1:28">
      <c r="A46" s="594"/>
      <c r="B46" s="603"/>
      <c r="C46" s="603"/>
      <c r="D46" s="603"/>
      <c r="E46" s="603"/>
      <c r="F46" s="603"/>
      <c r="G46" s="603"/>
      <c r="H46" s="603"/>
      <c r="I46" s="604"/>
      <c r="J46" s="603"/>
      <c r="K46" s="603"/>
      <c r="L46" s="605"/>
      <c r="M46" s="605"/>
      <c r="N46" s="605"/>
      <c r="O46" s="605"/>
      <c r="P46" s="592"/>
    </row>
    <row r="47" spans="1:28" ht="30">
      <c r="A47" s="606"/>
      <c r="B47" s="607" t="s">
        <v>529</v>
      </c>
      <c r="C47" s="607" t="s">
        <v>96</v>
      </c>
      <c r="D47" s="607" t="s">
        <v>97</v>
      </c>
      <c r="E47" s="607" t="s">
        <v>98</v>
      </c>
      <c r="F47" s="607" t="s">
        <v>99</v>
      </c>
      <c r="G47" s="607" t="s">
        <v>100</v>
      </c>
      <c r="H47" s="607" t="s">
        <v>101</v>
      </c>
      <c r="I47" s="608" t="s">
        <v>102</v>
      </c>
      <c r="J47" s="597"/>
      <c r="K47" s="597"/>
      <c r="L47" s="605"/>
      <c r="M47" s="605"/>
      <c r="N47" s="605"/>
      <c r="O47" s="592"/>
      <c r="P47" s="592"/>
    </row>
    <row r="48" spans="1:28">
      <c r="A48" s="596" t="s">
        <v>274</v>
      </c>
      <c r="B48" s="609">
        <f t="shared" ref="B48:I48" si="2">$C$45*P29</f>
        <v>0</v>
      </c>
      <c r="C48" s="609">
        <f t="shared" si="2"/>
        <v>51.35294117647058</v>
      </c>
      <c r="D48" s="609">
        <f t="shared" si="2"/>
        <v>0</v>
      </c>
      <c r="E48" s="609">
        <f t="shared" si="2"/>
        <v>0</v>
      </c>
      <c r="F48" s="609">
        <f t="shared" si="2"/>
        <v>0</v>
      </c>
      <c r="G48" s="609">
        <f t="shared" si="2"/>
        <v>0</v>
      </c>
      <c r="H48" s="609">
        <f t="shared" si="2"/>
        <v>0</v>
      </c>
      <c r="I48" s="610">
        <f t="shared" si="2"/>
        <v>0</v>
      </c>
      <c r="J48" s="567"/>
      <c r="K48" s="567"/>
      <c r="L48" s="605"/>
      <c r="M48" s="605"/>
      <c r="N48" s="605"/>
      <c r="O48" s="592"/>
      <c r="P48" s="592"/>
    </row>
    <row r="49" spans="1:16" ht="15.75" thickBot="1">
      <c r="A49" s="611" t="s">
        <v>275</v>
      </c>
      <c r="B49" s="612">
        <f t="shared" ref="B49:I49" si="3">$B$45*P29</f>
        <v>0</v>
      </c>
      <c r="C49" s="612">
        <f t="shared" si="3"/>
        <v>73.361344537815114</v>
      </c>
      <c r="D49" s="612">
        <f t="shared" si="3"/>
        <v>0</v>
      </c>
      <c r="E49" s="612">
        <f t="shared" si="3"/>
        <v>0</v>
      </c>
      <c r="F49" s="612">
        <f t="shared" si="3"/>
        <v>0</v>
      </c>
      <c r="G49" s="612">
        <f t="shared" si="3"/>
        <v>0</v>
      </c>
      <c r="H49" s="612">
        <f t="shared" si="3"/>
        <v>0</v>
      </c>
      <c r="I49" s="613">
        <f t="shared" si="3"/>
        <v>0</v>
      </c>
      <c r="J49" s="567"/>
      <c r="K49" s="567"/>
      <c r="L49" s="605"/>
      <c r="M49" s="605"/>
      <c r="N49" s="605"/>
      <c r="O49" s="592"/>
      <c r="P49" s="592"/>
    </row>
    <row r="50" spans="1:16">
      <c r="J50" s="553"/>
      <c r="K50" s="553"/>
      <c r="L50" s="553"/>
      <c r="M50" s="553"/>
      <c r="N50" s="553"/>
    </row>
    <row r="51" spans="1:16">
      <c r="J51" s="553"/>
      <c r="K51" s="553"/>
      <c r="L51" s="553"/>
      <c r="M51" s="553"/>
      <c r="N51"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2022-07-26T11:49:00Z</dcterms:modified>
</cp:coreProperties>
</file>