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0BACE37D-2919-481D-BC7B-5E58BE8CBF0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<sst xmlns="http://schemas.openxmlformats.org/spreadsheetml/2006/main" count="2436" uniqueCount="907">
  <si>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</si>
  <si>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</si>
  <si>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</si>
  <si>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</si>
  <si>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</si>
  <si>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</si>
  <si>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</si>
  <si>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</si>
  <si>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</si>
  <si>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</si>
  <si>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</si>
  <si>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</si>
  <si>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</si>
  <si>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</si>
  <si>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</si>
  <si>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</si>
  <si>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</si>
  <si>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</si>
  <si>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</si>
  <si>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</si>
  <si>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</si>
  <si>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</si>
  <si>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</si>
  <si>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</si>
  <si>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</si>
  <si>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</si>
  <si>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</si>
  <si>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</si>
  <si>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</si>
  <si>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</si>
  <si>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</si>
  <si>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</si>
  <si>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</si>
  <si>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</si>
  <si>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</si>
  <si>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</si>
  <si>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</si>
  <si>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</si>
  <si>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</si>
  <si>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</si>
  <si>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</si>
  <si>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</si>
  <si>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</si>
  <si>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</si>
  <si>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</si>
  <si>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</si>
  <si>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</si>
  <si>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</si>
  <si>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</si>
  <si>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</si>
  <si>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</si>
  <si>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</si>
  <si>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</si>
  <si>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</si>
  <si>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</si>
  <si>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</si>
  <si>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</si>
  <si>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</si>
  <si>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</si>
  <si>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</si>
  <si>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</si>
  <si>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</si>
  <si>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</si>
  <si>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</si>
  <si>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</si>
  <si>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</si>
  <si>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</si>
  <si>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</si>
  <si>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</si>
  <si>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</si>
  <si>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</si>
  <si>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</si>
  <si>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</si>
  <si>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</si>
  <si>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</si>
  <si>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</si>
  <si>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</si>
  <si>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</si>
  <si>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</si>
  <si>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</si>
  <si>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</si>
  <si>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</si>
  <si>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</si>
  <si>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</si>
  <si>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</si>
  <si>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</si>
  <si>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</si>
  <si>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</si>
  <si>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</si>
  <si>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</si>
  <si>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</si>
  <si>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</si>
  <si>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</si>
  <si>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</si>
  <si>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</si>
  <si>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</si>
  <si>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</si>
  <si>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</si>
  <si>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</si>
  <si>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</si>
  <si>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</si>
  <si>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</si>
  <si>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</si>
  <si>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</si>
  <si>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</si>
  <si>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</si>
  <si>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</si>
  <si>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</si>
  <si>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</si>
  <si>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</si>
  <si>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</si>
  <si>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</si>
  <si>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</si>
  <si>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</si>
  <si>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</si>
  <si>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</si>
  <si>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</si>
  <si>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</si>
  <si>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</si>
  <si>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</si>
  <si>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</si>
  <si>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</si>
  <si>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</si>
  <si>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</si>
  <si>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</si>
  <si>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</si>
  <si>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</si>
  <si>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</si>
  <si>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</si>
  <si>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</si>
  <si>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</si>
  <si>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</si>
  <si>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</si>
  <si>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</si>
  <si>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</si>
  <si>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</si>
  <si>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</si>
  <si>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</si>
  <si>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</si>
  <si>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</si>
  <si>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</si>
  <si>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</si>
  <si>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</si>
  <si>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</si>
  <si>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</si>
  <si>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</si>
  <si>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</si>
  <si>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</si>
  <si>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</si>
  <si>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</si>
  <si>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</si>
  <si>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</si>
  <si>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</si>
  <si>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</si>
  <si>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</si>
  <si>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</si>
  <si>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</si>
  <si>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</si>
  <si>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</si>
  <si>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</si>
  <si>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</si>
  <si>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</si>
  <si>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</si>
  <si>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</si>
  <si>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</si>
  <si>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</si>
  <si>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</si>
  <si>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</si>
  <si>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</si>
  <si>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</si>
  <si>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</si>
  <si>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</si>
  <si>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</si>
  <si>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</si>
  <si>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</si>
  <si>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</si>
  <si>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</si>
  <si>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</si>
  <si>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</si>
  <si>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</si>
  <si>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</si>
  <si>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</si>
  <si>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</si>
  <si>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</si>
  <si>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</si>
  <si>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</si>
  <si>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</si>
  <si>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</si>
  <si>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</si>
  <si>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</si>
  <si>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</si>
  <si>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</si>
  <si>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</si>
  <si>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</si>
  <si>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</si>
  <si>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</si>
  <si>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</si>
  <si>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</si>
  <si>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</si>
  <si>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</si>
  <si>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</si>
  <si>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</si>
  <si>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</si>
  <si>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</si>
  <si>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</si>
  <si>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</si>
  <si>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</si>
  <si>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</si>
  <si>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</si>
  <si>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</si>
  <si>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</si>
  <si>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</si>
  <si>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</si>
  <si>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</si>
  <si>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</si>
  <si>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</si>
  <si>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</si>
  <si>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</si>
  <si>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</si>
  <si>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</si>
  <si>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</si>
  <si>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</si>
  <si>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</si>
  <si>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</si>
  <si>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</si>
  <si>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</si>
  <si>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</si>
  <si>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</si>
  <si>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</si>
  <si>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</si>
  <si>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</si>
  <si>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</si>
  <si>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</si>
  <si>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</si>
  <si>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</si>
  <si>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</si>
  <si>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</si>
  <si>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</si>
  <si>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</si>
  <si>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</si>
  <si>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</si>
  <si>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</si>
  <si>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</si>
  <si>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</si>
  <si>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</si>
  <si>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</si>
  <si>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</si>
  <si>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</si>
  <si>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</si>
  <si>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</si>
  <si>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</si>
  <si>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</si>
  <si>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</si>
  <si>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</si>
  <si>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</si>
  <si>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</si>
  <si>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</si>
  <si>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</si>
  <si>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</si>
  <si>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</si>
  <si>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</si>
  <si>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</si>
  <si>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</si>
  <si>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</si>
  <si>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</si>
  <si>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</si>
  <si>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</si>
  <si>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</si>
  <si>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</si>
  <si>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</si>
  <si>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</si>
  <si>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</si>
  <si>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</si>
  <si>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</si>
  <si>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</si>
  <si>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</si>
  <si>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</si>
  <si>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</si>
  <si>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</si>
  <si>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</si>
  <si>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</si>
  <si>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</si>
  <si>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</si>
  <si>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</si>
  <si>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</si>
  <si>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</si>
  <si>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</si>
  <si>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</si>
  <si>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</si>
  <si>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</si>
  <si>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</si>
  <si>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</si>
  <si>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</si>
  <si>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</si>
  <si>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</si>
  <si>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</si>
  <si>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</si>
  <si>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</si>
  <si>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</si>
  <si>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</si>
  <si>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</si>
  <si>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</si>
  <si>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</si>
  <si>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</si>
  <si>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</si>
  <si>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</si>
  <si>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</si>
  <si>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</si>
  <si>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</si>
  <si>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</si>
  <si>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</si>
  <si>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</si>
  <si>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</si>
  <si>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</si>
  <si>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</si>
  <si>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</si>
  <si>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</si>
  <si>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</si>
  <si>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</si>
  <si>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</si>
  <si>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</si>
  <si>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</si>
  <si>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</si>
  <si>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</si>
  <si>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</si>
  <si>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</si>
  <si>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</si>
  <si>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</si>
  <si>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</si>
  <si>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</si>
  <si>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</si>
  <si>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</si>
  <si>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</si>
  <si>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</si>
  <si>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</si>
  <si>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</si>
  <si>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</si>
  <si>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</si>
  <si>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</si>
  <si>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</si>
  <si>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</si>
  <si>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</si>
  <si>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</si>
  <si>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</si>
  <si>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</si>
  <si>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</si>
  <si>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</si>
  <si>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</si>
  <si>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</si>
  <si>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</si>
  <si>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</si>
  <si>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</si>
  <si>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</si>
  <si>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</si>
  <si>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</si>
  <si>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</si>
  <si>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</si>
  <si>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</si>
  <si>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</si>
  <si>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</si>
  <si>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</si>
  <si>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</si>
  <si>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</si>
  <si>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</si>
  <si>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</si>
  <si>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</si>
  <si>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</si>
  <si>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</si>
  <si>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</si>
  <si>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</si>
  <si>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</si>
  <si>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</si>
  <si>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</si>
  <si>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</si>
  <si>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</si>
  <si>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</si>
  <si>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</si>
  <si>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</si>
  <si>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</si>
  <si>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</si>
  <si>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</si>
  <si>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</si>
  <si>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</si>
  <si>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</si>
  <si>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</si>
  <si>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</si>
  <si>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</si>
  <si>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</si>
  <si>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</si>
  <si>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</si>
  <si>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</si>
  <si>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</si>
  <si>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</si>
  <si>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</si>
  <si>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</si>
  <si>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</si>
  <si>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</si>
  <si>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</si>
  <si>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</si>
  <si>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</si>
  <si>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</si>
  <si>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</si>
  <si>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</si>
  <si>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</si>
  <si>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</si>
  <si>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</si>
  <si>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</si>
  <si>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</si>
  <si>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</si>
  <si>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</si>
  <si>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</si>
  <si>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</si>
  <si>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</si>
  <si>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</si>
  <si>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</si>
  <si>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</si>
  <si>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</si>
  <si>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</si>
  <si>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</si>
  <si>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</si>
  <si>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</si>
  <si>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</si>
  <si>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</si>
  <si>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</si>
  <si>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</si>
  <si>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</si>
  <si>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</si>
  <si>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</si>
  <si>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</si>
  <si>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</si>
  <si>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</si>
  <si>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</si>
  <si>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</si>
  <si>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</si>
  <si>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</si>
  <si>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</si>
  <si>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</si>
  <si>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</si>
  <si>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</si>
  <si>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</si>
  <si>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</si>
  <si>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</si>
  <si>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</si>
  <si>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</si>
  <si>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</si>
  <si>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</si>
  <si>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</si>
  <si>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</si>
  <si>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</si>
  <si>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</si>
  <si>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</si>
  <si>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</si>
  <si>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</si>
  <si>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</si>
  <si>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</si>
  <si>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</si>
  <si>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</si>
  <si>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</si>
  <si>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</si>
  <si>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</si>
  <si>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</si>
  <si>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</si>
  <si>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</si>
  <si>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</si>
  <si>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</si>
  <si>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</si>
  <si>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</si>
  <si>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</si>
  <si>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</si>
  <si>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</si>
  <si>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</si>
  <si>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</si>
  <si>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</si>
  <si>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</si>
  <si>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</si>
  <si>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</si>
  <si>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</si>
  <si>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</si>
  <si>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</si>
  <si>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</si>
  <si>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</si>
  <si>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</si>
  <si>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</si>
  <si>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</si>
  <si>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</si>
  <si>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</si>
  <si>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</si>
  <si>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</si>
  <si>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</si>
  <si>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</si>
  <si>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</si>
  <si>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</si>
  <si>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</si>
  <si>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</si>
  <si>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</si>
  <si>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</si>
  <si>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</si>
  <si>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</si>
  <si>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</si>
  <si>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</si>
  <si>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</si>
  <si>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</si>
  <si>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</si>
  <si>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</si>
  <si>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</si>
  <si>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</si>
  <si>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</si>
  <si>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</si>
  <si>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</si>
  <si>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</si>
  <si>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</si>
  <si>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</si>
  <si>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</si>
  <si>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</si>
  <si>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</si>
  <si>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</si>
  <si>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</si>
  <si>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</si>
  <si>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</si>
  <si>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</si>
  <si>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</si>
  <si>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</si>
  <si>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</si>
  <si>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</si>
  <si>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</si>
  <si>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</si>
  <si>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</si>
  <si>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</si>
  <si>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</si>
  <si>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</si>
  <si>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</si>
  <si>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</si>
  <si>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</si>
  <si>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</si>
  <si>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</si>
  <si>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</si>
  <si>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</si>
  <si>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</si>
  <si>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</si>
  <si>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</si>
  <si>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</si>
  <si>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</si>
  <si>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</si>
  <si>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</si>
  <si>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</si>
  <si>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</si>
  <si>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</si>
  <si>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</si>
  <si>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</si>
  <si>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</si>
  <si>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</si>
  <si>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</si>
  <si>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</si>
  <si>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</si>
  <si>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</si>
  <si>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</si>
  <si>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</si>
  <si>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</si>
  <si>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</si>
  <si>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</si>
  <si>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</si>
  <si>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</si>
  <si>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</si>
  <si>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</si>
  <si>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</si>
  <si>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</si>
  <si>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</si>
  <si>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</si>
  <si>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</si>
  <si>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</si>
  <si>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</si>
  <si>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</si>
  <si>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</si>
  <si>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</si>
  <si>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</si>
  <si>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</si>
  <si>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</si>
  <si>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</si>
  <si>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</si>
  <si>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</si>
  <si>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</si>
  <si>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</si>
  <si>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</si>
  <si>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</si>
  <si>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</si>
  <si>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</si>
  <si>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</si>
  <si>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</si>
  <si>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</si>
  <si>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</si>
  <si>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</si>
  <si>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</si>
  <si>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</si>
  <si>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</si>
  <si>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</si>
  <si>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</si>
  <si>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</si>
  <si>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</si>
  <si>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</si>
  <si>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</si>
  <si>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</si>
  <si>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</si>
  <si>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</si>
  <si>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</si>
  <si>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</si>
  <si>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</si>
  <si>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</si>
  <si>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</si>
  <si>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</si>
  <si>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</si>
  <si>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</si>
  <si>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</si>
  <si>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</si>
  <si>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</si>
  <si>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</si>
  <si>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</si>
  <si>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</si>
  <si>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</si>
  <si>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</si>
  <si>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</si>
  <si>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</si>
  <si>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</si>
  <si>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</si>
  <si>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</si>
  <si>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</si>
  <si>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</si>
  <si>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</si>
  <si>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</si>
  <si>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</si>
  <si>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</si>
  <si>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</si>
  <si>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</si>
  <si>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</si>
  <si>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</si>
  <si>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</si>
  <si>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</si>
  <si>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</si>
  <si>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</si>
  <si>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</si>
  <si>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</si>
  <si>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</si>
  <si>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</si>
  <si>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</si>
  <si>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</si>
  <si>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</si>
  <si>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</si>
  <si>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</si>
  <si>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</si>
  <si>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</si>
  <si>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</si>
  <si>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</si>
  <si>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</si>
  <si>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</si>
  <si>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</si>
  <si>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</si>
  <si>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</si>
  <si>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</si>
  <si>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</si>
  <si>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</si>
  <si>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</si>
  <si>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</si>
  <si>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</si>
  <si>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</si>
  <si>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</si>
  <si>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</si>
  <si>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</si>
  <si>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</si>
  <si>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</si>
  <si>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</si>
  <si>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</si>
  <si>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</si>
  <si>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</si>
  <si>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</si>
  <si>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</si>
  <si>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</si>
  <si>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</si>
  <si>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</si>
  <si>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</si>
  <si>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</si>
  <si>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</si>
  <si>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</si>
  <si>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</si>
  <si>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</si>
  <si>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</si>
  <si>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</si>
  <si>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</si>
  <si>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</si>
  <si>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</si>
  <si>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</si>
  <si>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</si>
  <si>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</si>
  <si>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</si>
  <si>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</si>
  <si>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</si>
  <si>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</si>
  <si>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</si>
  <si>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</si>
  <si>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</si>
  <si>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</si>
  <si>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</si>
  <si>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</si>
  <si>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</si>
  <si>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</si>
  <si>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</si>
  <si>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</si>
  <si>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</si>
  <si>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</si>
  <si>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</si>
  <si>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</si>
  <si>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</si>
  <si>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</si>
  <si>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</si>
  <si>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</si>
  <si>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</si>
  <si>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</si>
  <si>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</si>
  <si>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</si>
  <si>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</si>
  <si>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</si>
  <si>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</si>
  <si>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</si>
  <si>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</si>
  <si>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</si>
  <si>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</si>
  <si>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</si>
  <si>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</si>
  <si>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</si>
  <si>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</si>
  <si>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</si>
  <si>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</si>
  <si>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</si>
  <si>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</si>
  <si>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</si>
  <si>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</si>
  <si>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</si>
  <si>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</si>
  <si>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</si>
  <si>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</si>
  <si>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</si>
  <si>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</si>
  <si>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</si>
  <si>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</si>
  <si>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</si>
  <si>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</si>
  <si>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</si>
  <si>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</si>
  <si>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</si>
  <si>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</si>
  <si>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</si>
  <si>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</si>
  <si>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</si>
  <si>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</si>
  <si>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</si>
  <si>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</si>
  <si>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</si>
  <si>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</si>
  <si>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</si>
  <si>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</si>
  <si>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</si>
  <si>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</si>
  <si>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</si>
  <si>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</si>
  <si>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</si>
  <si>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</si>
  <si>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</si>
  <si>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</si>
  <si>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</si>
  <si>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</si>
  <si>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</si>
  <si>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</si>
  <si>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</si>
  <si>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</si>
  <si>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</si>
  <si>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</si>
  <si>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</si>
  <si>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</si>
  <si>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</si>
  <si>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</si>
  <si>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</si>
  <si>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</si>
  <si>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</si>
  <si>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</si>
  <si>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</si>
  <si>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</si>
  <si>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</si>
  <si>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</si>
  <si>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</si>
  <si>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</si>
  <si>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</si>
  <si>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</si>
  <si>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</si>
  <si>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</si>
  <si>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</si>
  <si>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</si>
  <si>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</si>
  <si>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</si>
  <si>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</si>
  <si>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</si>
  <si>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</si>
  <si>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</si>
  <si>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</si>
  <si>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</si>
  <si>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</si>
  <si>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</si>
  <si>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</si>
  <si>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</si>
  <si>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</si>
  <si>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</si>
  <si>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</si>
  <si>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</si>
  <si>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</si>
  <si>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</si>
  <si>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</si>
  <si>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</si>
  <si>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</si>
  <si>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</si>
  <si>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</si>
  <si>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</si>
  <si>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</si>
  <si>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</si>
  <si>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</si>
  <si>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</si>
  <si>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</si>
  <si>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</si>
  <si>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</si>
  <si>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</si>
  <si>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</si>
  <si>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</si>
  <si>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</si>
  <si>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</si>
  <si>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</si>
  <si>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</si>
  <si>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</si>
  <si>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</si>
  <si>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</si>
  <si>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</si>
  <si>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</si>
  <si>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</si>
  <si>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</si>
  <si>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</si>
  <si>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</si>
  <si>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</si>
  <si>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</si>
  <si>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</si>
  <si>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</si>
  <si>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</si>
  <si>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</si>
  <si>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</si>
  <si>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</si>
  <si>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</si>
  <si>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</si>
  <si>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</si>
  <si>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</si>
  <si>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</si>
  <si>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</si>
  <si>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</si>
  <si>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</si>
  <si>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</si>
  <si>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</si>
  <si>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</si>
  <si>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</si>
  <si>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</si>
  <si>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</si>
  <si>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</si>
  <si>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</si>
  <si>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</si>
  <si>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</si>
  <si>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</si>
  <si>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</si>
  <si>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</si>
  <si>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</si>
  <si>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</si>
  <si>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</si>
  <si>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</si>
  <si>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</si>
  <si>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</si>
  <si>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</si>
  <si>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</si>
  <si>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</si>
  <si>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</si>
  <si>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</si>
  <si>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</si>
  <si>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</si>
  <si>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</si>
  <si>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</si>
  <si>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</si>
  <si>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</si>
  <si>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</si>
  <si>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</si>
  <si>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</si>
  <si>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</si>
  <si>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</si>
  <si>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</si>
  <si>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</si>
  <si>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</si>
  <si>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</si>
  <si>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</si>
  <si>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</si>
  <si>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</si>
  <si>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71034</t>
  </si>
  <si>
    <t>LEOPOLDSBURG</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</si>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</sst>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3FF59A3-8327-47CE-864A-11B63958C08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134441.05013424109</c:v>
                </c:pt>
                <c:pt idx="1">
                  <c:v>55921.37648575996</c:v>
                </c:pt>
                <c:pt idx="2">
                  <c:v>836.12400000000002</c:v>
                </c:pt>
                <c:pt idx="3">
                  <c:v>677.159393214175</c:v>
                </c:pt>
                <c:pt idx="4">
                  <c:v>5719.0930547234739</c:v>
                </c:pt>
                <c:pt idx="5">
                  <c:v>67110.955164909683</c:v>
                </c:pt>
                <c:pt idx="6">
                  <c:v>1298.0430257913449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134441.05013424109</c:v>
                </c:pt>
                <c:pt idx="1">
                  <c:v>55921.37648575996</c:v>
                </c:pt>
                <c:pt idx="2">
                  <c:v>836.12400000000002</c:v>
                </c:pt>
                <c:pt idx="3">
                  <c:v>677.159393214175</c:v>
                </c:pt>
                <c:pt idx="4">
                  <c:v>5719.0930547234739</c:v>
                </c:pt>
                <c:pt idx="5">
                  <c:v>67110.955164909683</c:v>
                </c:pt>
                <c:pt idx="6">
                  <c:v>1298.0430257913449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29071.48673091771</c:v>
                </c:pt>
                <c:pt idx="2">
                  <c:v>11521.780316146389</c:v>
                </c:pt>
                <c:pt idx="3">
                  <c:v>172.81435310400781</c:v>
                </c:pt>
                <c:pt idx="4">
                  <c:v>168.90157289227707</c:v>
                </c:pt>
                <c:pt idx="5">
                  <c:v>1216.8536097869162</c:v>
                </c:pt>
                <c:pt idx="6">
                  <c:v>16801.607526688877</c:v>
                </c:pt>
                <c:pt idx="7">
                  <c:v>327.41669536101858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29071.48673091771</c:v>
                </c:pt>
                <c:pt idx="2">
                  <c:v>11521.780316146389</c:v>
                </c:pt>
                <c:pt idx="3">
                  <c:v>172.81435310400781</c:v>
                </c:pt>
                <c:pt idx="4">
                  <c:v>168.90157289227707</c:v>
                </c:pt>
                <c:pt idx="5">
                  <c:v>1216.8536097869162</c:v>
                </c:pt>
                <c:pt idx="6">
                  <c:v>16801.607526688877</c:v>
                </c:pt>
                <c:pt idx="7">
                  <c:v>327.41669536101858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71034</v>
      </c>
      <c r="B6" s="381"/>
      <c r="C6" s="382"/>
    </row>
    <row r="7" spans="1:7" s="379" customFormat="1" ht="15.75" customHeight="1">
      <c r="A7" s="383" t="str">
        <f>txtMunicipality</f>
        <v>LEOPOLDSBURG</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0.20668507673982306</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0.20668507673982306</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6383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400</v>
      </c>
      <c r="C14" s="322"/>
      <c r="D14" s="322"/>
      <c r="E14" s="322"/>
      <c r="F14" s="322"/>
    </row>
    <row r="15" spans="1:6">
      <c r="A15" s="1261" t="s">
        <v>177</v>
      </c>
      <c r="B15" s="1262">
        <v>0</v>
      </c>
      <c r="C15" s="322"/>
      <c r="D15" s="322"/>
      <c r="E15" s="322"/>
      <c r="F15" s="322"/>
    </row>
    <row r="16" spans="1:6">
      <c r="A16" s="1261" t="s">
        <v>6</v>
      </c>
      <c r="B16" s="1262">
        <v>41</v>
      </c>
      <c r="C16" s="322"/>
      <c r="D16" s="322"/>
      <c r="E16" s="322"/>
      <c r="F16" s="322"/>
    </row>
    <row r="17" spans="1:6">
      <c r="A17" s="1261" t="s">
        <v>7</v>
      </c>
      <c r="B17" s="1262">
        <v>10</v>
      </c>
      <c r="C17" s="322"/>
      <c r="D17" s="322"/>
      <c r="E17" s="322"/>
      <c r="F17" s="322"/>
    </row>
    <row r="18" spans="1:6">
      <c r="A18" s="1261" t="s">
        <v>8</v>
      </c>
      <c r="B18" s="1262">
        <v>42</v>
      </c>
      <c r="C18" s="322"/>
      <c r="D18" s="322"/>
      <c r="E18" s="322"/>
      <c r="F18" s="322"/>
    </row>
    <row r="19" spans="1:6">
      <c r="A19" s="1261" t="s">
        <v>9</v>
      </c>
      <c r="B19" s="1262">
        <v>31</v>
      </c>
      <c r="C19" s="322"/>
      <c r="D19" s="322"/>
      <c r="E19" s="322"/>
      <c r="F19" s="322"/>
    </row>
    <row r="20" spans="1:6">
      <c r="A20" s="1261" t="s">
        <v>10</v>
      </c>
      <c r="B20" s="1262">
        <v>27</v>
      </c>
      <c r="C20" s="322"/>
      <c r="D20" s="322"/>
      <c r="E20" s="322"/>
      <c r="F20" s="322"/>
    </row>
    <row r="21" spans="1:6">
      <c r="A21" s="1261" t="s">
        <v>11</v>
      </c>
      <c r="B21" s="1262">
        <v>0</v>
      </c>
      <c r="C21" s="322"/>
      <c r="D21" s="322"/>
      <c r="E21" s="322"/>
      <c r="F21" s="322"/>
    </row>
    <row r="22" spans="1:6">
      <c r="A22" s="1261" t="s">
        <v>12</v>
      </c>
      <c r="B22" s="1262">
        <v>189</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4</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54</v>
      </c>
      <c r="C29" s="322"/>
      <c r="D29" s="322"/>
      <c r="E29" s="322"/>
      <c r="F29" s="322"/>
    </row>
    <row r="30" spans="1:6">
      <c r="A30" s="1256" t="s">
        <v>902</v>
      </c>
      <c r="B30" s="1264">
        <v>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7</v>
      </c>
      <c r="F36" s="1262">
        <v>29281</v>
      </c>
    </row>
    <row r="37" spans="1:6">
      <c r="A37" s="1261" t="s">
        <v>24</v>
      </c>
      <c r="B37" s="1261" t="s">
        <v>27</v>
      </c>
      <c r="C37" s="1262">
        <v>0</v>
      </c>
      <c r="D37" s="1262">
        <v>0</v>
      </c>
      <c r="E37" s="1262">
        <v>0</v>
      </c>
      <c r="F37" s="1262">
        <v>0</v>
      </c>
    </row>
    <row r="38" spans="1:6">
      <c r="A38" s="1261" t="s">
        <v>24</v>
      </c>
      <c r="B38" s="1261" t="s">
        <v>28</v>
      </c>
      <c r="C38" s="1262">
        <v>1</v>
      </c>
      <c r="D38" s="1262">
        <v>116651</v>
      </c>
      <c r="E38" s="1262">
        <v>0</v>
      </c>
      <c r="F38" s="1262">
        <v>0</v>
      </c>
    </row>
    <row r="39" spans="1:6">
      <c r="A39" s="1261" t="s">
        <v>29</v>
      </c>
      <c r="B39" s="1261" t="s">
        <v>30</v>
      </c>
      <c r="C39" s="1262">
        <v>3411</v>
      </c>
      <c r="D39" s="1262">
        <v>51428115</v>
      </c>
      <c r="E39" s="1262">
        <v>6422</v>
      </c>
      <c r="F39" s="1262">
        <v>24356742</v>
      </c>
    </row>
    <row r="40" spans="1:6">
      <c r="A40" s="1261" t="s">
        <v>29</v>
      </c>
      <c r="B40" s="1261" t="s">
        <v>28</v>
      </c>
      <c r="C40" s="1262">
        <v>0</v>
      </c>
      <c r="D40" s="1262">
        <v>0</v>
      </c>
      <c r="E40" s="1262">
        <v>0</v>
      </c>
      <c r="F40" s="1262">
        <v>0</v>
      </c>
    </row>
    <row r="41" spans="1:6">
      <c r="A41" s="1261" t="s">
        <v>31</v>
      </c>
      <c r="B41" s="1261" t="s">
        <v>32</v>
      </c>
      <c r="C41" s="1262">
        <v>38</v>
      </c>
      <c r="D41" s="1262">
        <v>722774</v>
      </c>
      <c r="E41" s="1262">
        <v>106</v>
      </c>
      <c r="F41" s="1262">
        <v>938757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166980</v>
      </c>
      <c r="E44" s="1262">
        <v>6</v>
      </c>
      <c r="F44" s="1262">
        <v>47986</v>
      </c>
    </row>
    <row r="45" spans="1:6">
      <c r="A45" s="1261" t="s">
        <v>31</v>
      </c>
      <c r="B45" s="1261" t="s">
        <v>36</v>
      </c>
      <c r="C45" s="1262">
        <v>0</v>
      </c>
      <c r="D45" s="1262">
        <v>0</v>
      </c>
      <c r="E45" s="1262">
        <v>3</v>
      </c>
      <c r="F45" s="1262">
        <v>497271</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4</v>
      </c>
      <c r="D48" s="1262">
        <v>189261</v>
      </c>
      <c r="E48" s="1262">
        <v>4</v>
      </c>
      <c r="F48" s="1262">
        <v>57693</v>
      </c>
    </row>
    <row r="49" spans="1:6">
      <c r="A49" s="1261" t="s">
        <v>31</v>
      </c>
      <c r="B49" s="1261" t="s">
        <v>39</v>
      </c>
      <c r="C49" s="1262">
        <v>0</v>
      </c>
      <c r="D49" s="1262">
        <v>0</v>
      </c>
      <c r="E49" s="1262">
        <v>0</v>
      </c>
      <c r="F49" s="1262">
        <v>0</v>
      </c>
    </row>
    <row r="50" spans="1:6">
      <c r="A50" s="1261" t="s">
        <v>31</v>
      </c>
      <c r="B50" s="1261" t="s">
        <v>40</v>
      </c>
      <c r="C50" s="1262">
        <v>4</v>
      </c>
      <c r="D50" s="1262">
        <v>326157</v>
      </c>
      <c r="E50" s="1262">
        <v>14</v>
      </c>
      <c r="F50" s="1262">
        <v>516362</v>
      </c>
    </row>
    <row r="51" spans="1:6">
      <c r="A51" s="1261" t="s">
        <v>41</v>
      </c>
      <c r="B51" s="1261" t="s">
        <v>42</v>
      </c>
      <c r="C51" s="1262">
        <v>3</v>
      </c>
      <c r="D51" s="1262">
        <v>77628</v>
      </c>
      <c r="E51" s="1262">
        <v>17</v>
      </c>
      <c r="F51" s="1262">
        <v>139205</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68</v>
      </c>
      <c r="F54" s="1262">
        <v>836124</v>
      </c>
    </row>
    <row r="55" spans="1:6">
      <c r="A55" s="1261" t="s">
        <v>45</v>
      </c>
      <c r="B55" s="1261" t="s">
        <v>28</v>
      </c>
      <c r="C55" s="1262">
        <v>0</v>
      </c>
      <c r="D55" s="1262">
        <v>0</v>
      </c>
      <c r="E55" s="1262">
        <v>0</v>
      </c>
      <c r="F55" s="1262">
        <v>0</v>
      </c>
    </row>
    <row r="56" spans="1:6">
      <c r="A56" s="1261" t="s">
        <v>47</v>
      </c>
      <c r="B56" s="1261" t="s">
        <v>28</v>
      </c>
      <c r="C56" s="1262">
        <v>44</v>
      </c>
      <c r="D56" s="1262">
        <v>802153</v>
      </c>
      <c r="E56" s="1262">
        <v>140</v>
      </c>
      <c r="F56" s="1262">
        <v>1597267</v>
      </c>
    </row>
    <row r="57" spans="1:6">
      <c r="A57" s="1261" t="s">
        <v>48</v>
      </c>
      <c r="B57" s="1261" t="s">
        <v>49</v>
      </c>
      <c r="C57" s="1262">
        <v>40</v>
      </c>
      <c r="D57" s="1262">
        <v>1434847</v>
      </c>
      <c r="E57" s="1262">
        <v>87</v>
      </c>
      <c r="F57" s="1262">
        <v>1092891</v>
      </c>
    </row>
    <row r="58" spans="1:6">
      <c r="A58" s="1261" t="s">
        <v>48</v>
      </c>
      <c r="B58" s="1261" t="s">
        <v>50</v>
      </c>
      <c r="C58" s="1262">
        <v>15</v>
      </c>
      <c r="D58" s="1262">
        <v>2378731</v>
      </c>
      <c r="E58" s="1262">
        <v>27</v>
      </c>
      <c r="F58" s="1262">
        <v>938398</v>
      </c>
    </row>
    <row r="59" spans="1:6">
      <c r="A59" s="1261" t="s">
        <v>48</v>
      </c>
      <c r="B59" s="1261" t="s">
        <v>51</v>
      </c>
      <c r="C59" s="1262">
        <v>70</v>
      </c>
      <c r="D59" s="1262">
        <v>2107577</v>
      </c>
      <c r="E59" s="1262">
        <v>190</v>
      </c>
      <c r="F59" s="1262">
        <v>3229496</v>
      </c>
    </row>
    <row r="60" spans="1:6">
      <c r="A60" s="1261" t="s">
        <v>48</v>
      </c>
      <c r="B60" s="1261" t="s">
        <v>52</v>
      </c>
      <c r="C60" s="1262">
        <v>42</v>
      </c>
      <c r="D60" s="1262">
        <v>1739042</v>
      </c>
      <c r="E60" s="1262">
        <v>62</v>
      </c>
      <c r="F60" s="1262">
        <v>1380449</v>
      </c>
    </row>
    <row r="61" spans="1:6">
      <c r="A61" s="1261" t="s">
        <v>48</v>
      </c>
      <c r="B61" s="1261" t="s">
        <v>53</v>
      </c>
      <c r="C61" s="1262">
        <v>76</v>
      </c>
      <c r="D61" s="1262">
        <v>30743495</v>
      </c>
      <c r="E61" s="1262">
        <v>240</v>
      </c>
      <c r="F61" s="1262">
        <v>10112631</v>
      </c>
    </row>
    <row r="62" spans="1:6">
      <c r="A62" s="1261" t="s">
        <v>48</v>
      </c>
      <c r="B62" s="1261" t="s">
        <v>54</v>
      </c>
      <c r="C62" s="1262">
        <v>4</v>
      </c>
      <c r="D62" s="1262">
        <v>1073103</v>
      </c>
      <c r="E62" s="1262">
        <v>9</v>
      </c>
      <c r="F62" s="1262">
        <v>299198</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3</v>
      </c>
      <c r="D68" s="1264">
        <v>32507</v>
      </c>
      <c r="E68" s="1264">
        <v>3</v>
      </c>
      <c r="F68" s="1264">
        <v>6938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58856750</v>
      </c>
      <c r="E73" s="440"/>
      <c r="F73" s="322"/>
    </row>
    <row r="74" spans="1:6">
      <c r="A74" s="1261" t="s">
        <v>63</v>
      </c>
      <c r="B74" s="1261" t="s">
        <v>670</v>
      </c>
      <c r="C74" s="1274" t="s">
        <v>672</v>
      </c>
      <c r="D74" s="1262">
        <v>3747616.8824659218</v>
      </c>
      <c r="E74" s="440"/>
      <c r="F74" s="322"/>
    </row>
    <row r="75" spans="1:6">
      <c r="A75" s="1261" t="s">
        <v>64</v>
      </c>
      <c r="B75" s="1261" t="s">
        <v>669</v>
      </c>
      <c r="C75" s="1274" t="s">
        <v>673</v>
      </c>
      <c r="D75" s="1262">
        <v>22289506</v>
      </c>
      <c r="E75" s="440"/>
      <c r="F75" s="322"/>
    </row>
    <row r="76" spans="1:6">
      <c r="A76" s="1261" t="s">
        <v>64</v>
      </c>
      <c r="B76" s="1261" t="s">
        <v>670</v>
      </c>
      <c r="C76" s="1274" t="s">
        <v>674</v>
      </c>
      <c r="D76" s="1262">
        <v>205126.88246592169</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348632.23506815662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3227.6087694353496</v>
      </c>
      <c r="C91" s="322"/>
      <c r="D91" s="322"/>
      <c r="E91" s="322"/>
      <c r="F91" s="322"/>
    </row>
    <row r="92" spans="1:6">
      <c r="A92" s="1256" t="s">
        <v>68</v>
      </c>
      <c r="B92" s="1257">
        <v>150.15005535153421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1130</v>
      </c>
      <c r="C97" s="322"/>
      <c r="D97" s="322"/>
      <c r="E97" s="322"/>
      <c r="F97" s="322"/>
    </row>
    <row r="98" spans="1:6">
      <c r="A98" s="1261" t="s">
        <v>71</v>
      </c>
      <c r="B98" s="1262">
        <v>3</v>
      </c>
      <c r="C98" s="322"/>
      <c r="D98" s="322"/>
      <c r="E98" s="322"/>
      <c r="F98" s="322"/>
    </row>
    <row r="99" spans="1:6">
      <c r="A99" s="1261" t="s">
        <v>72</v>
      </c>
      <c r="B99" s="1262">
        <v>45</v>
      </c>
      <c r="C99" s="322"/>
      <c r="D99" s="322"/>
      <c r="E99" s="322"/>
      <c r="F99" s="322"/>
    </row>
    <row r="100" spans="1:6">
      <c r="A100" s="1261" t="s">
        <v>73</v>
      </c>
      <c r="B100" s="1262">
        <v>630</v>
      </c>
      <c r="C100" s="322"/>
      <c r="D100" s="322"/>
      <c r="E100" s="322"/>
      <c r="F100" s="322"/>
    </row>
    <row r="101" spans="1:6">
      <c r="A101" s="1261" t="s">
        <v>74</v>
      </c>
      <c r="B101" s="1262">
        <v>47</v>
      </c>
      <c r="C101" s="322"/>
      <c r="D101" s="322"/>
      <c r="E101" s="322"/>
      <c r="F101" s="322"/>
    </row>
    <row r="102" spans="1:6">
      <c r="A102" s="1261" t="s">
        <v>75</v>
      </c>
      <c r="B102" s="1262">
        <v>102</v>
      </c>
      <c r="C102" s="322"/>
      <c r="D102" s="322"/>
      <c r="E102" s="322"/>
      <c r="F102" s="322"/>
    </row>
    <row r="103" spans="1:6">
      <c r="A103" s="1261" t="s">
        <v>76</v>
      </c>
      <c r="B103" s="1262">
        <v>123</v>
      </c>
      <c r="C103" s="322"/>
      <c r="D103" s="322"/>
      <c r="E103" s="322"/>
      <c r="F103" s="322"/>
    </row>
    <row r="104" spans="1:6">
      <c r="A104" s="1261" t="s">
        <v>77</v>
      </c>
      <c r="B104" s="1262">
        <v>3335</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5</v>
      </c>
      <c r="C123" s="1262">
        <v>12</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124</v>
      </c>
      <c r="C129" s="322"/>
      <c r="D129" s="322"/>
      <c r="E129" s="322"/>
      <c r="F129" s="322"/>
    </row>
    <row r="130" spans="1:6">
      <c r="A130" s="1261" t="s">
        <v>284</v>
      </c>
      <c r="B130" s="1262">
        <v>0</v>
      </c>
      <c r="C130" s="322"/>
      <c r="D130" s="322"/>
      <c r="E130" s="322"/>
      <c r="F130" s="322"/>
    </row>
    <row r="131" spans="1:6">
      <c r="A131" s="1261" t="s">
        <v>285</v>
      </c>
      <c r="B131" s="1262">
        <v>2</v>
      </c>
      <c r="C131" s="322"/>
      <c r="D131" s="322"/>
      <c r="E131" s="322"/>
      <c r="F131" s="322"/>
    </row>
    <row r="132" spans="1:6">
      <c r="A132" s="1256" t="s">
        <v>286</v>
      </c>
      <c r="B132" s="1257">
        <v>15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50608.768785353372</v>
      </c>
      <c r="C3" s="43" t="s">
        <v>163</v>
      </c>
      <c r="D3" s="43"/>
      <c r="E3" s="153"/>
      <c r="F3" s="43"/>
      <c r="G3" s="43"/>
      <c r="H3" s="43"/>
      <c r="I3" s="43"/>
      <c r="J3" s="43"/>
      <c r="K3" s="96"/>
    </row>
    <row r="4" spans="1:11">
      <c r="A4" s="349" t="s">
        <v>164</v>
      </c>
      <c r="B4" s="49">
        <f>IF(ISERROR('SEAP template'!B78+'SEAP template'!C78),0,'SEAP template'!B78+'SEAP template'!C78)</f>
        <v>4700.7588247868844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314.40705882352944</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0.20668507673982306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449.15294117647068</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1890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836.12400000000002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836.12400000000002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0.20668507673982306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172.81435310400781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24356.741999999998</v>
      </c>
      <c r="C5" s="17">
        <f>IF(ISERROR('Eigen informatie GS &amp; warmtenet'!B57),0,'Eigen informatie GS &amp; warmtenet'!B57)</f>
        <v>0</v>
      </c>
      <c r="D5" s="30">
        <f>(SUM(HH_hh_gas_kWh,HH_rest_gas_kWh)/1000)*0.902</f>
        <v>46388.159729999999</v>
      </c>
      <c r="E5" s="17">
        <f>B32*B41</f>
        <v>1571.1678750869496</v>
      </c>
      <c r="F5" s="17">
        <f>B36*B45</f>
        <v>49565.444721152278</v>
      </c>
      <c r="G5" s="18"/>
      <c r="H5" s="17"/>
      <c r="I5" s="17"/>
      <c r="J5" s="17">
        <f>B35*B44+C35*C44</f>
        <v>1155.8642984925823</v>
      </c>
      <c r="K5" s="17"/>
      <c r="L5" s="17"/>
      <c r="M5" s="17"/>
      <c r="N5" s="17">
        <f>B34*B43+C34*C43</f>
        <v>7563.0494067405934</v>
      </c>
      <c r="O5" s="17">
        <f>B52*B53*B54</f>
        <v>212.61333333333334</v>
      </c>
      <c r="P5" s="17">
        <f>B60*B61*B62/1000-B60*B61*B62/1000/B63</f>
        <v>400.4</v>
      </c>
    </row>
    <row r="6" spans="1:16">
      <c r="A6" s="16" t="s">
        <v>593</v>
      </c>
      <c r="B6" s="717">
        <f>kWh_PV_kleiner_dan_10kW</f>
        <v>3227.6087694353496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27584.350769435347</v>
      </c>
      <c r="C8" s="21">
        <f>C5</f>
        <v>0</v>
      </c>
      <c r="D8" s="21">
        <f>D5</f>
        <v>46388.159729999999</v>
      </c>
      <c r="E8" s="21">
        <f>E5</f>
        <v>1571.1678750869496</v>
      </c>
      <c r="F8" s="21">
        <f>F5</f>
        <v>49565.444721152278</v>
      </c>
      <c r="G8" s="21"/>
      <c r="H8" s="21"/>
      <c r="I8" s="21"/>
      <c r="J8" s="21">
        <f>J5</f>
        <v>1155.8642984925823</v>
      </c>
      <c r="K8" s="21"/>
      <c r="L8" s="21">
        <f>L5</f>
        <v>0</v>
      </c>
      <c r="M8" s="21">
        <f>M5</f>
        <v>0</v>
      </c>
      <c r="N8" s="21">
        <f>N5</f>
        <v>7563.0494067405934</v>
      </c>
      <c r="O8" s="21">
        <f>O5</f>
        <v>212.61333333333334</v>
      </c>
      <c r="P8" s="21">
        <f>P5</f>
        <v>400.4</v>
      </c>
    </row>
    <row r="9" spans="1:16">
      <c r="B9" s="19"/>
      <c r="C9" s="19"/>
      <c r="D9" s="253"/>
      <c r="E9" s="19"/>
      <c r="F9" s="19"/>
      <c r="G9" s="19"/>
      <c r="H9" s="19"/>
      <c r="I9" s="19"/>
      <c r="J9" s="19"/>
      <c r="K9" s="19"/>
      <c r="L9" s="19"/>
      <c r="M9" s="19"/>
      <c r="N9" s="19"/>
      <c r="O9" s="19"/>
      <c r="P9" s="19"/>
    </row>
    <row r="10" spans="1:16">
      <c r="A10" s="24" t="s">
        <v>207</v>
      </c>
      <c r="B10" s="25">
        <f ca="1">'EF ele_warmte'!B12</f>
        <v>0.20668507673982306</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5701.2736555989422</v>
      </c>
      <c r="C12" s="23">
        <f ca="1">C10*C8</f>
        <v>0</v>
      </c>
      <c r="D12" s="23">
        <f>D8*D10</f>
        <v>9370.4082654600006</v>
      </c>
      <c r="E12" s="23">
        <f>E10*E8</f>
        <v>356.6551076447376</v>
      </c>
      <c r="F12" s="23">
        <f>F10*F8</f>
        <v>13233.973740547659</v>
      </c>
      <c r="G12" s="23"/>
      <c r="H12" s="23"/>
      <c r="I12" s="23"/>
      <c r="J12" s="23">
        <f>J10*J8</f>
        <v>409.17596166637412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6383</v>
      </c>
      <c r="C26" s="36"/>
      <c r="D26" s="224"/>
    </row>
    <row r="27" spans="1:5" s="15" customFormat="1">
      <c r="A27" s="226" t="s">
        <v>696</v>
      </c>
      <c r="B27" s="37">
        <f>SUM(HH_hh_gas_aantal,HH_rest_gas_aantal)</f>
        <v>3411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3240.45</v>
      </c>
      <c r="C31" s="34" t="s">
        <v>104</v>
      </c>
      <c r="D31" s="170"/>
    </row>
    <row r="32" spans="1:5">
      <c r="A32" s="167" t="s">
        <v>72</v>
      </c>
      <c r="B32" s="33">
        <f>IF((B21*($B$26-($B$27-0.05*$B$27)-$B$60))&lt;0,0,B21*($B$26-($B$27-0.05*$B$27)-$B$60))</f>
        <v>19.682060894463561</v>
      </c>
      <c r="C32" s="34" t="s">
        <v>104</v>
      </c>
      <c r="D32" s="170"/>
    </row>
    <row r="33" spans="1:6">
      <c r="A33" s="167" t="s">
        <v>73</v>
      </c>
      <c r="B33" s="33">
        <f>IF((B22*($B$26-($B$27-0.05*$B$27)-$B$60))&lt;0,0,B22*($B$26-($B$27-0.05*$B$27)-$B$60))</f>
        <v>685.40085965323726</v>
      </c>
      <c r="C33" s="34" t="s">
        <v>104</v>
      </c>
      <c r="D33" s="170"/>
    </row>
    <row r="34" spans="1:6">
      <c r="A34" s="167" t="s">
        <v>74</v>
      </c>
      <c r="B34" s="33">
        <f>IF((B24*($B$26-($B$27-0.05*$B$27)-$B$60))&lt;0,0,B24*($B$26-($B$27-0.05*$B$27)-$B$60))</f>
        <v>136.04903847870202</v>
      </c>
      <c r="C34" s="33">
        <f>B26*C24</f>
        <v>1305.9597729155769</v>
      </c>
      <c r="D34" s="229"/>
    </row>
    <row r="35" spans="1:6">
      <c r="A35" s="167" t="s">
        <v>76</v>
      </c>
      <c r="B35" s="33">
        <f>IF((B19*($B$26-($B$27-0.05*$B$27)-$B$60))&lt;0,0,B19*($B$26-($B$27-0.05*$B$27)-$B$60))</f>
        <v>66.467692348312596</v>
      </c>
      <c r="C35" s="33">
        <f>B35/2</f>
        <v>33.233846174156298</v>
      </c>
      <c r="D35" s="229"/>
    </row>
    <row r="36" spans="1:6">
      <c r="A36" s="167" t="s">
        <v>77</v>
      </c>
      <c r="B36" s="33">
        <f>IF((B18*($B$26-($B$27-0.05*$B$27)-$B$60))&lt;0,0,B18*($B$26-($B$27-0.05*$B$27)-$B$60))</f>
        <v>2213.9503486252856</v>
      </c>
      <c r="C36" s="34" t="s">
        <v>104</v>
      </c>
      <c r="D36" s="170"/>
    </row>
    <row r="37" spans="1:6">
      <c r="A37" s="167" t="s">
        <v>78</v>
      </c>
      <c r="B37" s="33">
        <f>B60</f>
        <v>21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17053.063000000002</v>
      </c>
      <c r="C5" s="17">
        <f>IF(ISERROR('Eigen informatie GS &amp; warmtenet'!B58),0,'Eigen informatie GS &amp; warmtenet'!B58)</f>
        <v>0</v>
      </c>
      <c r="D5" s="30">
        <f>SUM(D6:D12)</f>
        <v>35608.069090000005</v>
      </c>
      <c r="E5" s="17">
        <f>SUM(E6:E12)</f>
        <v>140.68296547267536</v>
      </c>
      <c r="F5" s="17">
        <f>SUM(F6:F12)</f>
        <v>3046.308592871897</v>
      </c>
      <c r="G5" s="18"/>
      <c r="H5" s="17"/>
      <c r="I5" s="17"/>
      <c r="J5" s="17">
        <f>SUM(J6:J12)</f>
        <v>0</v>
      </c>
      <c r="K5" s="17"/>
      <c r="L5" s="17"/>
      <c r="M5" s="17"/>
      <c r="N5" s="17">
        <f>SUM(N6:N12)</f>
        <v>602.11950408205178</v>
      </c>
      <c r="O5" s="17">
        <f>B38*B39*B40</f>
        <v>0</v>
      </c>
      <c r="P5" s="17">
        <f>B46*B47*B48/1000-B46*B47*B48/1000/B49</f>
        <v>38.133333333333333</v>
      </c>
      <c r="R5" s="32"/>
    </row>
    <row r="6" spans="1:18">
      <c r="A6" s="32" t="s">
        <v>53</v>
      </c>
      <c r="B6" s="37">
        <f>B26</f>
        <v>10112.630999999999</v>
      </c>
      <c r="C6" s="33"/>
      <c r="D6" s="37">
        <f>IF(ISERROR(TER_kantoor_gas_kWh/1000),0,TER_kantoor_gas_kWh/1000)*0.902</f>
        <v>27730.63249</v>
      </c>
      <c r="E6" s="33">
        <f>$C$26*'E Balans VL '!I12/100/3.6*1000000</f>
        <v>0.14181943855184939</v>
      </c>
      <c r="F6" s="33">
        <f>$C$26*('E Balans VL '!L12+'E Balans VL '!N12)/100/3.6*1000000</f>
        <v>1405.6391151738751</v>
      </c>
      <c r="G6" s="34"/>
      <c r="H6" s="33"/>
      <c r="I6" s="33"/>
      <c r="J6" s="33">
        <f>$C$26*('E Balans VL '!D12+'E Balans VL '!E12)/100/3.6*1000000</f>
        <v>0</v>
      </c>
      <c r="K6" s="33"/>
      <c r="L6" s="33"/>
      <c r="M6" s="33"/>
      <c r="N6" s="33">
        <f>$C$26*'E Balans VL '!Y12/100/3.6*1000000</f>
        <v>125.16183724096334</v>
      </c>
      <c r="O6" s="33"/>
      <c r="P6" s="33"/>
      <c r="R6" s="32"/>
    </row>
    <row r="7" spans="1:18">
      <c r="A7" s="32" t="s">
        <v>52</v>
      </c>
      <c r="B7" s="37">
        <f t="shared" ref="B7:B12" si="0">B27</f>
        <v>1380.4490000000001</v>
      </c>
      <c r="C7" s="33"/>
      <c r="D7" s="37">
        <f>IF(ISERROR(TER_horeca_gas_kWh/1000),0,TER_horeca_gas_kWh/1000)*0.902</f>
        <v>1568.6158840000001</v>
      </c>
      <c r="E7" s="33">
        <f>$C$27*'E Balans VL '!I9/100/3.6*1000000</f>
        <v>19.704860318825965</v>
      </c>
      <c r="F7" s="33">
        <f>$C$27*('E Balans VL '!L9+'E Balans VL '!N9)/100/3.6*1000000</f>
        <v>214.60431144895696</v>
      </c>
      <c r="G7" s="34"/>
      <c r="H7" s="33"/>
      <c r="I7" s="33"/>
      <c r="J7" s="33">
        <f>$C$27*('E Balans VL '!D9+'E Balans VL '!E9)/100/3.6*1000000</f>
        <v>0</v>
      </c>
      <c r="K7" s="33"/>
      <c r="L7" s="33"/>
      <c r="M7" s="33"/>
      <c r="N7" s="33">
        <f>$C$27*'E Balans VL '!Y9/100/3.6*1000000</f>
        <v>0.3557199870882331</v>
      </c>
      <c r="O7" s="33"/>
      <c r="P7" s="33"/>
      <c r="R7" s="32"/>
    </row>
    <row r="8" spans="1:18">
      <c r="A8" s="6" t="s">
        <v>51</v>
      </c>
      <c r="B8" s="37">
        <f t="shared" si="0"/>
        <v>3229.4960000000001</v>
      </c>
      <c r="C8" s="33"/>
      <c r="D8" s="37">
        <f>IF(ISERROR(TER_handel_gas_kWh/1000),0,TER_handel_gas_kWh/1000)*0.902</f>
        <v>1901.0344540000003</v>
      </c>
      <c r="E8" s="33">
        <f>$C$28*'E Balans VL '!I13/100/3.6*1000000</f>
        <v>87.407058766409023</v>
      </c>
      <c r="F8" s="33">
        <f>$C$28*('E Balans VL '!L13+'E Balans VL '!N13)/100/3.6*1000000</f>
        <v>501.4805504063882</v>
      </c>
      <c r="G8" s="34"/>
      <c r="H8" s="33"/>
      <c r="I8" s="33"/>
      <c r="J8" s="33">
        <f>$C$28*('E Balans VL '!D13+'E Balans VL '!E13)/100/3.6*1000000</f>
        <v>0</v>
      </c>
      <c r="K8" s="33"/>
      <c r="L8" s="33"/>
      <c r="M8" s="33"/>
      <c r="N8" s="33">
        <f>$C$28*'E Balans VL '!Y13/100/3.6*1000000</f>
        <v>26.167570815920637</v>
      </c>
      <c r="O8" s="33"/>
      <c r="P8" s="33"/>
      <c r="R8" s="32"/>
    </row>
    <row r="9" spans="1:18">
      <c r="A9" s="32" t="s">
        <v>50</v>
      </c>
      <c r="B9" s="37">
        <f t="shared" si="0"/>
        <v>938.39800000000002</v>
      </c>
      <c r="C9" s="33"/>
      <c r="D9" s="37">
        <f>IF(ISERROR(TER_gezond_gas_kWh/1000),0,TER_gezond_gas_kWh/1000)*0.902</f>
        <v>2145.6153620000005</v>
      </c>
      <c r="E9" s="33">
        <f>$C$29*'E Balans VL '!I10/100/3.6*1000000</f>
        <v>5.8555547397105785E-2</v>
      </c>
      <c r="F9" s="33">
        <f>$C$29*('E Balans VL '!L10+'E Balans VL '!N10)/100/3.6*1000000</f>
        <v>121.48455591699768</v>
      </c>
      <c r="G9" s="34"/>
      <c r="H9" s="33"/>
      <c r="I9" s="33"/>
      <c r="J9" s="33">
        <f>$C$29*('E Balans VL '!D10+'E Balans VL '!E10)/100/3.6*1000000</f>
        <v>0</v>
      </c>
      <c r="K9" s="33"/>
      <c r="L9" s="33"/>
      <c r="M9" s="33"/>
      <c r="N9" s="33">
        <f>$C$29*'E Balans VL '!Y10/100/3.6*1000000</f>
        <v>7.6939466014809943</v>
      </c>
      <c r="O9" s="33"/>
      <c r="P9" s="33"/>
      <c r="R9" s="32"/>
    </row>
    <row r="10" spans="1:18">
      <c r="A10" s="32" t="s">
        <v>49</v>
      </c>
      <c r="B10" s="37">
        <f t="shared" si="0"/>
        <v>1092.8910000000001</v>
      </c>
      <c r="C10" s="33"/>
      <c r="D10" s="37">
        <f>IF(ISERROR(TER_ander_gas_kWh/1000),0,TER_ander_gas_kWh/1000)*0.902</f>
        <v>1294.231994</v>
      </c>
      <c r="E10" s="33">
        <f>$C$30*'E Balans VL '!I14/100/3.6*1000000</f>
        <v>32.993869064142096</v>
      </c>
      <c r="F10" s="33">
        <f>$C$30*('E Balans VL '!L14+'E Balans VL '!N14)/100/3.6*1000000</f>
        <v>691.96161004057137</v>
      </c>
      <c r="G10" s="34"/>
      <c r="H10" s="33"/>
      <c r="I10" s="33"/>
      <c r="J10" s="33">
        <f>$C$30*('E Balans VL '!D14+'E Balans VL '!E14)/100/3.6*1000000</f>
        <v>0</v>
      </c>
      <c r="K10" s="33"/>
      <c r="L10" s="33"/>
      <c r="M10" s="33"/>
      <c r="N10" s="33">
        <f>$C$30*'E Balans VL '!Y14/100/3.6*1000000</f>
        <v>442.36155028419273</v>
      </c>
      <c r="O10" s="33"/>
      <c r="P10" s="33"/>
      <c r="R10" s="32"/>
    </row>
    <row r="11" spans="1:18">
      <c r="A11" s="32" t="s">
        <v>54</v>
      </c>
      <c r="B11" s="37">
        <f t="shared" si="0"/>
        <v>299.19799999999998</v>
      </c>
      <c r="C11" s="33"/>
      <c r="D11" s="37">
        <f>IF(ISERROR(TER_onderwijs_gas_kWh/1000),0,TER_onderwijs_gas_kWh/1000)*0.902</f>
        <v>967.93890600000009</v>
      </c>
      <c r="E11" s="33">
        <f>$C$31*'E Balans VL '!I11/100/3.6*1000000</f>
        <v>0.37680233734931134</v>
      </c>
      <c r="F11" s="33">
        <f>$C$31*('E Balans VL '!L11+'E Balans VL '!N11)/100/3.6*1000000</f>
        <v>111.13844988510738</v>
      </c>
      <c r="G11" s="34"/>
      <c r="H11" s="33"/>
      <c r="I11" s="33"/>
      <c r="J11" s="33">
        <f>$C$31*('E Balans VL '!D11+'E Balans VL '!E11)/100/3.6*1000000</f>
        <v>0</v>
      </c>
      <c r="K11" s="33"/>
      <c r="L11" s="33"/>
      <c r="M11" s="33"/>
      <c r="N11" s="33">
        <f>$C$31*'E Balans VL '!Y11/100/3.6*1000000</f>
        <v>0.37887915240584091</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1323</v>
      </c>
      <c r="C13" s="242">
        <f ca="1">'lokale energieproductie'!O38+'lokale energieproductie'!O31</f>
        <v>1890</v>
      </c>
      <c r="D13" s="300">
        <f ca="1">('lokale energieproductie'!P31+'lokale energieproductie'!P38)*(-1)</f>
        <v>-3780.0000000000005</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18376.063000000002</v>
      </c>
      <c r="C16" s="21">
        <f t="shared" ca="1" si="1"/>
        <v>1890</v>
      </c>
      <c r="D16" s="21">
        <f t="shared" ca="1" si="1"/>
        <v>31828.069090000005</v>
      </c>
      <c r="E16" s="21">
        <f t="shared" si="1"/>
        <v>140.68296547267536</v>
      </c>
      <c r="F16" s="21">
        <f t="shared" ca="1" si="1"/>
        <v>3046.308592871897</v>
      </c>
      <c r="G16" s="21">
        <f t="shared" si="1"/>
        <v>0</v>
      </c>
      <c r="H16" s="21">
        <f t="shared" si="1"/>
        <v>0</v>
      </c>
      <c r="I16" s="21">
        <f t="shared" si="1"/>
        <v>0</v>
      </c>
      <c r="J16" s="21">
        <f t="shared" si="1"/>
        <v>0</v>
      </c>
      <c r="K16" s="21">
        <f t="shared" si="1"/>
        <v>0</v>
      </c>
      <c r="L16" s="21">
        <f t="shared" ca="1" si="1"/>
        <v>0</v>
      </c>
      <c r="M16" s="21">
        <f t="shared" si="1"/>
        <v>0</v>
      </c>
      <c r="N16" s="21">
        <f t="shared" ca="1" si="1"/>
        <v>602.11950408205178</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0.20668507673982306</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3798.0579913308234</v>
      </c>
      <c r="C20" s="23">
        <f t="shared" ref="C20:P20" ca="1" si="2">C16*C18</f>
        <v>449.15294117647068</v>
      </c>
      <c r="D20" s="23">
        <f t="shared" ca="1" si="2"/>
        <v>6429.2699561800009</v>
      </c>
      <c r="E20" s="23">
        <f t="shared" si="2"/>
        <v>31.935033162297309</v>
      </c>
      <c r="F20" s="23">
        <f t="shared" ca="1" si="2"/>
        <v>813.36439429679649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10112.630999999999</v>
      </c>
      <c r="C26" s="39">
        <f>IF(ISERROR(B26*3.6/1000000/'E Balans VL '!Z12*100),0,B26*3.6/1000000/'E Balans VL '!Z12*100)</f>
        <v>0.27467800682953081</v>
      </c>
      <c r="D26" s="232" t="s">
        <v>651</v>
      </c>
      <c r="F26" s="6"/>
    </row>
    <row r="27" spans="1:18">
      <c r="A27" s="227" t="s">
        <v>52</v>
      </c>
      <c r="B27" s="33">
        <f>IF(ISERROR(TER_horeca_ele_kWh/1000),0,TER_horeca_ele_kWh/1000)</f>
        <v>1380.4490000000001</v>
      </c>
      <c r="C27" s="39">
        <f>IF(ISERROR(B27*3.6/1000000/'E Balans VL '!Z9*100),0,B27*3.6/1000000/'E Balans VL '!Z9*100)</f>
        <v>0.11092982901745917</v>
      </c>
      <c r="D27" s="232" t="s">
        <v>651</v>
      </c>
      <c r="F27" s="6"/>
    </row>
    <row r="28" spans="1:18">
      <c r="A28" s="167" t="s">
        <v>51</v>
      </c>
      <c r="B28" s="33">
        <f>IF(ISERROR(TER_handel_ele_kWh/1000),0,TER_handel_ele_kWh/1000)</f>
        <v>3229.4960000000001</v>
      </c>
      <c r="C28" s="39">
        <f>IF(ISERROR(B28*3.6/1000000/'E Balans VL '!Z13*100),0,B28*3.6/1000000/'E Balans VL '!Z13*100)</f>
        <v>9.5383577392528049E-2</v>
      </c>
      <c r="D28" s="232" t="s">
        <v>651</v>
      </c>
      <c r="F28" s="6"/>
    </row>
    <row r="29" spans="1:18">
      <c r="A29" s="227" t="s">
        <v>50</v>
      </c>
      <c r="B29" s="33">
        <f>IF(ISERROR(TER_gezond_ele_kWh/1000),0,TER_gezond_ele_kWh/1000)</f>
        <v>938.39800000000002</v>
      </c>
      <c r="C29" s="39">
        <f>IF(ISERROR(B29*3.6/1000000/'E Balans VL '!Z10*100),0,B29*3.6/1000000/'E Balans VL '!Z10*100)</f>
        <v>0.10732081883865399</v>
      </c>
      <c r="D29" s="232" t="s">
        <v>651</v>
      </c>
      <c r="F29" s="6"/>
    </row>
    <row r="30" spans="1:18">
      <c r="A30" s="227" t="s">
        <v>49</v>
      </c>
      <c r="B30" s="33">
        <f>IF(ISERROR(TER_ander_ele_kWh/1000),0,TER_ander_ele_kWh/1000)</f>
        <v>1092.8910000000001</v>
      </c>
      <c r="C30" s="39">
        <f>IF(ISERROR(B30*3.6/1000000/'E Balans VL '!Z14*100),0,B30*3.6/1000000/'E Balans VL '!Z14*100)</f>
        <v>5.1073073590901116E-2</v>
      </c>
      <c r="D30" s="232" t="s">
        <v>651</v>
      </c>
      <c r="F30" s="6"/>
    </row>
    <row r="31" spans="1:18">
      <c r="A31" s="227" t="s">
        <v>54</v>
      </c>
      <c r="B31" s="33">
        <f>IF(ISERROR(TER_onderwijs_ele_kWh/1000),0,TER_onderwijs_ele_kWh/1000)</f>
        <v>299.19799999999998</v>
      </c>
      <c r="C31" s="39">
        <f>IF(ISERROR(B31*3.6/1000000/'E Balans VL '!Z11*100),0,B31*3.6/1000000/'E Balans VL '!Z11*100)</f>
        <v>7.9008785716655636E-2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2058.069</v>
      </c>
      <c r="C5" s="17">
        <f>IF(ISERROR('Eigen informatie GS &amp; warmtenet'!B59),0,'Eigen informatie GS &amp; warmtenet'!B59)</f>
        <v>0</v>
      </c>
      <c r="D5" s="30">
        <f>SUM(D6:D15)</f>
        <v>1267.465144</v>
      </c>
      <c r="E5" s="17">
        <f>SUM(E6:E15)</f>
        <v>269.02565085894958</v>
      </c>
      <c r="F5" s="17">
        <f>SUM(F6:F15)</f>
        <v>1759.0380626343408</v>
      </c>
      <c r="G5" s="18"/>
      <c r="H5" s="17"/>
      <c r="I5" s="17"/>
      <c r="J5" s="17">
        <f>SUM(J6:J15)</f>
        <v>13.33761590314851</v>
      </c>
      <c r="K5" s="17"/>
      <c r="L5" s="17"/>
      <c r="M5" s="17"/>
      <c r="N5" s="17">
        <f>SUM(N6:N15)</f>
        <v>352.15758132703485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47.985999999999997</v>
      </c>
      <c r="C8" s="33"/>
      <c r="D8" s="37">
        <f>IF( ISERROR(IND_metaal_Gas_kWH/1000),0,IND_metaal_Gas_kWH/1000)*0.902</f>
        <v>150.61596</v>
      </c>
      <c r="E8" s="33">
        <f>C30*'E Balans VL '!I18/100/3.6*1000000</f>
        <v>1.2009216325980385</v>
      </c>
      <c r="F8" s="33">
        <f>C30*'E Balans VL '!L18/100/3.6*1000000+C30*'E Balans VL '!N18/100/3.6*1000000</f>
        <v>15.039051094639579</v>
      </c>
      <c r="G8" s="34"/>
      <c r="H8" s="33"/>
      <c r="I8" s="33"/>
      <c r="J8" s="40">
        <f>C30*'E Balans VL '!D18/100/3.6*1000000+C30*'E Balans VL '!E18/100/3.6*1000000</f>
        <v>0</v>
      </c>
      <c r="K8" s="33"/>
      <c r="L8" s="33"/>
      <c r="M8" s="33"/>
      <c r="N8" s="33">
        <f>C30*'E Balans VL '!Y18/100/3.6*1000000</f>
        <v>1.2055328545294945</v>
      </c>
      <c r="O8" s="33"/>
      <c r="P8" s="33"/>
      <c r="R8" s="32"/>
    </row>
    <row r="9" spans="1:18">
      <c r="A9" s="6" t="s">
        <v>32</v>
      </c>
      <c r="B9" s="37">
        <f t="shared" si="0"/>
        <v>938.75699999999995</v>
      </c>
      <c r="C9" s="33"/>
      <c r="D9" s="37">
        <f>IF( ISERROR(IND_andere_gas_kWh/1000),0,IND_andere_gas_kWh/1000)*0.902</f>
        <v>651.94214799999997</v>
      </c>
      <c r="E9" s="33">
        <f>C31*'E Balans VL '!I19/100/3.6*1000000</f>
        <v>258.11967182945551</v>
      </c>
      <c r="F9" s="33">
        <f>C31*'E Balans VL '!L19/100/3.6*1000000+C31*'E Balans VL '!N19/100/3.6*1000000</f>
        <v>739.90387144658769</v>
      </c>
      <c r="G9" s="34"/>
      <c r="H9" s="33"/>
      <c r="I9" s="33"/>
      <c r="J9" s="40">
        <f>C31*'E Balans VL '!D19/100/3.6*1000000+C31*'E Balans VL '!E19/100/3.6*1000000</f>
        <v>0</v>
      </c>
      <c r="K9" s="33"/>
      <c r="L9" s="33"/>
      <c r="M9" s="33"/>
      <c r="N9" s="33">
        <f>C31*'E Balans VL '!Y19/100/3.6*1000000</f>
        <v>75.626855482861458</v>
      </c>
      <c r="O9" s="33"/>
      <c r="P9" s="33"/>
      <c r="R9" s="32"/>
    </row>
    <row r="10" spans="1:18">
      <c r="A10" s="6" t="s">
        <v>40</v>
      </c>
      <c r="B10" s="37">
        <f t="shared" si="0"/>
        <v>516.36199999999997</v>
      </c>
      <c r="C10" s="33"/>
      <c r="D10" s="37">
        <f>IF( ISERROR(IND_voed_gas_kWh/1000),0,IND_voed_gas_kWh/1000)*0.902</f>
        <v>294.19361399999997</v>
      </c>
      <c r="E10" s="33">
        <f>C32*'E Balans VL '!I20/100/3.6*1000000</f>
        <v>5.2640261245510329</v>
      </c>
      <c r="F10" s="33">
        <f>C32*'E Balans VL '!L20/100/3.6*1000000+C32*'E Balans VL '!N20/100/3.6*1000000</f>
        <v>975.40458846743991</v>
      </c>
      <c r="G10" s="34"/>
      <c r="H10" s="33"/>
      <c r="I10" s="33"/>
      <c r="J10" s="40">
        <f>C32*'E Balans VL '!D20/100/3.6*1000000+C32*'E Balans VL '!E20/100/3.6*1000000</f>
        <v>12.358232204113236</v>
      </c>
      <c r="K10" s="33"/>
      <c r="L10" s="33"/>
      <c r="M10" s="33"/>
      <c r="N10" s="33">
        <f>C32*'E Balans VL '!Y20/100/3.6*1000000</f>
        <v>272.18225160904342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497.27100000000002</v>
      </c>
      <c r="C12" s="33"/>
      <c r="D12" s="37">
        <f>IF( ISERROR(IND_min_gas_kWh/1000),0,IND_min_gas_kWh/1000)*0.902</f>
        <v>0</v>
      </c>
      <c r="E12" s="33">
        <f>C34*'E Balans VL '!I22/100/3.6*1000000</f>
        <v>1.5060089170047188</v>
      </c>
      <c r="F12" s="33">
        <f>C34*'E Balans VL '!L22/100/3.6*1000000+C34*'E Balans VL '!N22/100/3.6*1000000</f>
        <v>15.540146271832672</v>
      </c>
      <c r="G12" s="34"/>
      <c r="H12" s="33"/>
      <c r="I12" s="33"/>
      <c r="J12" s="40">
        <f>C34*'E Balans VL '!D22/100/3.6*1000000+C34*'E Balans VL '!E22/100/3.6*1000000</f>
        <v>0.73734250452621153</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57.692999999999998</v>
      </c>
      <c r="C15" s="33"/>
      <c r="D15" s="37">
        <f>IF( ISERROR(IND_rest_gas_kWh/1000),0,IND_rest_gas_kWh/1000)*0.902</f>
        <v>170.71342200000001</v>
      </c>
      <c r="E15" s="33">
        <f>C37*'E Balans VL '!I15/100/3.6*1000000</f>
        <v>2.9350223553403088</v>
      </c>
      <c r="F15" s="33">
        <f>C37*'E Balans VL '!L15/100/3.6*1000000+C37*'E Balans VL '!N15/100/3.6*1000000</f>
        <v>13.150405353840808</v>
      </c>
      <c r="G15" s="34"/>
      <c r="H15" s="33"/>
      <c r="I15" s="33"/>
      <c r="J15" s="40">
        <f>C37*'E Balans VL '!D15/100/3.6*1000000+C37*'E Balans VL '!E15/100/3.6*1000000</f>
        <v>0.2420411945090632</v>
      </c>
      <c r="K15" s="33"/>
      <c r="L15" s="33"/>
      <c r="M15" s="33"/>
      <c r="N15" s="33">
        <f>C37*'E Balans VL '!Y15/100/3.6*1000000</f>
        <v>3.1429413806004889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2058.069</v>
      </c>
      <c r="C18" s="21">
        <f>C5+C16</f>
        <v>0</v>
      </c>
      <c r="D18" s="21">
        <f>MAX((D5+D16),0)</f>
        <v>1267.465144</v>
      </c>
      <c r="E18" s="21">
        <f>MAX((E5+E16),0)</f>
        <v>269.02565085894958</v>
      </c>
      <c r="F18" s="21">
        <f>MAX((F5+F16),0)</f>
        <v>1759.0380626343408</v>
      </c>
      <c r="G18" s="21"/>
      <c r="H18" s="21"/>
      <c r="I18" s="21"/>
      <c r="J18" s="21">
        <f>MAX((J5+J16),0)</f>
        <v>13.33761590314851</v>
      </c>
      <c r="K18" s="21"/>
      <c r="L18" s="21">
        <f>MAX((L5+L16),0)</f>
        <v>0</v>
      </c>
      <c r="M18" s="21"/>
      <c r="N18" s="21">
        <f>MAX((N5+N16),0)</f>
        <v>352.15758132703485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0.20668507673982306</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425.37214920085091</v>
      </c>
      <c r="C22" s="23">
        <f ca="1">C18*C20</f>
        <v>0</v>
      </c>
      <c r="D22" s="23">
        <f>D18*D20</f>
        <v>256.02795908800005</v>
      </c>
      <c r="E22" s="23">
        <f>E18*E20</f>
        <v>61.068822744981553</v>
      </c>
      <c r="F22" s="23">
        <f>F18*F20</f>
        <v>469.663162723369</v>
      </c>
      <c r="G22" s="23"/>
      <c r="H22" s="23"/>
      <c r="I22" s="23"/>
      <c r="J22" s="23">
        <f>J18*J20</f>
        <v>4.7215160297145724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47.985999999999997</v>
      </c>
      <c r="C30" s="39">
        <f>IF(ISERROR(B30*3.6/1000000/'E Balans VL '!Z18*100),0,B30*3.6/1000000/'E Balans VL '!Z18*100)</f>
        <v>6.7164408488836896E-3</v>
      </c>
      <c r="D30" s="232" t="s">
        <v>651</v>
      </c>
    </row>
    <row r="31" spans="1:18">
      <c r="A31" s="6" t="s">
        <v>32</v>
      </c>
      <c r="B31" s="37">
        <f>IF( ISERROR(IND_ander_ele_kWh/1000),0,IND_ander_ele_kWh/1000)</f>
        <v>938.75699999999995</v>
      </c>
      <c r="C31" s="39">
        <f>IF(ISERROR(B31*3.6/1000000/'E Balans VL '!Z19*100),0,B31*3.6/1000000/'E Balans VL '!Z19*100)</f>
        <v>4.1089241601978375E-2</v>
      </c>
      <c r="D31" s="232" t="s">
        <v>651</v>
      </c>
    </row>
    <row r="32" spans="1:18">
      <c r="A32" s="167" t="s">
        <v>40</v>
      </c>
      <c r="B32" s="37">
        <f>IF( ISERROR(IND_voed_ele_kWh/1000),0,IND_voed_ele_kWh/1000)</f>
        <v>516.36199999999997</v>
      </c>
      <c r="C32" s="39">
        <f>IF(ISERROR(B32*3.6/1000000/'E Balans VL '!Z20*100),0,B32*3.6/1000000/'E Balans VL '!Z20*100)</f>
        <v>0.12783408366379045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497.27100000000002</v>
      </c>
      <c r="C34" s="39">
        <f>IF(ISERROR(B34*3.6/1000000/'E Balans VL '!Z22*100),0,B34*3.6/1000000/'E Balans VL '!Z22*100)</f>
        <v>1.4110522223354422E-2</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57.692999999999998</v>
      </c>
      <c r="C37" s="39">
        <f>IF(ISERROR(B37*3.6/1000000/'E Balans VL '!Z15*100),0,B37*3.6/1000000/'E Balans VL '!Z15*100)</f>
        <v>4.2778371754042101E-4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139.20500000000001</v>
      </c>
      <c r="C5" s="17">
        <f>'Eigen informatie GS &amp; warmtenet'!B60</f>
        <v>0</v>
      </c>
      <c r="D5" s="30">
        <f>IF(ISERROR(SUM(LB_lb_gas_kWh,LB_rest_gas_kWh)/1000),0,SUM(LB_lb_gas_kWh,LB_rest_gas_kWh)/1000)*0.902</f>
        <v>70.020455999999996</v>
      </c>
      <c r="E5" s="17">
        <f>B17*'E Balans VL '!I25/3.6*1000000/100</f>
        <v>2.9850479015930911</v>
      </c>
      <c r="F5" s="17">
        <f>B17*('E Balans VL '!L25/3.6*1000000+'E Balans VL '!N25/3.6*1000000)/100</f>
        <v>451.53641399546751</v>
      </c>
      <c r="G5" s="18"/>
      <c r="H5" s="17"/>
      <c r="I5" s="17"/>
      <c r="J5" s="17">
        <f>('E Balans VL '!D25+'E Balans VL '!E25)/3.6*1000000*landbouw!B17/100</f>
        <v>13.412475317114456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139.20500000000001</v>
      </c>
      <c r="C8" s="21">
        <f>C5+C6</f>
        <v>0</v>
      </c>
      <c r="D8" s="21">
        <f>MAX((D5+D6),0)</f>
        <v>70.020455999999996</v>
      </c>
      <c r="E8" s="21">
        <f>MAX((E5+E6),0)</f>
        <v>2.9850479015930911</v>
      </c>
      <c r="F8" s="21">
        <f>MAX((F5+F6),0)</f>
        <v>451.53641399546751</v>
      </c>
      <c r="G8" s="21"/>
      <c r="H8" s="21"/>
      <c r="I8" s="21"/>
      <c r="J8" s="21">
        <f>MAX((J5+J6),0)</f>
        <v>13.412475317114456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0.20668507673982306</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28.771596107567071</v>
      </c>
      <c r="C12" s="23">
        <f ca="1">C8*C10</f>
        <v>0</v>
      </c>
      <c r="D12" s="23">
        <f>D8*D10</f>
        <v>14.144132111999999</v>
      </c>
      <c r="E12" s="23">
        <f>E8*E10</f>
        <v>0.67760587366163172</v>
      </c>
      <c r="F12" s="23">
        <f>F8*F10</f>
        <v>120.56022253678984</v>
      </c>
      <c r="G12" s="23"/>
      <c r="H12" s="23"/>
      <c r="I12" s="23"/>
      <c r="J12" s="23">
        <f>J8*J10</f>
        <v>4.7480162622585169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1.9791999343808972E-2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10.953275401208117</v>
      </c>
      <c r="C26" s="242">
        <f>B26*'GWP N2O_CH4'!B5</f>
        <v>230.01878342537046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2.5539015607775792</v>
      </c>
      <c r="C27" s="242">
        <f>B27*'GWP N2O_CH4'!B5</f>
        <v>53.631932776329165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0.14871871317480881</v>
      </c>
      <c r="C28" s="242">
        <f>B28*'GWP N2O_CH4'!B4</f>
        <v>46.10280108419073</v>
      </c>
      <c r="D28" s="50"/>
    </row>
    <row r="29" spans="1:4">
      <c r="A29" s="41" t="s">
        <v>266</v>
      </c>
      <c r="B29" s="242">
        <f>B34*'ha_N2O bodem landbouw'!B4</f>
        <v>2.6479148590357511</v>
      </c>
      <c r="C29" s="242">
        <f>B29*'GWP N2O_CH4'!B4</f>
        <v>820.85360630108289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5.9388065374382359E-4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4.0481145458314922E-5</v>
      </c>
      <c r="C5" s="428" t="s">
        <v>204</v>
      </c>
      <c r="D5" s="413">
        <f>SUM(D6:D11)</f>
        <v>6.8881760679407437E-5</v>
      </c>
      <c r="E5" s="413">
        <f>SUM(E6:E11)</f>
        <v>6.5990001364010569E-4</v>
      </c>
      <c r="F5" s="426" t="s">
        <v>204</v>
      </c>
      <c r="G5" s="413">
        <f>SUM(G6:G11)</f>
        <v>0.18677353847019745</v>
      </c>
      <c r="H5" s="413">
        <f>SUM(H6:H11)</f>
        <v>4.1948490189269612E-2</v>
      </c>
      <c r="I5" s="428" t="s">
        <v>204</v>
      </c>
      <c r="J5" s="428" t="s">
        <v>204</v>
      </c>
      <c r="K5" s="428" t="s">
        <v>204</v>
      </c>
      <c r="L5" s="428" t="s">
        <v>204</v>
      </c>
      <c r="M5" s="413">
        <f>SUM(M6:M11)</f>
        <v>1.2108147014429976E-2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2.7606714143178539E-5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4.1753133295094538E-5</v>
      </c>
      <c r="E6" s="819">
        <f>vkm_GW_PW*SUMIFS(TableVerdeelsleutelVkm[LPG],TableVerdeelsleutelVkm[Voertuigtype],"Lichte voertuigen")*SUMIFS(TableECFTransport[EnergieConsumptieFactor (PJ per km)],TableECFTransport[Index],CONCATENATE($A6,"_LPG_LPG"))</f>
        <v>4.0787756701364492E-4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9.4703599549570694E-2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2.5795466930277247E-2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6.277480750024083E-3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9.1352811186411308E-7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3.5061403220283879E-2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7.8563901020173624E-7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2.0327841171043056E-3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1.1910900980657572E-5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2.7128627384312896E-5</v>
      </c>
      <c r="E8" s="416">
        <f>vkm_NGW_PW*SUMIFS(TableVerdeelsleutelVkm[LPG],TableVerdeelsleutelVkm[Voertuigtype],"Lichte voertuigen")*SUMIFS(TableECFTransport[EnergieConsumptieFactor (PJ per km)],TableECFTransport[Index],CONCATENATE($A8,"_LPG_LPG"))</f>
        <v>2.5202244662646072E-4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5.454285387885284E-2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1.6152185715259015E-2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3.6549273649277886E-3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5.0002222614699001E-8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2.4656818214900469E-3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5.1904723153934886E-8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1.4295478237379982E-4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11.244762627309701</v>
      </c>
      <c r="C14" s="21"/>
      <c r="D14" s="21">
        <f t="shared" ref="D14:M14" si="0">((D5)*10^9/3600)+D12</f>
        <v>19.133822410946511</v>
      </c>
      <c r="E14" s="21">
        <f t="shared" si="0"/>
        <v>183.30555934447381</v>
      </c>
      <c r="F14" s="21"/>
      <c r="G14" s="21">
        <f t="shared" si="0"/>
        <v>51881.538463943732</v>
      </c>
      <c r="H14" s="21">
        <f t="shared" si="0"/>
        <v>11652.358385908225</v>
      </c>
      <c r="I14" s="21"/>
      <c r="J14" s="21"/>
      <c r="K14" s="21"/>
      <c r="L14" s="21"/>
      <c r="M14" s="21">
        <f t="shared" si="0"/>
        <v>3363.3741706749934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0.20668507673982306</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2.3241246265465998</v>
      </c>
      <c r="C18" s="23"/>
      <c r="D18" s="23">
        <f t="shared" ref="D18:M18" si="1">D14*D16</f>
        <v>3.8650321270111956</v>
      </c>
      <c r="E18" s="23">
        <f t="shared" si="1"/>
        <v>41.610361971195559</v>
      </c>
      <c r="F18" s="23"/>
      <c r="G18" s="23">
        <f t="shared" si="1"/>
        <v>13852.370769872978</v>
      </c>
      <c r="H18" s="23">
        <f t="shared" si="1"/>
        <v>2901.4372380911477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2.3202911846535801E-5</v>
      </c>
      <c r="C50" s="311">
        <f t="shared" ref="C50:P50" si="2">SUM(C51:C52)</f>
        <v>0</v>
      </c>
      <c r="D50" s="311">
        <f t="shared" si="2"/>
        <v>0</v>
      </c>
      <c r="E50" s="311">
        <f t="shared" si="2"/>
        <v>0</v>
      </c>
      <c r="F50" s="311">
        <f t="shared" si="2"/>
        <v>0</v>
      </c>
      <c r="G50" s="311">
        <f t="shared" si="2"/>
        <v>4.3966457216632147E-3</v>
      </c>
      <c r="H50" s="311">
        <f t="shared" si="2"/>
        <v>0</v>
      </c>
      <c r="I50" s="311">
        <f t="shared" si="2"/>
        <v>0</v>
      </c>
      <c r="J50" s="311">
        <f t="shared" si="2"/>
        <v>0</v>
      </c>
      <c r="K50" s="311">
        <f t="shared" si="2"/>
        <v>0</v>
      </c>
      <c r="L50" s="311">
        <f t="shared" si="2"/>
        <v>0</v>
      </c>
      <c r="M50" s="311">
        <f t="shared" si="2"/>
        <v>2.531062593390915E-4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2.3202911846535801E-5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4.3966457216632147E-3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2.531062593390915E-4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6.4452532907043887</v>
      </c>
      <c r="C54" s="21">
        <f t="shared" ref="C54:P54" si="3">(C50)*10^9/3600</f>
        <v>0</v>
      </c>
      <c r="D54" s="21">
        <f t="shared" si="3"/>
        <v>0</v>
      </c>
      <c r="E54" s="21">
        <f t="shared" si="3"/>
        <v>0</v>
      </c>
      <c r="F54" s="21">
        <f t="shared" si="3"/>
        <v>0</v>
      </c>
      <c r="G54" s="21">
        <f t="shared" si="3"/>
        <v>1221.2904782397818</v>
      </c>
      <c r="H54" s="21">
        <f t="shared" si="3"/>
        <v>0</v>
      </c>
      <c r="I54" s="21">
        <f t="shared" si="3"/>
        <v>0</v>
      </c>
      <c r="J54" s="21">
        <f t="shared" si="3"/>
        <v>0</v>
      </c>
      <c r="K54" s="21">
        <f t="shared" si="3"/>
        <v>0</v>
      </c>
      <c r="L54" s="21">
        <f t="shared" si="3"/>
        <v>0</v>
      </c>
      <c r="M54" s="21">
        <f t="shared" si="3"/>
        <v>70.307294260858754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0.20668507673982306</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1.3321376709968338</v>
      </c>
      <c r="C58" s="23">
        <f t="shared" ref="C58:P58" ca="1" si="4">C54*C56</f>
        <v>0</v>
      </c>
      <c r="D58" s="23">
        <f t="shared" si="4"/>
        <v>0</v>
      </c>
      <c r="E58" s="23">
        <f t="shared" si="4"/>
        <v>0</v>
      </c>
      <c r="F58" s="23">
        <f t="shared" si="4"/>
        <v>0</v>
      </c>
      <c r="G58" s="23">
        <f t="shared" si="4"/>
        <v>326.08455769002177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3377.7588247868839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1323</v>
      </c>
      <c r="C8" s="535">
        <f>B48</f>
        <v>1556.4705882352941</v>
      </c>
      <c r="D8" s="974"/>
      <c r="E8" s="974">
        <f>E48</f>
        <v>0</v>
      </c>
      <c r="F8" s="975"/>
      <c r="G8" s="536"/>
      <c r="H8" s="974">
        <f>I48</f>
        <v>0</v>
      </c>
      <c r="I8" s="974">
        <f>G48+F48</f>
        <v>0</v>
      </c>
      <c r="J8" s="974">
        <f>H48+D48+C48</f>
        <v>0</v>
      </c>
      <c r="K8" s="974"/>
      <c r="L8" s="974"/>
      <c r="M8" s="974"/>
      <c r="N8" s="537"/>
      <c r="O8" s="538">
        <f>C8*$C$12+D8*$D$12+E8*$E$12+F8*$F$12+G8*$G$12+H8*$H$12+I8*$I$12+J8*$J$12</f>
        <v>314.40705882352944</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4700.7588247868844</v>
      </c>
      <c r="C10" s="548">
        <f t="shared" ref="C10:L10" si="0">SUM(C8:C9)</f>
        <v>1556.4705882352941</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314.40705882352944</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1890</v>
      </c>
      <c r="C17" s="560">
        <f>B49</f>
        <v>2223.5294117647063</v>
      </c>
      <c r="D17" s="561"/>
      <c r="E17" s="561">
        <f>E49</f>
        <v>0</v>
      </c>
      <c r="F17" s="980"/>
      <c r="G17" s="562"/>
      <c r="H17" s="560">
        <f>I49</f>
        <v>0</v>
      </c>
      <c r="I17" s="561">
        <f>G49+F49</f>
        <v>0</v>
      </c>
      <c r="J17" s="561">
        <f>H49+D49+C49</f>
        <v>0</v>
      </c>
      <c r="K17" s="561"/>
      <c r="L17" s="561"/>
      <c r="M17" s="561"/>
      <c r="N17" s="981"/>
      <c r="O17" s="563">
        <f>C17*$C$22+E17*$E$22+H17*$H$22+I17*$I$22+J17*$J$22+D17*$D$22+F17*$F$22+G17*$G$22+K17*$K$22+L17*$L$22</f>
        <v>449.15294117647068</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1890</v>
      </c>
      <c r="C20" s="547">
        <f>SUM(C17:C19)</f>
        <v>2223.5294117647063</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449.15294117647068</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71034</v>
      </c>
      <c r="C28" s="725">
        <v>3970</v>
      </c>
      <c r="D28" s="618"/>
      <c r="E28" s="617"/>
      <c r="F28" s="617"/>
      <c r="G28" s="617" t="s">
        <v>904</v>
      </c>
      <c r="H28" s="617" t="s">
        <v>905</v>
      </c>
      <c r="I28" s="617"/>
      <c r="J28" s="724"/>
      <c r="K28" s="724"/>
      <c r="L28" s="617" t="s">
        <v>906</v>
      </c>
      <c r="M28" s="617">
        <v>294</v>
      </c>
      <c r="N28" s="617">
        <v>1323</v>
      </c>
      <c r="O28" s="617">
        <v>1890</v>
      </c>
      <c r="P28" s="617">
        <v>3780.0000000000005</v>
      </c>
      <c r="Q28" s="617">
        <v>0</v>
      </c>
      <c r="R28" s="617">
        <v>0</v>
      </c>
      <c r="S28" s="617">
        <v>0</v>
      </c>
      <c r="T28" s="617">
        <v>0</v>
      </c>
      <c r="U28" s="617">
        <v>0</v>
      </c>
      <c r="V28" s="617">
        <v>0</v>
      </c>
      <c r="W28" s="617">
        <v>0</v>
      </c>
      <c r="X28" s="617"/>
      <c r="Y28" s="617">
        <v>1300</v>
      </c>
      <c r="Z28" s="617" t="s">
        <v>53</v>
      </c>
      <c r="AA28" s="619" t="s">
        <v>149</v>
      </c>
    </row>
    <row r="29" spans="1:27" s="555" customFormat="1" hidden="1">
      <c r="A29" s="573" t="s">
        <v>269</v>
      </c>
      <c r="B29" s="574"/>
      <c r="C29" s="574"/>
      <c r="D29" s="574"/>
      <c r="E29" s="574"/>
      <c r="F29" s="574"/>
      <c r="G29" s="574"/>
      <c r="H29" s="574"/>
      <c r="I29" s="574"/>
      <c r="J29" s="574"/>
      <c r="K29" s="574"/>
      <c r="L29" s="575"/>
      <c r="M29" s="575">
        <f>SUM(M28:M28)</f>
        <v>294</v>
      </c>
      <c r="N29" s="575">
        <f>SUM(N28:N28)</f>
        <v>1323</v>
      </c>
      <c r="O29" s="575">
        <f>SUM(O28:O28)</f>
        <v>1890</v>
      </c>
      <c r="P29" s="575">
        <f>SUM(P28:P28)</f>
        <v>3780.0000000000005</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294</v>
      </c>
      <c r="N31" s="575">
        <f ca="1">SUMIF($AA$28:AE28,"tertiair",N28:N28)</f>
        <v>1323</v>
      </c>
      <c r="O31" s="575">
        <f ca="1">SUMIF($AA$28:AF28,"tertiair",O28:O28)</f>
        <v>1890</v>
      </c>
      <c r="P31" s="575">
        <f ca="1">SUMIF($AA$28:AG28,"tertiair",P28:P28)</f>
        <v>3780.0000000000005</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1556.4705882352941</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2223.5294117647063</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19212.187000000002</v>
      </c>
      <c r="D10" s="943">
        <f ca="1">tertiair!C16</f>
        <v>1890</v>
      </c>
      <c r="E10" s="943">
        <f ca="1">tertiair!D16</f>
        <v>31828.069090000005</v>
      </c>
      <c r="F10" s="943">
        <f>tertiair!E16</f>
        <v>140.68296547267536</v>
      </c>
      <c r="G10" s="943">
        <f ca="1">tertiair!F16</f>
        <v>3046.308592871897</v>
      </c>
      <c r="H10" s="943">
        <f>tertiair!G16</f>
        <v>0</v>
      </c>
      <c r="I10" s="943">
        <f>tertiair!H16</f>
        <v>0</v>
      </c>
      <c r="J10" s="943">
        <f>tertiair!I16</f>
        <v>0</v>
      </c>
      <c r="K10" s="943">
        <f>tertiair!J16</f>
        <v>0</v>
      </c>
      <c r="L10" s="943">
        <f>tertiair!K16</f>
        <v>0</v>
      </c>
      <c r="M10" s="943">
        <f ca="1">tertiair!L16</f>
        <v>0</v>
      </c>
      <c r="N10" s="943">
        <f>tertiair!M16</f>
        <v>0</v>
      </c>
      <c r="O10" s="943">
        <f ca="1">tertiair!N16</f>
        <v>602.11950408205178</v>
      </c>
      <c r="P10" s="943">
        <f>tertiair!O16</f>
        <v>0</v>
      </c>
      <c r="Q10" s="944">
        <f>tertiair!P16</f>
        <v>38.133333333333333</v>
      </c>
      <c r="R10" s="629">
        <f ca="1">SUM(C10:Q10)</f>
        <v>56757.500485759963</v>
      </c>
      <c r="S10" s="67"/>
    </row>
    <row r="11" spans="1:19" s="438" customFormat="1">
      <c r="A11" s="737" t="s">
        <v>214</v>
      </c>
      <c r="B11" s="742"/>
      <c r="C11" s="943">
        <f>huishoudens!B8</f>
        <v>27584.350769435347</v>
      </c>
      <c r="D11" s="943">
        <f>huishoudens!C8</f>
        <v>0</v>
      </c>
      <c r="E11" s="943">
        <f>huishoudens!D8</f>
        <v>46388.159729999999</v>
      </c>
      <c r="F11" s="943">
        <f>huishoudens!E8</f>
        <v>1571.1678750869496</v>
      </c>
      <c r="G11" s="943">
        <f>huishoudens!F8</f>
        <v>49565.444721152278</v>
      </c>
      <c r="H11" s="943">
        <f>huishoudens!G8</f>
        <v>0</v>
      </c>
      <c r="I11" s="943">
        <f>huishoudens!H8</f>
        <v>0</v>
      </c>
      <c r="J11" s="943">
        <f>huishoudens!I8</f>
        <v>0</v>
      </c>
      <c r="K11" s="943">
        <f>huishoudens!J8</f>
        <v>1155.8642984925823</v>
      </c>
      <c r="L11" s="943">
        <f>huishoudens!K8</f>
        <v>0</v>
      </c>
      <c r="M11" s="943">
        <f>huishoudens!L8</f>
        <v>0</v>
      </c>
      <c r="N11" s="943">
        <f>huishoudens!M8</f>
        <v>0</v>
      </c>
      <c r="O11" s="943">
        <f>huishoudens!N8</f>
        <v>7563.0494067405934</v>
      </c>
      <c r="P11" s="943">
        <f>huishoudens!O8</f>
        <v>212.61333333333334</v>
      </c>
      <c r="Q11" s="944">
        <f>huishoudens!P8</f>
        <v>400.4</v>
      </c>
      <c r="R11" s="629">
        <f>SUM(C11:Q11)</f>
        <v>134441.05013424109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2058.069</v>
      </c>
      <c r="D13" s="943">
        <f>industrie!C18</f>
        <v>0</v>
      </c>
      <c r="E13" s="943">
        <f>industrie!D18</f>
        <v>1267.465144</v>
      </c>
      <c r="F13" s="943">
        <f>industrie!E18</f>
        <v>269.02565085894958</v>
      </c>
      <c r="G13" s="943">
        <f>industrie!F18</f>
        <v>1759.0380626343408</v>
      </c>
      <c r="H13" s="943">
        <f>industrie!G18</f>
        <v>0</v>
      </c>
      <c r="I13" s="943">
        <f>industrie!H18</f>
        <v>0</v>
      </c>
      <c r="J13" s="943">
        <f>industrie!I18</f>
        <v>0</v>
      </c>
      <c r="K13" s="943">
        <f>industrie!J18</f>
        <v>13.33761590314851</v>
      </c>
      <c r="L13" s="943">
        <f>industrie!K18</f>
        <v>0</v>
      </c>
      <c r="M13" s="943">
        <f>industrie!L18</f>
        <v>0</v>
      </c>
      <c r="N13" s="943">
        <f>industrie!M18</f>
        <v>0</v>
      </c>
      <c r="O13" s="943">
        <f>industrie!N18</f>
        <v>352.15758132703485</v>
      </c>
      <c r="P13" s="943">
        <f>industrie!O18</f>
        <v>0</v>
      </c>
      <c r="Q13" s="944">
        <f>industrie!P18</f>
        <v>0</v>
      </c>
      <c r="R13" s="629">
        <f>SUM(C13:Q13)</f>
        <v>5719.0930547234739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48854.606769435355</v>
      </c>
      <c r="D16" s="661">
        <f t="shared" ref="D16:R16" ca="1" si="0">SUM(D9:D15)</f>
        <v>1890</v>
      </c>
      <c r="E16" s="661">
        <f t="shared" ca="1" si="0"/>
        <v>79483.693964000006</v>
      </c>
      <c r="F16" s="661">
        <f t="shared" si="0"/>
        <v>1980.8764914185745</v>
      </c>
      <c r="G16" s="661">
        <f t="shared" ca="1" si="0"/>
        <v>54370.791376658512</v>
      </c>
      <c r="H16" s="661">
        <f t="shared" si="0"/>
        <v>0</v>
      </c>
      <c r="I16" s="661">
        <f t="shared" si="0"/>
        <v>0</v>
      </c>
      <c r="J16" s="661">
        <f t="shared" si="0"/>
        <v>0</v>
      </c>
      <c r="K16" s="661">
        <f t="shared" si="0"/>
        <v>1169.2019143957309</v>
      </c>
      <c r="L16" s="661">
        <f t="shared" si="0"/>
        <v>0</v>
      </c>
      <c r="M16" s="661">
        <f t="shared" ca="1" si="0"/>
        <v>0</v>
      </c>
      <c r="N16" s="661">
        <f t="shared" si="0"/>
        <v>0</v>
      </c>
      <c r="O16" s="661">
        <f t="shared" ca="1" si="0"/>
        <v>8517.3264921496811</v>
      </c>
      <c r="P16" s="661">
        <f t="shared" si="0"/>
        <v>212.61333333333334</v>
      </c>
      <c r="Q16" s="661">
        <f t="shared" si="0"/>
        <v>438.5333333333333</v>
      </c>
      <c r="R16" s="661">
        <f t="shared" ca="1" si="0"/>
        <v>196917.6436747245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6.4452532907043887</v>
      </c>
      <c r="D19" s="943">
        <f>transport!C54</f>
        <v>0</v>
      </c>
      <c r="E19" s="943">
        <f>transport!D54</f>
        <v>0</v>
      </c>
      <c r="F19" s="943">
        <f>transport!E54</f>
        <v>0</v>
      </c>
      <c r="G19" s="943">
        <f>transport!F54</f>
        <v>0</v>
      </c>
      <c r="H19" s="943">
        <f>transport!G54</f>
        <v>1221.2904782397818</v>
      </c>
      <c r="I19" s="943">
        <f>transport!H54</f>
        <v>0</v>
      </c>
      <c r="J19" s="943">
        <f>transport!I54</f>
        <v>0</v>
      </c>
      <c r="K19" s="943">
        <f>transport!J54</f>
        <v>0</v>
      </c>
      <c r="L19" s="943">
        <f>transport!K54</f>
        <v>0</v>
      </c>
      <c r="M19" s="943">
        <f>transport!L54</f>
        <v>0</v>
      </c>
      <c r="N19" s="943">
        <f>transport!M54</f>
        <v>70.307294260858754</v>
      </c>
      <c r="O19" s="943">
        <f>transport!N54</f>
        <v>0</v>
      </c>
      <c r="P19" s="943">
        <f>transport!O54</f>
        <v>0</v>
      </c>
      <c r="Q19" s="944">
        <f>transport!P54</f>
        <v>0</v>
      </c>
      <c r="R19" s="629">
        <f>SUM(C19:Q19)</f>
        <v>1298.0430257913449</v>
      </c>
      <c r="S19" s="67"/>
    </row>
    <row r="20" spans="1:19" s="438" customFormat="1">
      <c r="A20" s="737" t="s">
        <v>296</v>
      </c>
      <c r="B20" s="742"/>
      <c r="C20" s="943">
        <f>transport!B14</f>
        <v>11.244762627309701</v>
      </c>
      <c r="D20" s="943">
        <f>transport!C14</f>
        <v>0</v>
      </c>
      <c r="E20" s="943">
        <f>transport!D14</f>
        <v>19.133822410946511</v>
      </c>
      <c r="F20" s="943">
        <f>transport!E14</f>
        <v>183.30555934447381</v>
      </c>
      <c r="G20" s="943">
        <f>transport!F14</f>
        <v>0</v>
      </c>
      <c r="H20" s="943">
        <f>transport!G14</f>
        <v>51881.538463943732</v>
      </c>
      <c r="I20" s="943">
        <f>transport!H14</f>
        <v>11652.358385908225</v>
      </c>
      <c r="J20" s="943">
        <f>transport!I14</f>
        <v>0</v>
      </c>
      <c r="K20" s="943">
        <f>transport!J14</f>
        <v>0</v>
      </c>
      <c r="L20" s="943">
        <f>transport!K14</f>
        <v>0</v>
      </c>
      <c r="M20" s="943">
        <f>transport!L14</f>
        <v>0</v>
      </c>
      <c r="N20" s="943">
        <f>transport!M14</f>
        <v>3363.3741706749934</v>
      </c>
      <c r="O20" s="943">
        <f>transport!N14</f>
        <v>0</v>
      </c>
      <c r="P20" s="943">
        <f>transport!O14</f>
        <v>0</v>
      </c>
      <c r="Q20" s="944">
        <f>transport!P14</f>
        <v>0</v>
      </c>
      <c r="R20" s="629">
        <f>SUM(C20:Q20)</f>
        <v>67110.955164909683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17.69001591801409</v>
      </c>
      <c r="D22" s="740">
        <f t="shared" ref="D22:R22" si="1">SUM(D18:D21)</f>
        <v>0</v>
      </c>
      <c r="E22" s="740">
        <f t="shared" si="1"/>
        <v>19.133822410946511</v>
      </c>
      <c r="F22" s="740">
        <f t="shared" si="1"/>
        <v>183.30555934447381</v>
      </c>
      <c r="G22" s="740">
        <f t="shared" si="1"/>
        <v>0</v>
      </c>
      <c r="H22" s="740">
        <f t="shared" si="1"/>
        <v>53102.828942183514</v>
      </c>
      <c r="I22" s="740">
        <f t="shared" si="1"/>
        <v>11652.358385908225</v>
      </c>
      <c r="J22" s="740">
        <f t="shared" si="1"/>
        <v>0</v>
      </c>
      <c r="K22" s="740">
        <f t="shared" si="1"/>
        <v>0</v>
      </c>
      <c r="L22" s="740">
        <f t="shared" si="1"/>
        <v>0</v>
      </c>
      <c r="M22" s="740">
        <f t="shared" si="1"/>
        <v>0</v>
      </c>
      <c r="N22" s="740">
        <f t="shared" si="1"/>
        <v>3433.6814649358521</v>
      </c>
      <c r="O22" s="740">
        <f t="shared" si="1"/>
        <v>0</v>
      </c>
      <c r="P22" s="740">
        <f t="shared" si="1"/>
        <v>0</v>
      </c>
      <c r="Q22" s="740">
        <f t="shared" si="1"/>
        <v>0</v>
      </c>
      <c r="R22" s="740">
        <f t="shared" si="1"/>
        <v>68408.998190701022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139.20500000000001</v>
      </c>
      <c r="D24" s="943">
        <f>+landbouw!C8</f>
        <v>0</v>
      </c>
      <c r="E24" s="943">
        <f>+landbouw!D8</f>
        <v>70.020455999999996</v>
      </c>
      <c r="F24" s="943">
        <f>+landbouw!E8</f>
        <v>2.9850479015930911</v>
      </c>
      <c r="G24" s="943">
        <f>+landbouw!F8</f>
        <v>451.53641399546751</v>
      </c>
      <c r="H24" s="943">
        <f>+landbouw!G8</f>
        <v>0</v>
      </c>
      <c r="I24" s="943">
        <f>+landbouw!H8</f>
        <v>0</v>
      </c>
      <c r="J24" s="943">
        <f>+landbouw!I8</f>
        <v>0</v>
      </c>
      <c r="K24" s="943">
        <f>+landbouw!J8</f>
        <v>13.412475317114456</v>
      </c>
      <c r="L24" s="943">
        <f>+landbouw!K8</f>
        <v>0</v>
      </c>
      <c r="M24" s="943">
        <f>+landbouw!L8</f>
        <v>0</v>
      </c>
      <c r="N24" s="943">
        <f>+landbouw!M8</f>
        <v>0</v>
      </c>
      <c r="O24" s="943">
        <f>+landbouw!N8</f>
        <v>0</v>
      </c>
      <c r="P24" s="943">
        <f>+landbouw!O8</f>
        <v>0</v>
      </c>
      <c r="Q24" s="944">
        <f>+landbouw!P8</f>
        <v>0</v>
      </c>
      <c r="R24" s="629">
        <f>SUM(C24:Q24)</f>
        <v>677.159393214175</v>
      </c>
      <c r="S24" s="67"/>
    </row>
    <row r="25" spans="1:19" s="438" customFormat="1" ht="15" thickBot="1">
      <c r="A25" s="759" t="s">
        <v>802</v>
      </c>
      <c r="B25" s="946"/>
      <c r="C25" s="947">
        <f>IF(Onbekend_ele_kWh="---",0,Onbekend_ele_kWh)/1000+IF(REST_rest_ele_kWh="---",0,REST_rest_ele_kWh)/1000</f>
        <v>1597.2670000000001</v>
      </c>
      <c r="D25" s="947"/>
      <c r="E25" s="947">
        <f>IF(onbekend_gas_kWh="---",0,onbekend_gas_kWh)/1000+IF(REST_rest_gas_kWh="---",0,REST_rest_gas_kWh)/1000</f>
        <v>802.15300000000002</v>
      </c>
      <c r="F25" s="947"/>
      <c r="G25" s="947"/>
      <c r="H25" s="947"/>
      <c r="I25" s="947"/>
      <c r="J25" s="947"/>
      <c r="K25" s="947"/>
      <c r="L25" s="947"/>
      <c r="M25" s="947"/>
      <c r="N25" s="947"/>
      <c r="O25" s="947"/>
      <c r="P25" s="947"/>
      <c r="Q25" s="948"/>
      <c r="R25" s="629">
        <f>SUM(C25:Q25)</f>
        <v>2399.42</v>
      </c>
      <c r="S25" s="67"/>
    </row>
    <row r="26" spans="1:19" s="438" customFormat="1" ht="15.75" thickBot="1">
      <c r="A26" s="634" t="s">
        <v>803</v>
      </c>
      <c r="B26" s="745"/>
      <c r="C26" s="740">
        <f>SUM(C24:C25)</f>
        <v>1736.472</v>
      </c>
      <c r="D26" s="740">
        <f t="shared" ref="D26:R26" si="2">SUM(D24:D25)</f>
        <v>0</v>
      </c>
      <c r="E26" s="740">
        <f t="shared" si="2"/>
        <v>872.17345599999999</v>
      </c>
      <c r="F26" s="740">
        <f t="shared" si="2"/>
        <v>2.9850479015930911</v>
      </c>
      <c r="G26" s="740">
        <f t="shared" si="2"/>
        <v>451.53641399546751</v>
      </c>
      <c r="H26" s="740">
        <f t="shared" si="2"/>
        <v>0</v>
      </c>
      <c r="I26" s="740">
        <f t="shared" si="2"/>
        <v>0</v>
      </c>
      <c r="J26" s="740">
        <f t="shared" si="2"/>
        <v>0</v>
      </c>
      <c r="K26" s="740">
        <f t="shared" si="2"/>
        <v>13.412475317114456</v>
      </c>
      <c r="L26" s="740">
        <f t="shared" si="2"/>
        <v>0</v>
      </c>
      <c r="M26" s="740">
        <f t="shared" si="2"/>
        <v>0</v>
      </c>
      <c r="N26" s="740">
        <f t="shared" si="2"/>
        <v>0</v>
      </c>
      <c r="O26" s="740">
        <f t="shared" si="2"/>
        <v>0</v>
      </c>
      <c r="P26" s="740">
        <f t="shared" si="2"/>
        <v>0</v>
      </c>
      <c r="Q26" s="740">
        <f t="shared" si="2"/>
        <v>0</v>
      </c>
      <c r="R26" s="740">
        <f t="shared" si="2"/>
        <v>3076.5793932141751</v>
      </c>
      <c r="S26" s="67"/>
    </row>
    <row r="27" spans="1:19" s="438" customFormat="1" ht="17.25" thickTop="1" thickBot="1">
      <c r="A27" s="635" t="s">
        <v>109</v>
      </c>
      <c r="B27" s="733"/>
      <c r="C27" s="636">
        <f ca="1">C22+C16+C26</f>
        <v>50608.768785353372</v>
      </c>
      <c r="D27" s="636">
        <f t="shared" ref="D27:R27" ca="1" si="3">D22+D16+D26</f>
        <v>1890</v>
      </c>
      <c r="E27" s="636">
        <f t="shared" ca="1" si="3"/>
        <v>80375.001242410959</v>
      </c>
      <c r="F27" s="636">
        <f t="shared" si="3"/>
        <v>2167.1670986646413</v>
      </c>
      <c r="G27" s="636">
        <f t="shared" ca="1" si="3"/>
        <v>54822.327790653981</v>
      </c>
      <c r="H27" s="636">
        <f t="shared" si="3"/>
        <v>53102.828942183514</v>
      </c>
      <c r="I27" s="636">
        <f t="shared" si="3"/>
        <v>11652.358385908225</v>
      </c>
      <c r="J27" s="636">
        <f t="shared" si="3"/>
        <v>0</v>
      </c>
      <c r="K27" s="636">
        <f t="shared" si="3"/>
        <v>1182.6143897128454</v>
      </c>
      <c r="L27" s="636">
        <f t="shared" si="3"/>
        <v>0</v>
      </c>
      <c r="M27" s="636">
        <f t="shared" ca="1" si="3"/>
        <v>0</v>
      </c>
      <c r="N27" s="636">
        <f t="shared" si="3"/>
        <v>3433.6814649358521</v>
      </c>
      <c r="O27" s="636">
        <f t="shared" ca="1" si="3"/>
        <v>8517.3264921496811</v>
      </c>
      <c r="P27" s="636">
        <f t="shared" si="3"/>
        <v>212.61333333333334</v>
      </c>
      <c r="Q27" s="636">
        <f t="shared" si="3"/>
        <v>438.5333333333333</v>
      </c>
      <c r="R27" s="636">
        <f t="shared" ca="1" si="3"/>
        <v>268403.22125863971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3970.8723444348311</v>
      </c>
      <c r="D40" s="943">
        <f ca="1">tertiair!C20</f>
        <v>449.15294117647068</v>
      </c>
      <c r="E40" s="943">
        <f ca="1">tertiair!D20</f>
        <v>6429.2699561800009</v>
      </c>
      <c r="F40" s="943">
        <f>tertiair!E20</f>
        <v>31.935033162297309</v>
      </c>
      <c r="G40" s="943">
        <f ca="1">tertiair!F20</f>
        <v>813.36439429679649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11694.594669250397</v>
      </c>
    </row>
    <row r="41" spans="1:18">
      <c r="A41" s="750" t="s">
        <v>214</v>
      </c>
      <c r="B41" s="757"/>
      <c r="C41" s="943">
        <f ca="1">huishoudens!B12</f>
        <v>5701.2736555989422</v>
      </c>
      <c r="D41" s="943">
        <f ca="1">huishoudens!C12</f>
        <v>0</v>
      </c>
      <c r="E41" s="943">
        <f>huishoudens!D12</f>
        <v>9370.4082654600006</v>
      </c>
      <c r="F41" s="943">
        <f>huishoudens!E12</f>
        <v>356.6551076447376</v>
      </c>
      <c r="G41" s="943">
        <f>huishoudens!F12</f>
        <v>13233.973740547659</v>
      </c>
      <c r="H41" s="943">
        <f>huishoudens!G12</f>
        <v>0</v>
      </c>
      <c r="I41" s="943">
        <f>huishoudens!H12</f>
        <v>0</v>
      </c>
      <c r="J41" s="943">
        <f>huishoudens!I12</f>
        <v>0</v>
      </c>
      <c r="K41" s="943">
        <f>huishoudens!J12</f>
        <v>409.17596166637412</v>
      </c>
      <c r="L41" s="943">
        <f>huishoudens!K12</f>
        <v>0</v>
      </c>
      <c r="M41" s="943">
        <f>huishoudens!L12</f>
        <v>0</v>
      </c>
      <c r="N41" s="943">
        <f>huishoudens!M12</f>
        <v>0</v>
      </c>
      <c r="O41" s="943">
        <f>huishoudens!N12</f>
        <v>0</v>
      </c>
      <c r="P41" s="943">
        <f>huishoudens!O12</f>
        <v>0</v>
      </c>
      <c r="Q41" s="703">
        <f>huishoudens!P12</f>
        <v>0</v>
      </c>
      <c r="R41" s="778">
        <f t="shared" ca="1" si="4"/>
        <v>29071.48673091771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425.37214920085091</v>
      </c>
      <c r="D43" s="943">
        <f ca="1">industrie!C22</f>
        <v>0</v>
      </c>
      <c r="E43" s="943">
        <f>industrie!D22</f>
        <v>256.02795908800005</v>
      </c>
      <c r="F43" s="943">
        <f>industrie!E22</f>
        <v>61.068822744981553</v>
      </c>
      <c r="G43" s="943">
        <f>industrie!F22</f>
        <v>469.663162723369</v>
      </c>
      <c r="H43" s="943">
        <f>industrie!G22</f>
        <v>0</v>
      </c>
      <c r="I43" s="943">
        <f>industrie!H22</f>
        <v>0</v>
      </c>
      <c r="J43" s="943">
        <f>industrie!I22</f>
        <v>0</v>
      </c>
      <c r="K43" s="943">
        <f>industrie!J22</f>
        <v>4.7215160297145724</v>
      </c>
      <c r="L43" s="943">
        <f>industrie!K22</f>
        <v>0</v>
      </c>
      <c r="M43" s="943">
        <f>industrie!L22</f>
        <v>0</v>
      </c>
      <c r="N43" s="943">
        <f>industrie!M22</f>
        <v>0</v>
      </c>
      <c r="O43" s="943">
        <f>industrie!N22</f>
        <v>0</v>
      </c>
      <c r="P43" s="943">
        <f>industrie!O22</f>
        <v>0</v>
      </c>
      <c r="Q43" s="703">
        <f>industrie!P22</f>
        <v>0</v>
      </c>
      <c r="R43" s="777">
        <f t="shared" ca="1" si="4"/>
        <v>1216.8536097869162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10097.518149234626</v>
      </c>
      <c r="D46" s="661">
        <f t="shared" ref="D46:Q46" ca="1" si="5">SUM(D39:D45)</f>
        <v>449.15294117647068</v>
      </c>
      <c r="E46" s="661">
        <f t="shared" ca="1" si="5"/>
        <v>16055.706180728002</v>
      </c>
      <c r="F46" s="661">
        <f t="shared" si="5"/>
        <v>449.65896355201647</v>
      </c>
      <c r="G46" s="661">
        <f t="shared" ca="1" si="5"/>
        <v>14517.001297567826</v>
      </c>
      <c r="H46" s="661">
        <f t="shared" si="5"/>
        <v>0</v>
      </c>
      <c r="I46" s="661">
        <f t="shared" si="5"/>
        <v>0</v>
      </c>
      <c r="J46" s="661">
        <f t="shared" si="5"/>
        <v>0</v>
      </c>
      <c r="K46" s="661">
        <f t="shared" si="5"/>
        <v>413.89747769608869</v>
      </c>
      <c r="L46" s="661">
        <f t="shared" si="5"/>
        <v>0</v>
      </c>
      <c r="M46" s="661">
        <f t="shared" ca="1" si="5"/>
        <v>0</v>
      </c>
      <c r="N46" s="661">
        <f t="shared" si="5"/>
        <v>0</v>
      </c>
      <c r="O46" s="661">
        <f t="shared" ca="1" si="5"/>
        <v>0</v>
      </c>
      <c r="P46" s="661">
        <f t="shared" si="5"/>
        <v>0</v>
      </c>
      <c r="Q46" s="661">
        <f t="shared" si="5"/>
        <v>0</v>
      </c>
      <c r="R46" s="661">
        <f ca="1">SUM(R39:R45)</f>
        <v>41982.935009955021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1.3321376709968338</v>
      </c>
      <c r="D49" s="943">
        <f ca="1">transport!C58</f>
        <v>0</v>
      </c>
      <c r="E49" s="943">
        <f>transport!D58</f>
        <v>0</v>
      </c>
      <c r="F49" s="943">
        <f>transport!E58</f>
        <v>0</v>
      </c>
      <c r="G49" s="943">
        <f>transport!F58</f>
        <v>0</v>
      </c>
      <c r="H49" s="943">
        <f>transport!G58</f>
        <v>326.08455769002177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327.41669536101858</v>
      </c>
    </row>
    <row r="50" spans="1:18">
      <c r="A50" s="753" t="s">
        <v>296</v>
      </c>
      <c r="B50" s="763"/>
      <c r="C50" s="632">
        <f ca="1">transport!B18</f>
        <v>2.3241246265465998</v>
      </c>
      <c r="D50" s="632">
        <f>transport!C18</f>
        <v>0</v>
      </c>
      <c r="E50" s="632">
        <f>transport!D18</f>
        <v>3.8650321270111956</v>
      </c>
      <c r="F50" s="632">
        <f>transport!E18</f>
        <v>41.610361971195559</v>
      </c>
      <c r="G50" s="632">
        <f>transport!F18</f>
        <v>0</v>
      </c>
      <c r="H50" s="632">
        <f>transport!G18</f>
        <v>13852.370769872978</v>
      </c>
      <c r="I50" s="632">
        <f>transport!H18</f>
        <v>2901.4372380911477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16801.607526688877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3.6562622975434333</v>
      </c>
      <c r="D52" s="661">
        <f t="shared" ref="D52:Q52" ca="1" si="6">SUM(D48:D51)</f>
        <v>0</v>
      </c>
      <c r="E52" s="661">
        <f t="shared" si="6"/>
        <v>3.8650321270111956</v>
      </c>
      <c r="F52" s="661">
        <f t="shared" si="6"/>
        <v>41.610361971195559</v>
      </c>
      <c r="G52" s="661">
        <f t="shared" si="6"/>
        <v>0</v>
      </c>
      <c r="H52" s="661">
        <f t="shared" si="6"/>
        <v>14178.455327562999</v>
      </c>
      <c r="I52" s="661">
        <f t="shared" si="6"/>
        <v>2901.4372380911477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17129.024222049895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28.771596107567071</v>
      </c>
      <c r="D54" s="632">
        <f ca="1">+landbouw!C12</f>
        <v>0</v>
      </c>
      <c r="E54" s="632">
        <f>+landbouw!D12</f>
        <v>14.144132111999999</v>
      </c>
      <c r="F54" s="632">
        <f>+landbouw!E12</f>
        <v>0.67760587366163172</v>
      </c>
      <c r="G54" s="632">
        <f>+landbouw!F12</f>
        <v>120.56022253678984</v>
      </c>
      <c r="H54" s="632">
        <f>+landbouw!G12</f>
        <v>0</v>
      </c>
      <c r="I54" s="632">
        <f>+landbouw!H12</f>
        <v>0</v>
      </c>
      <c r="J54" s="632">
        <f>+landbouw!I12</f>
        <v>0</v>
      </c>
      <c r="K54" s="632">
        <f>+landbouw!J12</f>
        <v>4.7480162622585169</v>
      </c>
      <c r="L54" s="632">
        <f>+landbouw!K12</f>
        <v>0</v>
      </c>
      <c r="M54" s="632">
        <f>+landbouw!L12</f>
        <v>0</v>
      </c>
      <c r="N54" s="632">
        <f>+landbouw!M12</f>
        <v>0</v>
      </c>
      <c r="O54" s="632">
        <f>+landbouw!N12</f>
        <v>0</v>
      </c>
      <c r="P54" s="632">
        <f>+landbouw!O12</f>
        <v>0</v>
      </c>
      <c r="Q54" s="633">
        <f>+landbouw!P12</f>
        <v>0</v>
      </c>
      <c r="R54" s="660">
        <f ca="1">SUM(C54:Q54)</f>
        <v>168.90157289227707</v>
      </c>
    </row>
    <row r="55" spans="1:18" ht="15" thickBot="1">
      <c r="A55" s="753" t="s">
        <v>802</v>
      </c>
      <c r="B55" s="763"/>
      <c r="C55" s="632">
        <f ca="1">C25*'EF ele_warmte'!B12</f>
        <v>330.13125246898699</v>
      </c>
      <c r="D55" s="632"/>
      <c r="E55" s="632">
        <f>E25*EF_CO2_aardgas</f>
        <v>162.03490600000001</v>
      </c>
      <c r="F55" s="632"/>
      <c r="G55" s="632"/>
      <c r="H55" s="632"/>
      <c r="I55" s="632"/>
      <c r="J55" s="632"/>
      <c r="K55" s="632"/>
      <c r="L55" s="632"/>
      <c r="M55" s="632"/>
      <c r="N55" s="632"/>
      <c r="O55" s="632"/>
      <c r="P55" s="632"/>
      <c r="Q55" s="633"/>
      <c r="R55" s="660">
        <f ca="1">SUM(C55:Q55)</f>
        <v>492.16615846898696</v>
      </c>
    </row>
    <row r="56" spans="1:18" ht="15.75" thickBot="1">
      <c r="A56" s="751" t="s">
        <v>803</v>
      </c>
      <c r="B56" s="764"/>
      <c r="C56" s="661">
        <f ca="1">SUM(C54:C55)</f>
        <v>358.90284857655405</v>
      </c>
      <c r="D56" s="661">
        <f t="shared" ref="D56:Q56" ca="1" si="7">SUM(D54:D55)</f>
        <v>0</v>
      </c>
      <c r="E56" s="661">
        <f t="shared" si="7"/>
        <v>176.179038112</v>
      </c>
      <c r="F56" s="661">
        <f t="shared" si="7"/>
        <v>0.67760587366163172</v>
      </c>
      <c r="G56" s="661">
        <f t="shared" si="7"/>
        <v>120.56022253678984</v>
      </c>
      <c r="H56" s="661">
        <f t="shared" si="7"/>
        <v>0</v>
      </c>
      <c r="I56" s="661">
        <f t="shared" si="7"/>
        <v>0</v>
      </c>
      <c r="J56" s="661">
        <f t="shared" si="7"/>
        <v>0</v>
      </c>
      <c r="K56" s="661">
        <f t="shared" si="7"/>
        <v>4.7480162622585169</v>
      </c>
      <c r="L56" s="661">
        <f t="shared" si="7"/>
        <v>0</v>
      </c>
      <c r="M56" s="661">
        <f t="shared" si="7"/>
        <v>0</v>
      </c>
      <c r="N56" s="661">
        <f t="shared" si="7"/>
        <v>0</v>
      </c>
      <c r="O56" s="661">
        <f t="shared" si="7"/>
        <v>0</v>
      </c>
      <c r="P56" s="661">
        <f t="shared" si="7"/>
        <v>0</v>
      </c>
      <c r="Q56" s="662">
        <f t="shared" si="7"/>
        <v>0</v>
      </c>
      <c r="R56" s="663">
        <f ca="1">SUM(R54:R55)</f>
        <v>661.06773136126401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10460.077260108723</v>
      </c>
      <c r="D61" s="669">
        <f t="shared" ref="D61:Q61" ca="1" si="8">D46+D52+D56</f>
        <v>449.15294117647068</v>
      </c>
      <c r="E61" s="669">
        <f t="shared" ca="1" si="8"/>
        <v>16235.750250967014</v>
      </c>
      <c r="F61" s="669">
        <f t="shared" si="8"/>
        <v>491.94693139687365</v>
      </c>
      <c r="G61" s="669">
        <f t="shared" ca="1" si="8"/>
        <v>14637.561520104615</v>
      </c>
      <c r="H61" s="669">
        <f t="shared" si="8"/>
        <v>14178.455327562999</v>
      </c>
      <c r="I61" s="669">
        <f t="shared" si="8"/>
        <v>2901.4372380911477</v>
      </c>
      <c r="J61" s="669">
        <f t="shared" si="8"/>
        <v>0</v>
      </c>
      <c r="K61" s="669">
        <f t="shared" si="8"/>
        <v>418.64549395834717</v>
      </c>
      <c r="L61" s="669">
        <f t="shared" si="8"/>
        <v>0</v>
      </c>
      <c r="M61" s="669">
        <f t="shared" ca="1" si="8"/>
        <v>0</v>
      </c>
      <c r="N61" s="669">
        <f t="shared" si="8"/>
        <v>0</v>
      </c>
      <c r="O61" s="669">
        <f t="shared" ca="1" si="8"/>
        <v>0</v>
      </c>
      <c r="P61" s="669">
        <f t="shared" si="8"/>
        <v>0</v>
      </c>
      <c r="Q61" s="669">
        <f t="shared" si="8"/>
        <v>0</v>
      </c>
      <c r="R61" s="669">
        <f ca="1">R46+R52+R56</f>
        <v>59773.026963366174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0.20668507673982306</v>
      </c>
      <c r="D63" s="710">
        <f t="shared" ca="1" si="9"/>
        <v>0.23764705882352946</v>
      </c>
      <c r="E63" s="954">
        <f t="shared" ca="1" si="9"/>
        <v>0.20200000000000001</v>
      </c>
      <c r="F63" s="710">
        <f t="shared" si="9"/>
        <v>0.22700000000000004</v>
      </c>
      <c r="G63" s="710">
        <f t="shared" ca="1" si="9"/>
        <v>0.26700000000000002</v>
      </c>
      <c r="H63" s="710">
        <f t="shared" si="9"/>
        <v>0.26700000000000002</v>
      </c>
      <c r="I63" s="710">
        <f t="shared" si="9"/>
        <v>0.24899999999999997</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3377.7588247868839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1323</v>
      </c>
      <c r="D76" s="964">
        <f>'lokale energieproductie'!C8</f>
        <v>1556.4705882352941</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314.40705882352944</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3377.7588247868839</v>
      </c>
      <c r="C78" s="684">
        <f>SUM(C72:C77)</f>
        <v>1323</v>
      </c>
      <c r="D78" s="685">
        <f t="shared" ref="D78:H78" si="10">SUM(D76:D77)</f>
        <v>1556.4705882352941</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314.40705882352944</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1890</v>
      </c>
      <c r="D87" s="706">
        <f>'lokale energieproductie'!C17</f>
        <v>2223.5294117647063</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449.15294117647068</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1890</v>
      </c>
      <c r="D90" s="684">
        <f t="shared" ref="D90:H90" si="12">SUM(D87:D89)</f>
        <v>2223.5294117647063</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449.15294117647068</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27584.350769435347</v>
      </c>
      <c r="C4" s="442">
        <f>huishoudens!C8</f>
        <v>0</v>
      </c>
      <c r="D4" s="442">
        <f>huishoudens!D8</f>
        <v>46388.159729999999</v>
      </c>
      <c r="E4" s="442">
        <f>huishoudens!E8</f>
        <v>1571.1678750869496</v>
      </c>
      <c r="F4" s="442">
        <f>huishoudens!F8</f>
        <v>49565.444721152278</v>
      </c>
      <c r="G4" s="442">
        <f>huishoudens!G8</f>
        <v>0</v>
      </c>
      <c r="H4" s="442">
        <f>huishoudens!H8</f>
        <v>0</v>
      </c>
      <c r="I4" s="442">
        <f>huishoudens!I8</f>
        <v>0</v>
      </c>
      <c r="J4" s="442">
        <f>huishoudens!J8</f>
        <v>1155.8642984925823</v>
      </c>
      <c r="K4" s="442">
        <f>huishoudens!K8</f>
        <v>0</v>
      </c>
      <c r="L4" s="442">
        <f>huishoudens!L8</f>
        <v>0</v>
      </c>
      <c r="M4" s="442">
        <f>huishoudens!M8</f>
        <v>0</v>
      </c>
      <c r="N4" s="442">
        <f>huishoudens!N8</f>
        <v>7563.0494067405934</v>
      </c>
      <c r="O4" s="442">
        <f>huishoudens!O8</f>
        <v>212.61333333333334</v>
      </c>
      <c r="P4" s="443">
        <f>huishoudens!P8</f>
        <v>400.4</v>
      </c>
      <c r="Q4" s="444">
        <f>SUM(B4:P4)</f>
        <v>134441.05013424109</v>
      </c>
    </row>
    <row r="5" spans="1:17">
      <c r="A5" s="441" t="s">
        <v>149</v>
      </c>
      <c r="B5" s="442">
        <f ca="1">tertiair!B16</f>
        <v>18376.063000000002</v>
      </c>
      <c r="C5" s="442">
        <f ca="1">tertiair!C16</f>
        <v>1890</v>
      </c>
      <c r="D5" s="442">
        <f ca="1">tertiair!D16</f>
        <v>31828.069090000005</v>
      </c>
      <c r="E5" s="442">
        <f>tertiair!E16</f>
        <v>140.68296547267536</v>
      </c>
      <c r="F5" s="442">
        <f ca="1">tertiair!F16</f>
        <v>3046.308592871897</v>
      </c>
      <c r="G5" s="442">
        <f>tertiair!G16</f>
        <v>0</v>
      </c>
      <c r="H5" s="442">
        <f>tertiair!H16</f>
        <v>0</v>
      </c>
      <c r="I5" s="442">
        <f>tertiair!I16</f>
        <v>0</v>
      </c>
      <c r="J5" s="442">
        <f>tertiair!J16</f>
        <v>0</v>
      </c>
      <c r="K5" s="442">
        <f>tertiair!K16</f>
        <v>0</v>
      </c>
      <c r="L5" s="442">
        <f ca="1">tertiair!L16</f>
        <v>0</v>
      </c>
      <c r="M5" s="442">
        <f>tertiair!M16</f>
        <v>0</v>
      </c>
      <c r="N5" s="442">
        <f ca="1">tertiair!N16</f>
        <v>602.11950408205178</v>
      </c>
      <c r="O5" s="442">
        <f>tertiair!O16</f>
        <v>0</v>
      </c>
      <c r="P5" s="443">
        <f>tertiair!P16</f>
        <v>38.133333333333333</v>
      </c>
      <c r="Q5" s="441">
        <f t="shared" ref="Q5:Q14" ca="1" si="0">SUM(B5:P5)</f>
        <v>55921.37648575996</v>
      </c>
    </row>
    <row r="6" spans="1:17">
      <c r="A6" s="441" t="s">
        <v>187</v>
      </c>
      <c r="B6" s="442">
        <f>'openbare verlichting'!B8</f>
        <v>836.12400000000002</v>
      </c>
      <c r="C6" s="442"/>
      <c r="D6" s="442"/>
      <c r="E6" s="442"/>
      <c r="F6" s="442"/>
      <c r="G6" s="442"/>
      <c r="H6" s="442"/>
      <c r="I6" s="442"/>
      <c r="J6" s="442"/>
      <c r="K6" s="442"/>
      <c r="L6" s="442"/>
      <c r="M6" s="442"/>
      <c r="N6" s="442"/>
      <c r="O6" s="442"/>
      <c r="P6" s="443"/>
      <c r="Q6" s="441">
        <f t="shared" si="0"/>
        <v>836.12400000000002</v>
      </c>
    </row>
    <row r="7" spans="1:17">
      <c r="A7" s="441" t="s">
        <v>105</v>
      </c>
      <c r="B7" s="442">
        <f>landbouw!B8</f>
        <v>139.20500000000001</v>
      </c>
      <c r="C7" s="442">
        <f>landbouw!C8</f>
        <v>0</v>
      </c>
      <c r="D7" s="442">
        <f>landbouw!D8</f>
        <v>70.020455999999996</v>
      </c>
      <c r="E7" s="442">
        <f>landbouw!E8</f>
        <v>2.9850479015930911</v>
      </c>
      <c r="F7" s="442">
        <f>landbouw!F8</f>
        <v>451.53641399546751</v>
      </c>
      <c r="G7" s="442">
        <f>landbouw!G8</f>
        <v>0</v>
      </c>
      <c r="H7" s="442">
        <f>landbouw!H8</f>
        <v>0</v>
      </c>
      <c r="I7" s="442">
        <f>landbouw!I8</f>
        <v>0</v>
      </c>
      <c r="J7" s="442">
        <f>landbouw!J8</f>
        <v>13.412475317114456</v>
      </c>
      <c r="K7" s="442">
        <f>landbouw!K8</f>
        <v>0</v>
      </c>
      <c r="L7" s="442">
        <f>landbouw!L8</f>
        <v>0</v>
      </c>
      <c r="M7" s="442">
        <f>landbouw!M8</f>
        <v>0</v>
      </c>
      <c r="N7" s="442">
        <f>landbouw!N8</f>
        <v>0</v>
      </c>
      <c r="O7" s="442">
        <f>landbouw!O8</f>
        <v>0</v>
      </c>
      <c r="P7" s="443">
        <f>landbouw!P8</f>
        <v>0</v>
      </c>
      <c r="Q7" s="441">
        <f t="shared" si="0"/>
        <v>677.159393214175</v>
      </c>
    </row>
    <row r="8" spans="1:17">
      <c r="A8" s="441" t="s">
        <v>612</v>
      </c>
      <c r="B8" s="442">
        <f>industrie!B18</f>
        <v>2058.069</v>
      </c>
      <c r="C8" s="442">
        <f>industrie!C18</f>
        <v>0</v>
      </c>
      <c r="D8" s="442">
        <f>industrie!D18</f>
        <v>1267.465144</v>
      </c>
      <c r="E8" s="442">
        <f>industrie!E18</f>
        <v>269.02565085894958</v>
      </c>
      <c r="F8" s="442">
        <f>industrie!F18</f>
        <v>1759.0380626343408</v>
      </c>
      <c r="G8" s="442">
        <f>industrie!G18</f>
        <v>0</v>
      </c>
      <c r="H8" s="442">
        <f>industrie!H18</f>
        <v>0</v>
      </c>
      <c r="I8" s="442">
        <f>industrie!I18</f>
        <v>0</v>
      </c>
      <c r="J8" s="442">
        <f>industrie!J18</f>
        <v>13.33761590314851</v>
      </c>
      <c r="K8" s="442">
        <f>industrie!K18</f>
        <v>0</v>
      </c>
      <c r="L8" s="442">
        <f>industrie!L18</f>
        <v>0</v>
      </c>
      <c r="M8" s="442">
        <f>industrie!M18</f>
        <v>0</v>
      </c>
      <c r="N8" s="442">
        <f>industrie!N18</f>
        <v>352.15758132703485</v>
      </c>
      <c r="O8" s="442">
        <f>industrie!O18</f>
        <v>0</v>
      </c>
      <c r="P8" s="443">
        <f>industrie!P18</f>
        <v>0</v>
      </c>
      <c r="Q8" s="441">
        <f t="shared" si="0"/>
        <v>5719.0930547234739</v>
      </c>
    </row>
    <row r="9" spans="1:17" s="447" customFormat="1">
      <c r="A9" s="445" t="s">
        <v>556</v>
      </c>
      <c r="B9" s="446">
        <f>transport!B14</f>
        <v>11.244762627309701</v>
      </c>
      <c r="C9" s="446">
        <f>transport!C14</f>
        <v>0</v>
      </c>
      <c r="D9" s="446">
        <f>transport!D14</f>
        <v>19.133822410946511</v>
      </c>
      <c r="E9" s="446">
        <f>transport!E14</f>
        <v>183.30555934447381</v>
      </c>
      <c r="F9" s="446">
        <f>transport!F14</f>
        <v>0</v>
      </c>
      <c r="G9" s="446">
        <f>transport!G14</f>
        <v>51881.538463943732</v>
      </c>
      <c r="H9" s="446">
        <f>transport!H14</f>
        <v>11652.358385908225</v>
      </c>
      <c r="I9" s="446">
        <f>transport!I14</f>
        <v>0</v>
      </c>
      <c r="J9" s="446">
        <f>transport!J14</f>
        <v>0</v>
      </c>
      <c r="K9" s="446">
        <f>transport!K14</f>
        <v>0</v>
      </c>
      <c r="L9" s="446">
        <f>transport!L14</f>
        <v>0</v>
      </c>
      <c r="M9" s="446">
        <f>transport!M14</f>
        <v>3363.3741706749934</v>
      </c>
      <c r="N9" s="446">
        <f>transport!N14</f>
        <v>0</v>
      </c>
      <c r="O9" s="446">
        <f>transport!O14</f>
        <v>0</v>
      </c>
      <c r="P9" s="446">
        <f>transport!P14</f>
        <v>0</v>
      </c>
      <c r="Q9" s="445">
        <f>SUM(B9:P9)</f>
        <v>67110.955164909683</v>
      </c>
    </row>
    <row r="10" spans="1:17">
      <c r="A10" s="441" t="s">
        <v>546</v>
      </c>
      <c r="B10" s="442">
        <f>transport!B54</f>
        <v>6.4452532907043887</v>
      </c>
      <c r="C10" s="442">
        <f>transport!C54</f>
        <v>0</v>
      </c>
      <c r="D10" s="442">
        <f>transport!D54</f>
        <v>0</v>
      </c>
      <c r="E10" s="442">
        <f>transport!E54</f>
        <v>0</v>
      </c>
      <c r="F10" s="442">
        <f>transport!F54</f>
        <v>0</v>
      </c>
      <c r="G10" s="442">
        <f>transport!G54</f>
        <v>1221.2904782397818</v>
      </c>
      <c r="H10" s="442">
        <f>transport!H54</f>
        <v>0</v>
      </c>
      <c r="I10" s="442">
        <f>transport!I54</f>
        <v>0</v>
      </c>
      <c r="J10" s="442">
        <f>transport!J54</f>
        <v>0</v>
      </c>
      <c r="K10" s="442">
        <f>transport!K54</f>
        <v>0</v>
      </c>
      <c r="L10" s="442">
        <f>transport!L54</f>
        <v>0</v>
      </c>
      <c r="M10" s="442">
        <f>transport!M54</f>
        <v>70.307294260858754</v>
      </c>
      <c r="N10" s="442">
        <f>transport!N54</f>
        <v>0</v>
      </c>
      <c r="O10" s="442">
        <f>transport!O54</f>
        <v>0</v>
      </c>
      <c r="P10" s="443">
        <f>transport!P54</f>
        <v>0</v>
      </c>
      <c r="Q10" s="441">
        <f t="shared" si="0"/>
        <v>1298.0430257913449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1597.2670000000001</v>
      </c>
      <c r="C14" s="449"/>
      <c r="D14" s="449">
        <f>'SEAP template'!E25</f>
        <v>802.15300000000002</v>
      </c>
      <c r="E14" s="449"/>
      <c r="F14" s="449"/>
      <c r="G14" s="449"/>
      <c r="H14" s="449"/>
      <c r="I14" s="449"/>
      <c r="J14" s="449"/>
      <c r="K14" s="449"/>
      <c r="L14" s="449"/>
      <c r="M14" s="449"/>
      <c r="N14" s="449"/>
      <c r="O14" s="449"/>
      <c r="P14" s="450"/>
      <c r="Q14" s="441">
        <f t="shared" si="0"/>
        <v>2399.42</v>
      </c>
    </row>
    <row r="15" spans="1:17" s="451" customFormat="1">
      <c r="A15" s="969" t="s">
        <v>550</v>
      </c>
      <c r="B15" s="909">
        <f ca="1">SUM(B4:B14)</f>
        <v>50608.768785353372</v>
      </c>
      <c r="C15" s="909">
        <f t="shared" ref="C15:Q15" ca="1" si="1">SUM(C4:C14)</f>
        <v>1890</v>
      </c>
      <c r="D15" s="909">
        <f t="shared" ca="1" si="1"/>
        <v>80375.001242410959</v>
      </c>
      <c r="E15" s="909">
        <f t="shared" si="1"/>
        <v>2167.1670986646413</v>
      </c>
      <c r="F15" s="909">
        <f t="shared" ca="1" si="1"/>
        <v>54822.327790653981</v>
      </c>
      <c r="G15" s="909">
        <f t="shared" si="1"/>
        <v>53102.828942183514</v>
      </c>
      <c r="H15" s="909">
        <f t="shared" si="1"/>
        <v>11652.358385908225</v>
      </c>
      <c r="I15" s="909">
        <f t="shared" si="1"/>
        <v>0</v>
      </c>
      <c r="J15" s="909">
        <f t="shared" si="1"/>
        <v>1182.6143897128454</v>
      </c>
      <c r="K15" s="909">
        <f t="shared" si="1"/>
        <v>0</v>
      </c>
      <c r="L15" s="909">
        <f t="shared" ca="1" si="1"/>
        <v>0</v>
      </c>
      <c r="M15" s="909">
        <f t="shared" si="1"/>
        <v>3433.6814649358521</v>
      </c>
      <c r="N15" s="909">
        <f t="shared" ca="1" si="1"/>
        <v>8517.3264921496811</v>
      </c>
      <c r="O15" s="909">
        <f t="shared" si="1"/>
        <v>212.61333333333334</v>
      </c>
      <c r="P15" s="909">
        <f t="shared" si="1"/>
        <v>438.5333333333333</v>
      </c>
      <c r="Q15" s="909">
        <f t="shared" ca="1" si="1"/>
        <v>268403.22125863971</v>
      </c>
    </row>
    <row r="17" spans="1:17">
      <c r="A17" s="452" t="s">
        <v>551</v>
      </c>
      <c r="B17" s="715">
        <f ca="1">huishoudens!B10</f>
        <v>0.20668507673982306</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5701.2736555989422</v>
      </c>
      <c r="C22" s="442">
        <f t="shared" ref="C22:C32" ca="1" si="3">C4*$C$17</f>
        <v>0</v>
      </c>
      <c r="D22" s="442">
        <f t="shared" ref="D22:D32" si="4">D4*$D$17</f>
        <v>9370.4082654600006</v>
      </c>
      <c r="E22" s="442">
        <f t="shared" ref="E22:E32" si="5">E4*$E$17</f>
        <v>356.6551076447376</v>
      </c>
      <c r="F22" s="442">
        <f t="shared" ref="F22:F32" si="6">F4*$F$17</f>
        <v>13233.973740547659</v>
      </c>
      <c r="G22" s="442">
        <f t="shared" ref="G22:G32" si="7">G4*$G$17</f>
        <v>0</v>
      </c>
      <c r="H22" s="442">
        <f t="shared" ref="H22:H32" si="8">H4*$H$17</f>
        <v>0</v>
      </c>
      <c r="I22" s="442">
        <f t="shared" ref="I22:I32" si="9">I4*$I$17</f>
        <v>0</v>
      </c>
      <c r="J22" s="442">
        <f t="shared" ref="J22:J32" si="10">J4*$J$17</f>
        <v>409.17596166637412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29071.48673091771</v>
      </c>
    </row>
    <row r="23" spans="1:17">
      <c r="A23" s="441" t="s">
        <v>149</v>
      </c>
      <c r="B23" s="442">
        <f t="shared" ca="1" si="2"/>
        <v>3798.0579913308234</v>
      </c>
      <c r="C23" s="442">
        <f t="shared" ca="1" si="3"/>
        <v>449.15294117647068</v>
      </c>
      <c r="D23" s="442">
        <f t="shared" ca="1" si="4"/>
        <v>6429.2699561800009</v>
      </c>
      <c r="E23" s="442">
        <f t="shared" si="5"/>
        <v>31.935033162297309</v>
      </c>
      <c r="F23" s="442">
        <f t="shared" ca="1" si="6"/>
        <v>813.36439429679649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11521.780316146389</v>
      </c>
    </row>
    <row r="24" spans="1:17">
      <c r="A24" s="441" t="s">
        <v>187</v>
      </c>
      <c r="B24" s="442">
        <f t="shared" ca="1" si="2"/>
        <v>172.81435310400781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172.81435310400781</v>
      </c>
    </row>
    <row r="25" spans="1:17">
      <c r="A25" s="441" t="s">
        <v>105</v>
      </c>
      <c r="B25" s="442">
        <f t="shared" ca="1" si="2"/>
        <v>28.771596107567071</v>
      </c>
      <c r="C25" s="442">
        <f t="shared" ca="1" si="3"/>
        <v>0</v>
      </c>
      <c r="D25" s="442">
        <f t="shared" si="4"/>
        <v>14.144132111999999</v>
      </c>
      <c r="E25" s="442">
        <f t="shared" si="5"/>
        <v>0.67760587366163172</v>
      </c>
      <c r="F25" s="442">
        <f t="shared" si="6"/>
        <v>120.56022253678984</v>
      </c>
      <c r="G25" s="442">
        <f t="shared" si="7"/>
        <v>0</v>
      </c>
      <c r="H25" s="442">
        <f t="shared" si="8"/>
        <v>0</v>
      </c>
      <c r="I25" s="442">
        <f t="shared" si="9"/>
        <v>0</v>
      </c>
      <c r="J25" s="442">
        <f t="shared" si="10"/>
        <v>4.7480162622585169</v>
      </c>
      <c r="K25" s="442">
        <f t="shared" si="11"/>
        <v>0</v>
      </c>
      <c r="L25" s="442">
        <f t="shared" si="12"/>
        <v>0</v>
      </c>
      <c r="M25" s="442">
        <f t="shared" si="13"/>
        <v>0</v>
      </c>
      <c r="N25" s="442">
        <f t="shared" si="14"/>
        <v>0</v>
      </c>
      <c r="O25" s="442">
        <f t="shared" si="15"/>
        <v>0</v>
      </c>
      <c r="P25" s="443">
        <f t="shared" si="16"/>
        <v>0</v>
      </c>
      <c r="Q25" s="441">
        <f t="shared" ca="1" si="17"/>
        <v>168.90157289227707</v>
      </c>
    </row>
    <row r="26" spans="1:17">
      <c r="A26" s="441" t="s">
        <v>612</v>
      </c>
      <c r="B26" s="442">
        <f t="shared" ca="1" si="2"/>
        <v>425.37214920085091</v>
      </c>
      <c r="C26" s="442">
        <f t="shared" ca="1" si="3"/>
        <v>0</v>
      </c>
      <c r="D26" s="442">
        <f t="shared" si="4"/>
        <v>256.02795908800005</v>
      </c>
      <c r="E26" s="442">
        <f t="shared" si="5"/>
        <v>61.068822744981553</v>
      </c>
      <c r="F26" s="442">
        <f t="shared" si="6"/>
        <v>469.663162723369</v>
      </c>
      <c r="G26" s="442">
        <f t="shared" si="7"/>
        <v>0</v>
      </c>
      <c r="H26" s="442">
        <f t="shared" si="8"/>
        <v>0</v>
      </c>
      <c r="I26" s="442">
        <f t="shared" si="9"/>
        <v>0</v>
      </c>
      <c r="J26" s="442">
        <f t="shared" si="10"/>
        <v>4.7215160297145724</v>
      </c>
      <c r="K26" s="442">
        <f t="shared" si="11"/>
        <v>0</v>
      </c>
      <c r="L26" s="442">
        <f t="shared" si="12"/>
        <v>0</v>
      </c>
      <c r="M26" s="442">
        <f t="shared" si="13"/>
        <v>0</v>
      </c>
      <c r="N26" s="442">
        <f t="shared" si="14"/>
        <v>0</v>
      </c>
      <c r="O26" s="442">
        <f t="shared" si="15"/>
        <v>0</v>
      </c>
      <c r="P26" s="443">
        <f t="shared" si="16"/>
        <v>0</v>
      </c>
      <c r="Q26" s="441">
        <f t="shared" ca="1" si="17"/>
        <v>1216.8536097869162</v>
      </c>
    </row>
    <row r="27" spans="1:17" s="447" customFormat="1">
      <c r="A27" s="445" t="s">
        <v>556</v>
      </c>
      <c r="B27" s="709">
        <f t="shared" ca="1" si="2"/>
        <v>2.3241246265465998</v>
      </c>
      <c r="C27" s="446">
        <f t="shared" ca="1" si="3"/>
        <v>0</v>
      </c>
      <c r="D27" s="446">
        <f t="shared" si="4"/>
        <v>3.8650321270111956</v>
      </c>
      <c r="E27" s="446">
        <f t="shared" si="5"/>
        <v>41.610361971195559</v>
      </c>
      <c r="F27" s="446">
        <f t="shared" si="6"/>
        <v>0</v>
      </c>
      <c r="G27" s="446">
        <f t="shared" si="7"/>
        <v>13852.370769872978</v>
      </c>
      <c r="H27" s="446">
        <f t="shared" si="8"/>
        <v>2901.4372380911477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16801.607526688877</v>
      </c>
    </row>
    <row r="28" spans="1:17">
      <c r="A28" s="441" t="s">
        <v>546</v>
      </c>
      <c r="B28" s="442">
        <f t="shared" ca="1" si="2"/>
        <v>1.3321376709968338</v>
      </c>
      <c r="C28" s="442">
        <f t="shared" ca="1" si="3"/>
        <v>0</v>
      </c>
      <c r="D28" s="442">
        <f t="shared" si="4"/>
        <v>0</v>
      </c>
      <c r="E28" s="442">
        <f t="shared" si="5"/>
        <v>0</v>
      </c>
      <c r="F28" s="442">
        <f t="shared" si="6"/>
        <v>0</v>
      </c>
      <c r="G28" s="442">
        <f t="shared" si="7"/>
        <v>326.08455769002177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327.41669536101858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330.13125246898699</v>
      </c>
      <c r="C32" s="442">
        <f t="shared" ca="1" si="3"/>
        <v>0</v>
      </c>
      <c r="D32" s="442">
        <f t="shared" si="4"/>
        <v>162.03490600000001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492.16615846898696</v>
      </c>
    </row>
    <row r="33" spans="1:17" s="451" customFormat="1">
      <c r="A33" s="969" t="s">
        <v>550</v>
      </c>
      <c r="B33" s="909">
        <f ca="1">SUM(B22:B32)</f>
        <v>10460.077260108723</v>
      </c>
      <c r="C33" s="909">
        <f t="shared" ref="C33:Q33" ca="1" si="18">SUM(C22:C32)</f>
        <v>449.15294117647068</v>
      </c>
      <c r="D33" s="909">
        <f t="shared" ca="1" si="18"/>
        <v>16235.750250967014</v>
      </c>
      <c r="E33" s="909">
        <f t="shared" si="18"/>
        <v>491.94693139687365</v>
      </c>
      <c r="F33" s="909">
        <f t="shared" ca="1" si="18"/>
        <v>14637.561520104615</v>
      </c>
      <c r="G33" s="909">
        <f t="shared" si="18"/>
        <v>14178.455327562999</v>
      </c>
      <c r="H33" s="909">
        <f t="shared" si="18"/>
        <v>2901.4372380911477</v>
      </c>
      <c r="I33" s="909">
        <f t="shared" si="18"/>
        <v>0</v>
      </c>
      <c r="J33" s="909">
        <f t="shared" si="18"/>
        <v>418.64549395834723</v>
      </c>
      <c r="K33" s="909">
        <f t="shared" si="18"/>
        <v>0</v>
      </c>
      <c r="L33" s="909">
        <f t="shared" ca="1" si="18"/>
        <v>0</v>
      </c>
      <c r="M33" s="909">
        <f t="shared" si="18"/>
        <v>0</v>
      </c>
      <c r="N33" s="909">
        <f t="shared" ca="1" si="18"/>
        <v>0</v>
      </c>
      <c r="O33" s="909">
        <f t="shared" si="18"/>
        <v>0</v>
      </c>
      <c r="P33" s="909">
        <f t="shared" si="18"/>
        <v>0</v>
      </c>
      <c r="Q33" s="909">
        <f t="shared" ca="1" si="18"/>
        <v>59773.026963366188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3377.7588247868839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1323</v>
      </c>
      <c r="D8" s="986">
        <f>'SEAP template'!D76</f>
        <v>1556.4705882352941</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314.40705882352944</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3377.7588247868839</v>
      </c>
      <c r="C10" s="990">
        <f>SUM(C4:C9)</f>
        <v>1323</v>
      </c>
      <c r="D10" s="990">
        <f t="shared" ref="D10:H10" si="0">SUM(D8:D9)</f>
        <v>1556.4705882352941</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314.40705882352944</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0.20668507673982306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1890</v>
      </c>
      <c r="D17" s="987">
        <f>'SEAP template'!D87</f>
        <v>2223.5294117647063</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449.15294117647068</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1890</v>
      </c>
      <c r="D20" s="990">
        <f t="shared" ref="D20:H20" si="2">SUM(D17:D19)</f>
        <v>2223.5294117647063</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449.15294117647068</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0.20668507673982306</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2022-07-26T11:45:39Z</dcterms:modified>
</cp:coreProperties>
</file>