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F9213EE-9422-42C3-BBEF-D387BEE1793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<sst xmlns="http://schemas.openxmlformats.org/spreadsheetml/2006/main" count="2431" uniqueCount="904">
  <si>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</si>
  <si>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</si>
  <si>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</si>
  <si>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</si>
  <si>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</si>
  <si>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</si>
  <si>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</si>
  <si>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</si>
  <si>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</si>
  <si>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</si>
  <si>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</si>
  <si>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</si>
  <si>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</si>
  <si>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</si>
  <si>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</si>
  <si>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</si>
  <si>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</si>
  <si>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</si>
  <si>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</si>
  <si>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</si>
  <si>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</si>
  <si>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</si>
  <si>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</si>
  <si>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</si>
  <si>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</si>
  <si>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</si>
  <si>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</si>
  <si>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</si>
  <si>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</si>
  <si>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</si>
  <si>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</si>
  <si>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</si>
  <si>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</si>
  <si>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</si>
  <si>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</si>
  <si>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</si>
  <si>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</si>
  <si>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</si>
  <si>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</si>
  <si>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</si>
  <si>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</si>
  <si>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</si>
  <si>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</si>
  <si>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</si>
  <si>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</si>
  <si>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</si>
  <si>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</si>
  <si>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</si>
  <si>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</si>
  <si>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</si>
  <si>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</si>
  <si>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</si>
  <si>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</si>
  <si>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</si>
  <si>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</si>
  <si>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</si>
  <si>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</si>
  <si>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</si>
  <si>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</si>
  <si>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</si>
  <si>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</si>
  <si>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</si>
  <si>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</si>
  <si>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</si>
  <si>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</si>
  <si>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</si>
  <si>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</si>
  <si>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</si>
  <si>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</si>
  <si>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</si>
  <si>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</si>
  <si>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</si>
  <si>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</si>
  <si>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</si>
  <si>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</si>
  <si>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</si>
  <si>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</si>
  <si>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</si>
  <si>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</si>
  <si>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</si>
  <si>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</si>
  <si>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</si>
  <si>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</si>
  <si>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</si>
  <si>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</si>
  <si>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</si>
  <si>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</si>
  <si>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</si>
  <si>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</si>
  <si>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</si>
  <si>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</si>
  <si>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</si>
  <si>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</si>
  <si>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</si>
  <si>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</si>
  <si>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</si>
  <si>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</si>
  <si>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</si>
  <si>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</si>
  <si>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</si>
  <si>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</si>
  <si>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</si>
  <si>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</si>
  <si>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</si>
  <si>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</si>
  <si>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</si>
  <si>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</si>
  <si>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</si>
  <si>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</si>
  <si>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</si>
  <si>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</si>
  <si>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</si>
  <si>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</si>
  <si>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</si>
  <si>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</si>
  <si>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</si>
  <si>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</si>
  <si>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</si>
  <si>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</si>
  <si>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</si>
  <si>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</si>
  <si>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</si>
  <si>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</si>
  <si>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</si>
  <si>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</si>
  <si>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</si>
  <si>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</si>
  <si>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</si>
  <si>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</si>
  <si>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</si>
  <si>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</si>
  <si>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</si>
  <si>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</si>
  <si>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</si>
  <si>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</si>
  <si>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</si>
  <si>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</si>
  <si>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</si>
  <si>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</si>
  <si>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</si>
  <si>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</si>
  <si>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</si>
  <si>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</si>
  <si>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</si>
  <si>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</si>
  <si>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</si>
  <si>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</si>
  <si>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</si>
  <si>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</si>
  <si>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</si>
  <si>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</si>
  <si>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</si>
  <si>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</si>
  <si>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</si>
  <si>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</si>
  <si>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</si>
  <si>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</si>
  <si>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</si>
  <si>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</si>
  <si>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</si>
  <si>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</si>
  <si>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</si>
  <si>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</si>
  <si>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</si>
  <si>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</si>
  <si>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</si>
  <si>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</si>
  <si>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</si>
  <si>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</si>
  <si>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</si>
  <si>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</si>
  <si>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</si>
  <si>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</si>
  <si>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</si>
  <si>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</si>
  <si>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</si>
  <si>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</si>
  <si>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</si>
  <si>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</si>
  <si>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</si>
  <si>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</si>
  <si>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</si>
  <si>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</si>
  <si>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</si>
  <si>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</si>
  <si>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</si>
  <si>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</si>
  <si>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</si>
  <si>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</si>
  <si>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</si>
  <si>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</si>
  <si>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</si>
  <si>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</si>
  <si>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</si>
  <si>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</si>
  <si>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</si>
  <si>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</si>
  <si>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</si>
  <si>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</si>
  <si>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</si>
  <si>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</si>
  <si>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</si>
  <si>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</si>
  <si>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</si>
  <si>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</si>
  <si>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</si>
  <si>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</si>
  <si>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</si>
  <si>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</si>
  <si>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</si>
  <si>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</si>
  <si>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</si>
  <si>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</si>
  <si>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</si>
  <si>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</si>
  <si>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</si>
  <si>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</si>
  <si>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</si>
  <si>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</si>
  <si>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</si>
  <si>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</si>
  <si>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</si>
  <si>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</si>
  <si>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</si>
  <si>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</si>
  <si>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</si>
  <si>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</si>
  <si>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</si>
  <si>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</si>
  <si>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</si>
  <si>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</si>
  <si>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</si>
  <si>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</si>
  <si>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</si>
  <si>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</si>
  <si>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</si>
  <si>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</si>
  <si>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</si>
  <si>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</si>
  <si>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</si>
  <si>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</si>
  <si>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</si>
  <si>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</si>
  <si>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</si>
  <si>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</si>
  <si>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</si>
  <si>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</si>
  <si>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</si>
  <si>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</si>
  <si>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</si>
  <si>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</si>
  <si>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</si>
  <si>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</si>
  <si>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</si>
  <si>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</si>
  <si>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</si>
  <si>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</si>
  <si>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</si>
  <si>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</si>
  <si>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</si>
  <si>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</si>
  <si>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</si>
  <si>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</si>
  <si>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</si>
  <si>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</si>
  <si>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</si>
  <si>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</si>
  <si>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</si>
  <si>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</si>
  <si>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</si>
  <si>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</si>
  <si>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</si>
  <si>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</si>
  <si>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</si>
  <si>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</si>
  <si>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</si>
  <si>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</si>
  <si>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</si>
  <si>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</si>
  <si>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</si>
  <si>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</si>
  <si>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</si>
  <si>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</si>
  <si>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</si>
  <si>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</si>
  <si>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</si>
  <si>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</si>
  <si>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</si>
  <si>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</si>
  <si>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</si>
  <si>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</si>
  <si>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</si>
  <si>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</si>
  <si>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</si>
  <si>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</si>
  <si>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</si>
  <si>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</si>
  <si>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</si>
  <si>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</si>
  <si>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</si>
  <si>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</si>
  <si>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</si>
  <si>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</si>
  <si>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</si>
  <si>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</si>
  <si>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</si>
  <si>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</si>
  <si>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</si>
  <si>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</si>
  <si>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</si>
  <si>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</si>
  <si>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</si>
  <si>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</si>
  <si>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</si>
  <si>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</si>
  <si>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</si>
  <si>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</si>
  <si>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</si>
  <si>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</si>
  <si>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</si>
  <si>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</si>
  <si>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</si>
  <si>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</si>
  <si>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</si>
  <si>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</si>
  <si>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</si>
  <si>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</si>
  <si>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</si>
  <si>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</si>
  <si>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</si>
  <si>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</si>
  <si>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</si>
  <si>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</si>
  <si>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</si>
  <si>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</si>
  <si>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</si>
  <si>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</si>
  <si>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</si>
  <si>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</si>
  <si>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</si>
  <si>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</si>
  <si>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</si>
  <si>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</si>
  <si>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</si>
  <si>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</si>
  <si>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</si>
  <si>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</si>
  <si>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</si>
  <si>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</si>
  <si>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</si>
  <si>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</si>
  <si>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</si>
  <si>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</si>
  <si>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</si>
  <si>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</si>
  <si>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</si>
  <si>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</si>
  <si>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</si>
  <si>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</si>
  <si>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</si>
  <si>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</si>
  <si>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</si>
  <si>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</si>
  <si>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</si>
  <si>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</si>
  <si>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</si>
  <si>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</si>
  <si>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</si>
  <si>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</si>
  <si>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</si>
  <si>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</si>
  <si>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</si>
  <si>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</si>
  <si>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</si>
  <si>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</si>
  <si>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</si>
  <si>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</si>
  <si>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</si>
  <si>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</si>
  <si>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</si>
  <si>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</si>
  <si>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</si>
  <si>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</si>
  <si>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</si>
  <si>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</si>
  <si>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</si>
  <si>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</si>
  <si>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</si>
  <si>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</si>
  <si>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</si>
  <si>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</si>
  <si>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</si>
  <si>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</si>
  <si>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</si>
  <si>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</si>
  <si>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</si>
  <si>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</si>
  <si>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</si>
  <si>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</si>
  <si>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</si>
  <si>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</si>
  <si>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</si>
  <si>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</si>
  <si>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</si>
  <si>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</si>
  <si>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</si>
  <si>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</si>
  <si>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</si>
  <si>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</si>
  <si>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</si>
  <si>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</si>
  <si>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</si>
  <si>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</si>
  <si>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</si>
  <si>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</si>
  <si>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</si>
  <si>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</si>
  <si>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</si>
  <si>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</si>
  <si>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</si>
  <si>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</si>
  <si>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</si>
  <si>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</si>
  <si>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</si>
  <si>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</si>
  <si>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</si>
  <si>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</si>
  <si>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</si>
  <si>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</si>
  <si>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</si>
  <si>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</si>
  <si>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</si>
  <si>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</si>
  <si>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</si>
  <si>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</si>
  <si>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</si>
  <si>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</si>
  <si>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</si>
  <si>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</si>
  <si>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</si>
  <si>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</si>
  <si>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</si>
  <si>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</si>
  <si>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</si>
  <si>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</si>
  <si>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</si>
  <si>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</si>
  <si>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</si>
  <si>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</si>
  <si>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</si>
  <si>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</si>
  <si>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</si>
  <si>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</si>
  <si>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</si>
  <si>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</si>
  <si>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</si>
  <si>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</si>
  <si>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</si>
  <si>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</si>
  <si>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</si>
  <si>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</si>
  <si>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</si>
  <si>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</si>
  <si>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</si>
  <si>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</si>
  <si>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</si>
  <si>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</si>
  <si>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</si>
  <si>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</si>
  <si>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</si>
  <si>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</si>
  <si>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</si>
  <si>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</si>
  <si>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</si>
  <si>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</si>
  <si>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</si>
  <si>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</si>
  <si>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</si>
  <si>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</si>
  <si>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</si>
  <si>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</si>
  <si>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</si>
  <si>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</si>
  <si>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</si>
  <si>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</si>
  <si>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</si>
  <si>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</si>
  <si>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</si>
  <si>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</si>
  <si>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</si>
  <si>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</si>
  <si>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</si>
  <si>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</si>
  <si>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</si>
  <si>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</si>
  <si>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</si>
  <si>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</si>
  <si>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</si>
  <si>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</si>
  <si>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</si>
  <si>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</si>
  <si>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</si>
  <si>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</si>
  <si>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</si>
  <si>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</si>
  <si>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</si>
  <si>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</si>
  <si>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</si>
  <si>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</si>
  <si>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</si>
  <si>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</si>
  <si>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</si>
  <si>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</si>
  <si>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</si>
  <si>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</si>
  <si>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</si>
  <si>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</si>
  <si>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</si>
  <si>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</si>
  <si>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</si>
  <si>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</si>
  <si>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</si>
  <si>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</si>
  <si>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</si>
  <si>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</si>
  <si>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</si>
  <si>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</si>
  <si>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</si>
  <si>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</si>
  <si>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</si>
  <si>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</si>
  <si>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</si>
  <si>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</si>
  <si>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</si>
  <si>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</si>
  <si>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</si>
  <si>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</si>
  <si>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</si>
  <si>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</si>
  <si>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</si>
  <si>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</si>
  <si>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</si>
  <si>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</si>
  <si>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</si>
  <si>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</si>
  <si>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</si>
  <si>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</si>
  <si>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</si>
  <si>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</si>
  <si>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</si>
  <si>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</si>
  <si>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</si>
  <si>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</si>
  <si>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</si>
  <si>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</si>
  <si>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</si>
  <si>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</si>
  <si>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</si>
  <si>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</si>
  <si>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</si>
  <si>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</si>
  <si>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</si>
  <si>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</si>
  <si>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</si>
  <si>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</si>
  <si>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</si>
  <si>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</si>
  <si>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</si>
  <si>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</si>
  <si>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</si>
  <si>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</si>
  <si>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</si>
  <si>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</si>
  <si>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</si>
  <si>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</si>
  <si>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</si>
  <si>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</si>
  <si>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</si>
  <si>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</si>
  <si>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</si>
  <si>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</si>
  <si>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</si>
  <si>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</si>
  <si>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</si>
  <si>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</si>
  <si>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</si>
  <si>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</si>
  <si>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</si>
  <si>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</si>
  <si>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</si>
  <si>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</si>
  <si>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</si>
  <si>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</si>
  <si>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</si>
  <si>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</si>
  <si>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</si>
  <si>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</si>
  <si>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</si>
  <si>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</si>
  <si>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</si>
  <si>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</si>
  <si>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</si>
  <si>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</si>
  <si>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</si>
  <si>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</si>
  <si>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</si>
  <si>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</si>
  <si>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</si>
  <si>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</si>
  <si>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</si>
  <si>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</si>
  <si>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</si>
  <si>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</si>
  <si>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</si>
  <si>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</si>
  <si>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</si>
  <si>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</si>
  <si>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</si>
  <si>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</si>
  <si>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</si>
  <si>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</si>
  <si>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</si>
  <si>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</si>
  <si>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</si>
  <si>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</si>
  <si>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</si>
  <si>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</si>
  <si>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</si>
  <si>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</si>
  <si>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</si>
  <si>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</si>
  <si>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</si>
  <si>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</si>
  <si>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</si>
  <si>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</si>
  <si>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</si>
  <si>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</si>
  <si>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</si>
  <si>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</si>
  <si>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</si>
  <si>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</si>
  <si>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</si>
  <si>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</si>
  <si>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</si>
  <si>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</si>
  <si>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</si>
  <si>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</si>
  <si>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</si>
  <si>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</si>
  <si>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</si>
  <si>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</si>
  <si>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</si>
  <si>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</si>
  <si>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</si>
  <si>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</si>
  <si>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</si>
  <si>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</si>
  <si>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</si>
  <si>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</si>
  <si>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</si>
  <si>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</si>
  <si>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</si>
  <si>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</si>
  <si>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</si>
  <si>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</si>
  <si>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</si>
  <si>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</si>
  <si>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</si>
  <si>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</si>
  <si>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</si>
  <si>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</si>
  <si>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</si>
  <si>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</si>
  <si>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</si>
  <si>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</si>
  <si>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</si>
  <si>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</si>
  <si>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</si>
  <si>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</si>
  <si>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</si>
  <si>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</si>
  <si>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</si>
  <si>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</si>
  <si>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</si>
  <si>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</si>
  <si>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</si>
  <si>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</si>
  <si>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</si>
  <si>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</si>
  <si>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</si>
  <si>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</si>
  <si>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</si>
  <si>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</si>
  <si>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</si>
  <si>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</si>
  <si>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</si>
  <si>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</si>
  <si>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</si>
  <si>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</si>
  <si>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</si>
  <si>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</si>
  <si>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</si>
  <si>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</si>
  <si>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</si>
  <si>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</si>
  <si>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</si>
  <si>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</si>
  <si>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</si>
  <si>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</si>
  <si>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</si>
  <si>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</si>
  <si>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</si>
  <si>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</si>
  <si>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</si>
  <si>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</si>
  <si>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</si>
  <si>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</si>
  <si>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</si>
  <si>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</si>
  <si>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</si>
  <si>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</si>
  <si>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</si>
  <si>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</si>
  <si>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</si>
  <si>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</si>
  <si>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</si>
  <si>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</si>
  <si>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</si>
  <si>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</si>
  <si>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</si>
  <si>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</si>
  <si>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</si>
  <si>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</si>
  <si>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</si>
  <si>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</si>
  <si>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</si>
  <si>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</si>
  <si>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</si>
  <si>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</si>
  <si>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</si>
  <si>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</si>
  <si>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</si>
  <si>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</si>
  <si>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</si>
  <si>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</si>
  <si>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</si>
  <si>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</si>
  <si>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</si>
  <si>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</si>
  <si>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</si>
  <si>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</si>
  <si>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</si>
  <si>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</si>
  <si>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</si>
  <si>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</si>
  <si>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</si>
  <si>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</si>
  <si>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</si>
  <si>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</si>
  <si>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</si>
  <si>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</si>
  <si>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</si>
  <si>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</si>
  <si>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</si>
  <si>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</si>
  <si>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</si>
  <si>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</si>
  <si>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</si>
  <si>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</si>
  <si>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</si>
  <si>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</si>
  <si>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</si>
  <si>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</si>
  <si>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</si>
  <si>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</si>
  <si>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</si>
  <si>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</si>
  <si>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</si>
  <si>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</si>
  <si>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</si>
  <si>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</si>
  <si>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</si>
  <si>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</si>
  <si>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</si>
  <si>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</si>
  <si>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</si>
  <si>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</si>
  <si>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</si>
  <si>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</si>
  <si>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</si>
  <si>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</si>
  <si>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</si>
  <si>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</si>
  <si>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</si>
  <si>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</si>
  <si>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</si>
  <si>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</si>
  <si>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</si>
  <si>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</si>
  <si>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</si>
  <si>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</si>
  <si>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</si>
  <si>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</si>
  <si>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</si>
  <si>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</si>
  <si>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</si>
  <si>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</si>
  <si>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</si>
  <si>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</si>
  <si>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</si>
  <si>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</si>
  <si>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</si>
  <si>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</si>
  <si>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</si>
  <si>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</si>
  <si>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</si>
  <si>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</si>
  <si>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</si>
  <si>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</si>
  <si>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</si>
  <si>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</si>
  <si>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</si>
  <si>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</si>
  <si>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</si>
  <si>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</si>
  <si>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</si>
  <si>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</si>
  <si>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</si>
  <si>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</si>
  <si>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</si>
  <si>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</si>
  <si>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</si>
  <si>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</si>
  <si>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</si>
  <si>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</si>
  <si>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</si>
  <si>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</si>
  <si>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</si>
  <si>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</si>
  <si>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</si>
  <si>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</si>
  <si>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</si>
  <si>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</si>
  <si>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</si>
  <si>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</si>
  <si>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</si>
  <si>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</si>
  <si>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</si>
  <si>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</si>
  <si>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</si>
  <si>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</si>
  <si>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</si>
  <si>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</si>
  <si>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</si>
  <si>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</si>
  <si>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</si>
  <si>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</si>
  <si>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</si>
  <si>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</si>
  <si>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</si>
  <si>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</si>
  <si>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</si>
  <si>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</si>
  <si>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</si>
  <si>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</si>
  <si>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</si>
  <si>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</si>
  <si>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</si>
  <si>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</si>
  <si>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</si>
  <si>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</si>
  <si>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</si>
  <si>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</si>
  <si>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</si>
  <si>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</si>
  <si>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</si>
  <si>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</si>
  <si>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</si>
  <si>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</si>
  <si>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</si>
  <si>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</si>
  <si>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</si>
  <si>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</si>
  <si>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</si>
  <si>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</si>
  <si>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</si>
  <si>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</si>
  <si>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</si>
  <si>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</si>
  <si>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</si>
  <si>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</si>
  <si>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</si>
  <si>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</si>
  <si>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</si>
  <si>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</si>
  <si>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</si>
  <si>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</si>
  <si>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</si>
  <si>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</si>
  <si>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45062</t>
  </si>
  <si>
    <t>HOREBEKE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</si>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</sst>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F899C39-DA27-4FBF-9E5C-17374F46924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17352.353397692623</c:v>
                </c:pt>
                <c:pt idx="1">
                  <c:v>4299.682170573642</c:v>
                </c:pt>
                <c:pt idx="2">
                  <c:v>131.02500000000001</c:v>
                </c:pt>
                <c:pt idx="3">
                  <c:v>1791.5874542511688</c:v>
                </c:pt>
                <c:pt idx="4">
                  <c:v>416.8990024085939</c:v>
                </c:pt>
                <c:pt idx="5">
                  <c:v>9442.5840916340076</c:v>
                </c:pt>
                <c:pt idx="6">
                  <c:v>185.73328431329418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17352.353397692623</c:v>
                </c:pt>
                <c:pt idx="1">
                  <c:v>4299.682170573642</c:v>
                </c:pt>
                <c:pt idx="2">
                  <c:v>131.02500000000001</c:v>
                </c:pt>
                <c:pt idx="3">
                  <c:v>1791.5874542511688</c:v>
                </c:pt>
                <c:pt idx="4">
                  <c:v>416.8990024085939</c:v>
                </c:pt>
                <c:pt idx="5">
                  <c:v>9442.5840916340076</c:v>
                </c:pt>
                <c:pt idx="6">
                  <c:v>185.73328431329418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3907.7511838478986</c:v>
                </c:pt>
                <c:pt idx="2">
                  <c:v>856.19140232496909</c:v>
                </c:pt>
                <c:pt idx="3">
                  <c:v>25.429621094189276</c:v>
                </c:pt>
                <c:pt idx="4">
                  <c:v>450.06680374508193</c:v>
                </c:pt>
                <c:pt idx="5">
                  <c:v>84.701887163313785</c:v>
                </c:pt>
                <c:pt idx="6">
                  <c:v>2365.0119401565421</c:v>
                </c:pt>
                <c:pt idx="7">
                  <c:v>46.83750082913474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3907.7511838478986</c:v>
                </c:pt>
                <c:pt idx="2">
                  <c:v>856.19140232496909</c:v>
                </c:pt>
                <c:pt idx="3">
                  <c:v>25.429621094189276</c:v>
                </c:pt>
                <c:pt idx="4">
                  <c:v>450.06680374508193</c:v>
                </c:pt>
                <c:pt idx="5">
                  <c:v>84.701887163313785</c:v>
                </c:pt>
                <c:pt idx="6">
                  <c:v>2365.0119401565421</c:v>
                </c:pt>
                <c:pt idx="7">
                  <c:v>46.83750082913474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45062</v>
      </c>
      <c r="B6" s="381"/>
      <c r="C6" s="382"/>
    </row>
    <row r="7" spans="1:7" s="379" customFormat="1" ht="15.75" customHeight="1">
      <c r="A7" s="383" t="str">
        <f>txtMunicipality</f>
        <v>HOREBEKE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0.1940822064048027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0.1940822064048027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756</v>
      </c>
      <c r="C14" s="322"/>
      <c r="D14" s="322"/>
      <c r="E14" s="322"/>
      <c r="F14" s="322"/>
    </row>
    <row r="15" spans="1:6">
      <c r="A15" s="1261" t="s">
        <v>177</v>
      </c>
      <c r="B15" s="1262">
        <v>7</v>
      </c>
      <c r="C15" s="322"/>
      <c r="D15" s="322"/>
      <c r="E15" s="322"/>
      <c r="F15" s="322"/>
    </row>
    <row r="16" spans="1:6">
      <c r="A16" s="1261" t="s">
        <v>6</v>
      </c>
      <c r="B16" s="1262">
        <v>289</v>
      </c>
      <c r="C16" s="322"/>
      <c r="D16" s="322"/>
      <c r="E16" s="322"/>
      <c r="F16" s="322"/>
    </row>
    <row r="17" spans="1:6">
      <c r="A17" s="1261" t="s">
        <v>7</v>
      </c>
      <c r="B17" s="1262">
        <v>196</v>
      </c>
      <c r="C17" s="322"/>
      <c r="D17" s="322"/>
      <c r="E17" s="322"/>
      <c r="F17" s="322"/>
    </row>
    <row r="18" spans="1:6">
      <c r="A18" s="1261" t="s">
        <v>8</v>
      </c>
      <c r="B18" s="1262">
        <v>330</v>
      </c>
      <c r="C18" s="322"/>
      <c r="D18" s="322"/>
      <c r="E18" s="322"/>
      <c r="F18" s="322"/>
    </row>
    <row r="19" spans="1:6">
      <c r="A19" s="1261" t="s">
        <v>9</v>
      </c>
      <c r="B19" s="1262">
        <v>367</v>
      </c>
      <c r="C19" s="322"/>
      <c r="D19" s="322"/>
      <c r="E19" s="322"/>
      <c r="F19" s="322"/>
    </row>
    <row r="20" spans="1:6">
      <c r="A20" s="1261" t="s">
        <v>10</v>
      </c>
      <c r="B20" s="1262">
        <v>250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26516</v>
      </c>
      <c r="C28" s="322"/>
      <c r="D28" s="322"/>
      <c r="E28" s="322"/>
      <c r="F28" s="322"/>
    </row>
    <row r="29" spans="1:6">
      <c r="A29" s="1261" t="s">
        <v>901</v>
      </c>
      <c r="B29" s="1263">
        <v>50</v>
      </c>
      <c r="C29" s="322"/>
      <c r="D29" s="322"/>
      <c r="E29" s="322"/>
      <c r="F29" s="322"/>
    </row>
    <row r="30" spans="1:6">
      <c r="A30" s="1256" t="s">
        <v>902</v>
      </c>
      <c r="B30" s="1264">
        <v>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169</v>
      </c>
      <c r="D39" s="1262">
        <v>2574423.9318725802</v>
      </c>
      <c r="E39" s="1262">
        <v>701</v>
      </c>
      <c r="F39" s="1262">
        <v>3427885</v>
      </c>
    </row>
    <row r="40" spans="1:6">
      <c r="A40" s="1261" t="s">
        <v>29</v>
      </c>
      <c r="B40" s="1261" t="s">
        <v>28</v>
      </c>
      <c r="C40" s="1262">
        <v>0</v>
      </c>
      <c r="D40" s="1262">
        <v>0</v>
      </c>
      <c r="E40" s="1262">
        <v>0</v>
      </c>
      <c r="F40" s="1262">
        <v>0</v>
      </c>
    </row>
    <row r="41" spans="1:6">
      <c r="A41" s="1261" t="s">
        <v>31</v>
      </c>
      <c r="B41" s="1261" t="s">
        <v>32</v>
      </c>
      <c r="C41" s="1262">
        <v>0</v>
      </c>
      <c r="D41" s="1262">
        <v>0</v>
      </c>
      <c r="E41" s="1262">
        <v>3</v>
      </c>
      <c r="F41" s="1262">
        <v>25565.45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v>
      </c>
      <c r="D48" s="1262">
        <v>145776.60263958501</v>
      </c>
      <c r="E48" s="1262">
        <v>14</v>
      </c>
      <c r="F48" s="1262">
        <v>172416.4</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16</v>
      </c>
      <c r="F51" s="1262">
        <v>206751.8</v>
      </c>
    </row>
    <row r="52" spans="1:6">
      <c r="A52" s="1261" t="s">
        <v>41</v>
      </c>
      <c r="B52" s="1261" t="s">
        <v>28</v>
      </c>
      <c r="C52" s="1262">
        <v>2</v>
      </c>
      <c r="D52" s="1262">
        <v>31596.100384719299</v>
      </c>
      <c r="E52" s="1262">
        <v>8</v>
      </c>
      <c r="F52" s="1262">
        <v>197489.5</v>
      </c>
    </row>
    <row r="53" spans="1:6">
      <c r="A53" s="1261" t="s">
        <v>43</v>
      </c>
      <c r="B53" s="1261" t="s">
        <v>44</v>
      </c>
      <c r="C53" s="1262">
        <v>6</v>
      </c>
      <c r="D53" s="1262">
        <v>123175.09370616901</v>
      </c>
      <c r="E53" s="1262">
        <v>38</v>
      </c>
      <c r="F53" s="1262">
        <v>183717.9</v>
      </c>
    </row>
    <row r="54" spans="1:6">
      <c r="A54" s="1261" t="s">
        <v>45</v>
      </c>
      <c r="B54" s="1261" t="s">
        <v>46</v>
      </c>
      <c r="C54" s="1262">
        <v>0</v>
      </c>
      <c r="D54" s="1262">
        <v>0</v>
      </c>
      <c r="E54" s="1262">
        <v>1</v>
      </c>
      <c r="F54" s="1262">
        <v>131025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0</v>
      </c>
      <c r="D57" s="1262">
        <v>0</v>
      </c>
      <c r="E57" s="1262">
        <v>0</v>
      </c>
      <c r="F57" s="1262">
        <v>0</v>
      </c>
    </row>
    <row r="58" spans="1:6">
      <c r="A58" s="1261" t="s">
        <v>48</v>
      </c>
      <c r="B58" s="1261" t="s">
        <v>50</v>
      </c>
      <c r="C58" s="1262">
        <v>4</v>
      </c>
      <c r="D58" s="1262">
        <v>889005.44264638901</v>
      </c>
      <c r="E58" s="1262">
        <v>3</v>
      </c>
      <c r="F58" s="1262">
        <v>28885.67</v>
      </c>
    </row>
    <row r="59" spans="1:6">
      <c r="A59" s="1261" t="s">
        <v>48</v>
      </c>
      <c r="B59" s="1261" t="s">
        <v>51</v>
      </c>
      <c r="C59" s="1262">
        <v>3</v>
      </c>
      <c r="D59" s="1262">
        <v>90601.868723124906</v>
      </c>
      <c r="E59" s="1262">
        <v>11</v>
      </c>
      <c r="F59" s="1262">
        <v>327266.09999999998</v>
      </c>
    </row>
    <row r="60" spans="1:6">
      <c r="A60" s="1261" t="s">
        <v>48</v>
      </c>
      <c r="B60" s="1261" t="s">
        <v>52</v>
      </c>
      <c r="C60" s="1262">
        <v>0</v>
      </c>
      <c r="D60" s="1262">
        <v>0</v>
      </c>
      <c r="E60" s="1262">
        <v>9</v>
      </c>
      <c r="F60" s="1262">
        <v>150552.6</v>
      </c>
    </row>
    <row r="61" spans="1:6">
      <c r="A61" s="1261" t="s">
        <v>48</v>
      </c>
      <c r="B61" s="1261" t="s">
        <v>53</v>
      </c>
      <c r="C61" s="1262">
        <v>0</v>
      </c>
      <c r="D61" s="1262">
        <v>0</v>
      </c>
      <c r="E61" s="1262">
        <v>12</v>
      </c>
      <c r="F61" s="1262">
        <v>56430.35</v>
      </c>
    </row>
    <row r="62" spans="1:6">
      <c r="A62" s="1261" t="s">
        <v>48</v>
      </c>
      <c r="B62" s="1261" t="s">
        <v>54</v>
      </c>
      <c r="C62" s="1262">
        <v>0</v>
      </c>
      <c r="D62" s="1262">
        <v>0</v>
      </c>
      <c r="E62" s="1262">
        <v>0</v>
      </c>
      <c r="F62" s="1262">
        <v>0</v>
      </c>
    </row>
    <row r="63" spans="1:6">
      <c r="A63" s="1261" t="s">
        <v>48</v>
      </c>
      <c r="B63" s="1261" t="s">
        <v>28</v>
      </c>
      <c r="C63" s="1262">
        <v>21</v>
      </c>
      <c r="D63" s="1262">
        <v>674994.99970250204</v>
      </c>
      <c r="E63" s="1262">
        <v>48</v>
      </c>
      <c r="F63" s="1262">
        <v>1601609</v>
      </c>
    </row>
    <row r="64" spans="1:6">
      <c r="A64" s="1261" t="s">
        <v>55</v>
      </c>
      <c r="B64" s="1261" t="s">
        <v>56</v>
      </c>
      <c r="C64" s="1262">
        <v>0</v>
      </c>
      <c r="D64" s="1262">
        <v>0</v>
      </c>
      <c r="E64" s="1262">
        <v>0</v>
      </c>
      <c r="F64" s="1262">
        <v>0</v>
      </c>
    </row>
    <row r="65" spans="1:6">
      <c r="A65" s="1261" t="s">
        <v>55</v>
      </c>
      <c r="B65" s="1261" t="s">
        <v>28</v>
      </c>
      <c r="C65" s="1262">
        <v>0</v>
      </c>
      <c r="D65" s="1262">
        <v>0</v>
      </c>
      <c r="E65" s="1262">
        <v>4</v>
      </c>
      <c r="F65" s="1262">
        <v>48153.16</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9888962</v>
      </c>
      <c r="E73" s="440"/>
      <c r="F73" s="322"/>
    </row>
    <row r="74" spans="1:6">
      <c r="A74" s="1261" t="s">
        <v>63</v>
      </c>
      <c r="B74" s="1261" t="s">
        <v>670</v>
      </c>
      <c r="C74" s="1274" t="s">
        <v>672</v>
      </c>
      <c r="D74" s="1262">
        <v>679602.60257938399</v>
      </c>
      <c r="E74" s="440"/>
      <c r="F74" s="322"/>
    </row>
    <row r="75" spans="1:6">
      <c r="A75" s="1261" t="s">
        <v>64</v>
      </c>
      <c r="B75" s="1261" t="s">
        <v>669</v>
      </c>
      <c r="C75" s="1274" t="s">
        <v>673</v>
      </c>
      <c r="D75" s="1262">
        <v>1721271</v>
      </c>
      <c r="E75" s="440"/>
      <c r="F75" s="322"/>
    </row>
    <row r="76" spans="1:6">
      <c r="A76" s="1261" t="s">
        <v>64</v>
      </c>
      <c r="B76" s="1261" t="s">
        <v>670</v>
      </c>
      <c r="C76" s="1274" t="s">
        <v>674</v>
      </c>
      <c r="D76" s="1262">
        <v>9541.602579384049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49884.794841231902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553.10161056740401</v>
      </c>
      <c r="C91" s="322"/>
      <c r="D91" s="322"/>
      <c r="E91" s="322"/>
      <c r="F91" s="322"/>
    </row>
    <row r="92" spans="1:6">
      <c r="A92" s="1256" t="s">
        <v>68</v>
      </c>
      <c r="B92" s="1257">
        <v>307.44066815703837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v>
      </c>
      <c r="C97" s="322"/>
      <c r="D97" s="322"/>
      <c r="E97" s="322"/>
      <c r="F97" s="322"/>
    </row>
    <row r="98" spans="1:6">
      <c r="A98" s="1261" t="s">
        <v>71</v>
      </c>
      <c r="B98" s="1262">
        <v>0</v>
      </c>
      <c r="C98" s="322"/>
      <c r="D98" s="322"/>
      <c r="E98" s="322"/>
      <c r="F98" s="322"/>
    </row>
    <row r="99" spans="1:6">
      <c r="A99" s="1261" t="s">
        <v>72</v>
      </c>
      <c r="B99" s="1262">
        <v>27</v>
      </c>
      <c r="C99" s="322"/>
      <c r="D99" s="322"/>
      <c r="E99" s="322"/>
      <c r="F99" s="322"/>
    </row>
    <row r="100" spans="1:6">
      <c r="A100" s="1261" t="s">
        <v>73</v>
      </c>
      <c r="B100" s="1262">
        <v>75</v>
      </c>
      <c r="C100" s="322"/>
      <c r="D100" s="322"/>
      <c r="E100" s="322"/>
      <c r="F100" s="322"/>
    </row>
    <row r="101" spans="1:6">
      <c r="A101" s="1261" t="s">
        <v>74</v>
      </c>
      <c r="B101" s="1262">
        <v>28</v>
      </c>
      <c r="C101" s="322"/>
      <c r="D101" s="322"/>
      <c r="E101" s="322"/>
      <c r="F101" s="322"/>
    </row>
    <row r="102" spans="1:6">
      <c r="A102" s="1261" t="s">
        <v>75</v>
      </c>
      <c r="B102" s="1262">
        <v>18</v>
      </c>
      <c r="C102" s="322"/>
      <c r="D102" s="322"/>
      <c r="E102" s="322"/>
      <c r="F102" s="322"/>
    </row>
    <row r="103" spans="1:6">
      <c r="A103" s="1261" t="s">
        <v>76</v>
      </c>
      <c r="B103" s="1262">
        <v>72</v>
      </c>
      <c r="C103" s="322"/>
      <c r="D103" s="322"/>
      <c r="E103" s="322"/>
      <c r="F103" s="322"/>
    </row>
    <row r="104" spans="1:6">
      <c r="A104" s="1261" t="s">
        <v>77</v>
      </c>
      <c r="B104" s="1262">
        <v>483</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v>
      </c>
      <c r="C123" s="1262">
        <v>2</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33</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7065.2092239846061</v>
      </c>
      <c r="C3" s="43" t="s">
        <v>163</v>
      </c>
      <c r="D3" s="43"/>
      <c r="E3" s="153"/>
      <c r="F3" s="43"/>
      <c r="G3" s="43"/>
      <c r="H3" s="43"/>
      <c r="I3" s="43"/>
      <c r="J3" s="43"/>
      <c r="K3" s="96"/>
    </row>
    <row r="4" spans="1:11">
      <c r="A4" s="349" t="s">
        <v>164</v>
      </c>
      <c r="B4" s="49">
        <f>IF(ISERROR('SEAP template'!B78+'SEAP template'!C78),0,'SEAP template'!B78+'SEAP template'!C78)</f>
        <v>860.54227872444244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0.1940822064048027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131.02500000000001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131.02500000000001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0.1940822064048027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25.429621094189276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3427.8850000000002</v>
      </c>
      <c r="C5" s="17">
        <f>IF(ISERROR('Eigen informatie GS &amp; warmtenet'!B57),0,'Eigen informatie GS &amp; warmtenet'!B57)</f>
        <v>0</v>
      </c>
      <c r="D5" s="30">
        <f>(SUM(HH_hh_gas_kWh,HH_rest_gas_kWh)/1000)*0.902</f>
        <v>2322.1303865490677</v>
      </c>
      <c r="E5" s="17">
        <f>B32*B41</f>
        <v>299.20415926236558</v>
      </c>
      <c r="F5" s="17">
        <f>B36*B45</f>
        <v>9438.9577660101477</v>
      </c>
      <c r="G5" s="18"/>
      <c r="H5" s="17"/>
      <c r="I5" s="17"/>
      <c r="J5" s="17">
        <f>B35*B44+C35*C44</f>
        <v>220.11613853339384</v>
      </c>
      <c r="K5" s="17"/>
      <c r="L5" s="17"/>
      <c r="M5" s="17"/>
      <c r="N5" s="17">
        <f>B34*B43+C34*C43</f>
        <v>979.04167010357435</v>
      </c>
      <c r="O5" s="17">
        <f>B52*B53*B54</f>
        <v>54.716666666666669</v>
      </c>
      <c r="P5" s="17">
        <f>B60*B61*B62/1000-B60*B61*B62/1000/B63</f>
        <v>57.2</v>
      </c>
    </row>
    <row r="6" spans="1:16">
      <c r="A6" s="16" t="s">
        <v>593</v>
      </c>
      <c r="B6" s="717">
        <f>kWh_PV_kleiner_dan_10kW</f>
        <v>553.10161056740401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3980.9866105674041</v>
      </c>
      <c r="C8" s="21">
        <f>C5</f>
        <v>0</v>
      </c>
      <c r="D8" s="21">
        <f>D5</f>
        <v>2322.1303865490677</v>
      </c>
      <c r="E8" s="21">
        <f>E5</f>
        <v>299.20415926236558</v>
      </c>
      <c r="F8" s="21">
        <f>F5</f>
        <v>9438.9577660101477</v>
      </c>
      <c r="G8" s="21"/>
      <c r="H8" s="21"/>
      <c r="I8" s="21"/>
      <c r="J8" s="21">
        <f>J5</f>
        <v>220.11613853339384</v>
      </c>
      <c r="K8" s="21"/>
      <c r="L8" s="21">
        <f>L5</f>
        <v>0</v>
      </c>
      <c r="M8" s="21">
        <f>M5</f>
        <v>0</v>
      </c>
      <c r="N8" s="21">
        <f>N5</f>
        <v>979.04167010357435</v>
      </c>
      <c r="O8" s="21">
        <f>O5</f>
        <v>54.716666666666669</v>
      </c>
      <c r="P8" s="21">
        <f>P5</f>
        <v>57.2</v>
      </c>
    </row>
    <row r="9" spans="1:16">
      <c r="B9" s="19"/>
      <c r="C9" s="19"/>
      <c r="D9" s="253"/>
      <c r="E9" s="19"/>
      <c r="F9" s="19"/>
      <c r="G9" s="19"/>
      <c r="H9" s="19"/>
      <c r="I9" s="19"/>
      <c r="J9" s="19"/>
      <c r="K9" s="19"/>
      <c r="L9" s="19"/>
      <c r="M9" s="19"/>
      <c r="N9" s="19"/>
      <c r="O9" s="19"/>
      <c r="P9" s="19"/>
    </row>
    <row r="10" spans="1:16">
      <c r="A10" s="24" t="s">
        <v>207</v>
      </c>
      <c r="B10" s="25">
        <f ca="1">'EF ele_warmte'!B12</f>
        <v>0.1940822064048027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772.63866504689884</v>
      </c>
      <c r="C12" s="23">
        <f ca="1">C10*C8</f>
        <v>0</v>
      </c>
      <c r="D12" s="23">
        <f>D8*D10</f>
        <v>469.07033808291169</v>
      </c>
      <c r="E12" s="23">
        <f>E10*E8</f>
        <v>67.919344152556988</v>
      </c>
      <c r="F12" s="23">
        <f>F10*F8</f>
        <v>2520.2017235247095</v>
      </c>
      <c r="G12" s="23"/>
      <c r="H12" s="23"/>
      <c r="I12" s="23"/>
      <c r="J12" s="23">
        <f>J10*J8</f>
        <v>77.92111304082141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758</v>
      </c>
      <c r="C26" s="36"/>
      <c r="D26" s="224"/>
    </row>
    <row r="27" spans="1:5" s="15" customFormat="1">
      <c r="A27" s="226" t="s">
        <v>696</v>
      </c>
      <c r="B27" s="37">
        <f>SUM(HH_hh_gas_aantal,HH_rest_gas_aantal)</f>
        <v>169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160.55000000000001</v>
      </c>
      <c r="C31" s="34" t="s">
        <v>104</v>
      </c>
      <c r="D31" s="170"/>
    </row>
    <row r="32" spans="1:5">
      <c r="A32" s="167" t="s">
        <v>72</v>
      </c>
      <c r="B32" s="33">
        <f>IF((B21*($B$26-($B$27-0.05*$B$27)-$B$60))&lt;0,0,B21*($B$26-($B$27-0.05*$B$27)-$B$60))</f>
        <v>3.7481382962675158</v>
      </c>
      <c r="C32" s="34" t="s">
        <v>104</v>
      </c>
      <c r="D32" s="170"/>
    </row>
    <row r="33" spans="1:6">
      <c r="A33" s="167" t="s">
        <v>73</v>
      </c>
      <c r="B33" s="33">
        <f>IF((B22*($B$26-($B$27-0.05*$B$27)-$B$60))&lt;0,0,B22*($B$26-($B$27-0.05*$B$27)-$B$60))</f>
        <v>130.52379139237459</v>
      </c>
      <c r="C33" s="34" t="s">
        <v>104</v>
      </c>
      <c r="D33" s="170"/>
    </row>
    <row r="34" spans="1:6">
      <c r="A34" s="167" t="s">
        <v>74</v>
      </c>
      <c r="B34" s="33">
        <f>IF((B24*($B$26-($B$27-0.05*$B$27)-$B$60))&lt;0,0,B24*($B$26-($B$27-0.05*$B$27)-$B$60))</f>
        <v>25.908395163833486</v>
      </c>
      <c r="C34" s="33">
        <f>B26*C24</f>
        <v>155.08655927777022</v>
      </c>
      <c r="D34" s="229"/>
    </row>
    <row r="35" spans="1:6">
      <c r="A35" s="167" t="s">
        <v>76</v>
      </c>
      <c r="B35" s="33">
        <f>IF((B19*($B$26-($B$27-0.05*$B$27)-$B$60))&lt;0,0,B19*($B$26-($B$27-0.05*$B$27)-$B$60))</f>
        <v>12.657724437043912</v>
      </c>
      <c r="C35" s="33">
        <f>B35/2</f>
        <v>6.3288622185219561</v>
      </c>
      <c r="D35" s="229"/>
    </row>
    <row r="36" spans="1:6">
      <c r="A36" s="167" t="s">
        <v>77</v>
      </c>
      <c r="B36" s="33">
        <f>IF((B18*($B$26-($B$27-0.05*$B$27)-$B$60))&lt;0,0,B18*($B$26-($B$27-0.05*$B$27)-$B$60))</f>
        <v>421.61195071048076</v>
      </c>
      <c r="C36" s="34" t="s">
        <v>104</v>
      </c>
      <c r="D36" s="170"/>
    </row>
    <row r="37" spans="1:6">
      <c r="A37" s="167" t="s">
        <v>78</v>
      </c>
      <c r="B37" s="33">
        <f>B60</f>
        <v>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2164.7437199999999</v>
      </c>
      <c r="C5" s="17">
        <f>IF(ISERROR('Eigen informatie GS &amp; warmtenet'!B58),0,'Eigen informatie GS &amp; warmtenet'!B58)</f>
        <v>0</v>
      </c>
      <c r="D5" s="30">
        <f>SUM(D6:D12)</f>
        <v>1492.4512845869585</v>
      </c>
      <c r="E5" s="17">
        <f>SUM(E6:E12)</f>
        <v>34.898262658997218</v>
      </c>
      <c r="F5" s="17">
        <f>SUM(F6:F12)</f>
        <v>474.36741474258679</v>
      </c>
      <c r="G5" s="18"/>
      <c r="H5" s="17"/>
      <c r="I5" s="17"/>
      <c r="J5" s="17">
        <f>SUM(J6:J12)</f>
        <v>0</v>
      </c>
      <c r="K5" s="17"/>
      <c r="L5" s="17"/>
      <c r="M5" s="17"/>
      <c r="N5" s="17">
        <f>SUM(N6:N12)</f>
        <v>133.22148858509865</v>
      </c>
      <c r="O5" s="17">
        <f>B38*B39*B40</f>
        <v>0</v>
      </c>
      <c r="P5" s="17">
        <f>B46*B47*B48/1000-B46*B47*B48/1000/B49</f>
        <v>0</v>
      </c>
      <c r="R5" s="32"/>
    </row>
    <row r="6" spans="1:18">
      <c r="A6" s="32" t="s">
        <v>53</v>
      </c>
      <c r="B6" s="37">
        <f>B26</f>
        <v>56.430349999999997</v>
      </c>
      <c r="C6" s="33"/>
      <c r="D6" s="37">
        <f>IF(ISERROR(TER_kantoor_gas_kWh/1000),0,TER_kantoor_gas_kWh/1000)*0.902</f>
        <v>0</v>
      </c>
      <c r="E6" s="33">
        <f>$C$26*'E Balans VL '!I12/100/3.6*1000000</f>
        <v>7.9137867823757789E-4</v>
      </c>
      <c r="F6" s="33">
        <f>$C$26*('E Balans VL '!L12+'E Balans VL '!N12)/100/3.6*1000000</f>
        <v>7.8437260533833468</v>
      </c>
      <c r="G6" s="34"/>
      <c r="H6" s="33"/>
      <c r="I6" s="33"/>
      <c r="J6" s="33">
        <f>$C$26*('E Balans VL '!D12+'E Balans VL '!E12)/100/3.6*1000000</f>
        <v>0</v>
      </c>
      <c r="K6" s="33"/>
      <c r="L6" s="33"/>
      <c r="M6" s="33"/>
      <c r="N6" s="33">
        <f>$C$26*'E Balans VL '!Y12/100/3.6*1000000</f>
        <v>0.69842618425913083</v>
      </c>
      <c r="O6" s="33"/>
      <c r="P6" s="33"/>
      <c r="R6" s="32"/>
    </row>
    <row r="7" spans="1:18">
      <c r="A7" s="32" t="s">
        <v>52</v>
      </c>
      <c r="B7" s="37">
        <f t="shared" ref="B7:B12" si="0">B27</f>
        <v>150.55260000000001</v>
      </c>
      <c r="C7" s="33"/>
      <c r="D7" s="37">
        <f>IF(ISERROR(TER_horeca_gas_kWh/1000),0,TER_horeca_gas_kWh/1000)*0.902</f>
        <v>0</v>
      </c>
      <c r="E7" s="33">
        <f>$C$27*'E Balans VL '!I9/100/3.6*1000000</f>
        <v>2.1490239433952851</v>
      </c>
      <c r="F7" s="33">
        <f>$C$27*('E Balans VL '!L9+'E Balans VL '!N9)/100/3.6*1000000</f>
        <v>23.404875558496002</v>
      </c>
      <c r="G7" s="34"/>
      <c r="H7" s="33"/>
      <c r="I7" s="33"/>
      <c r="J7" s="33">
        <f>$C$27*('E Balans VL '!D9+'E Balans VL '!E9)/100/3.6*1000000</f>
        <v>0</v>
      </c>
      <c r="K7" s="33"/>
      <c r="L7" s="33"/>
      <c r="M7" s="33"/>
      <c r="N7" s="33">
        <f>$C$27*'E Balans VL '!Y9/100/3.6*1000000</f>
        <v>3.8795036200612941E-2</v>
      </c>
      <c r="O7" s="33"/>
      <c r="P7" s="33"/>
      <c r="R7" s="32"/>
    </row>
    <row r="8" spans="1:18">
      <c r="A8" s="6" t="s">
        <v>51</v>
      </c>
      <c r="B8" s="37">
        <f t="shared" si="0"/>
        <v>327.26609999999999</v>
      </c>
      <c r="C8" s="33"/>
      <c r="D8" s="37">
        <f>IF(ISERROR(TER_handel_gas_kWh/1000),0,TER_handel_gas_kWh/1000)*0.902</f>
        <v>81.722885588258677</v>
      </c>
      <c r="E8" s="33">
        <f>$C$28*'E Balans VL '!I13/100/3.6*1000000</f>
        <v>8.8575329509476095</v>
      </c>
      <c r="F8" s="33">
        <f>$C$28*('E Balans VL '!L13+'E Balans VL '!N13)/100/3.6*1000000</f>
        <v>50.818327057024412</v>
      </c>
      <c r="G8" s="34"/>
      <c r="H8" s="33"/>
      <c r="I8" s="33"/>
      <c r="J8" s="33">
        <f>$C$28*('E Balans VL '!D13+'E Balans VL '!E13)/100/3.6*1000000</f>
        <v>0</v>
      </c>
      <c r="K8" s="33"/>
      <c r="L8" s="33"/>
      <c r="M8" s="33"/>
      <c r="N8" s="33">
        <f>$C$28*'E Balans VL '!Y13/100/3.6*1000000</f>
        <v>2.6517322973616215</v>
      </c>
      <c r="O8" s="33"/>
      <c r="P8" s="33"/>
      <c r="R8" s="32"/>
    </row>
    <row r="9" spans="1:18">
      <c r="A9" s="32" t="s">
        <v>50</v>
      </c>
      <c r="B9" s="37">
        <f t="shared" si="0"/>
        <v>28.885669999999998</v>
      </c>
      <c r="C9" s="33"/>
      <c r="D9" s="37">
        <f>IF(ISERROR(TER_gezond_gas_kWh/1000),0,TER_gezond_gas_kWh/1000)*0.902</f>
        <v>801.88290926704292</v>
      </c>
      <c r="E9" s="33">
        <f>$C$29*'E Balans VL '!I10/100/3.6*1000000</f>
        <v>1.8024507925018557E-3</v>
      </c>
      <c r="F9" s="33">
        <f>$C$29*('E Balans VL '!L10+'E Balans VL '!N10)/100/3.6*1000000</f>
        <v>3.7395250121110037</v>
      </c>
      <c r="G9" s="34"/>
      <c r="H9" s="33"/>
      <c r="I9" s="33"/>
      <c r="J9" s="33">
        <f>$C$29*('E Balans VL '!D10+'E Balans VL '!E10)/100/3.6*1000000</f>
        <v>0</v>
      </c>
      <c r="K9" s="33"/>
      <c r="L9" s="33"/>
      <c r="M9" s="33"/>
      <c r="N9" s="33">
        <f>$C$29*'E Balans VL '!Y10/100/3.6*1000000</f>
        <v>0.23683426704660651</v>
      </c>
      <c r="O9" s="33"/>
      <c r="P9" s="33"/>
      <c r="R9" s="32"/>
    </row>
    <row r="10" spans="1:18">
      <c r="A10" s="32" t="s">
        <v>49</v>
      </c>
      <c r="B10" s="37">
        <f t="shared" si="0"/>
        <v>0</v>
      </c>
      <c r="C10" s="33"/>
      <c r="D10" s="37">
        <f>IF(ISERROR(TER_ander_gas_kWh/1000),0,TER_ander_gas_kWh/1000)*0.902</f>
        <v>0</v>
      </c>
      <c r="E10" s="33">
        <f>$C$30*'E Balans VL '!I14/100/3.6*1000000</f>
        <v>0</v>
      </c>
      <c r="F10" s="33">
        <f>$C$30*('E Balans VL '!L14+'E Balans VL '!N14)/100/3.6*1000000</f>
        <v>0</v>
      </c>
      <c r="G10" s="34"/>
      <c r="H10" s="33"/>
      <c r="I10" s="33"/>
      <c r="J10" s="33">
        <f>$C$30*('E Balans VL '!D14+'E Balans VL '!E14)/100/3.6*1000000</f>
        <v>0</v>
      </c>
      <c r="K10" s="33"/>
      <c r="L10" s="33"/>
      <c r="M10" s="33"/>
      <c r="N10" s="33">
        <f>$C$30*'E Balans VL '!Y14/100/3.6*1000000</f>
        <v>0</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1601.6089999999999</v>
      </c>
      <c r="C12" s="33"/>
      <c r="D12" s="37">
        <f>IF(ISERROR(TER_rest_gas_kWh/1000),0,TER_rest_gas_kWh/1000)*0.902</f>
        <v>608.84548973165681</v>
      </c>
      <c r="E12" s="33">
        <f>$C$32*'E Balans VL '!I8/100/3.6*1000000</f>
        <v>23.889111935183585</v>
      </c>
      <c r="F12" s="33">
        <f>$C$32*('E Balans VL '!L8+'E Balans VL '!N8)/100/3.6*1000000</f>
        <v>388.56096106157202</v>
      </c>
      <c r="G12" s="34"/>
      <c r="H12" s="33"/>
      <c r="I12" s="33"/>
      <c r="J12" s="33">
        <f>$C$32*('E Balans VL '!D8+'E Balans VL '!E8)/100/3.6*1000000</f>
        <v>0</v>
      </c>
      <c r="K12" s="33"/>
      <c r="L12" s="33"/>
      <c r="M12" s="33"/>
      <c r="N12" s="33">
        <f>$C$32*'E Balans VL '!Y8/100/3.6*1000000</f>
        <v>129.59570080023067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2164.7437199999999</v>
      </c>
      <c r="C16" s="21">
        <f t="shared" ca="1" si="1"/>
        <v>0</v>
      </c>
      <c r="D16" s="21">
        <f t="shared" ca="1" si="1"/>
        <v>1492.4512845869585</v>
      </c>
      <c r="E16" s="21">
        <f t="shared" si="1"/>
        <v>34.898262658997218</v>
      </c>
      <c r="F16" s="21">
        <f t="shared" ca="1" si="1"/>
        <v>474.36741474258679</v>
      </c>
      <c r="G16" s="21">
        <f t="shared" si="1"/>
        <v>0</v>
      </c>
      <c r="H16" s="21">
        <f t="shared" si="1"/>
        <v>0</v>
      </c>
      <c r="I16" s="21">
        <f t="shared" si="1"/>
        <v>0</v>
      </c>
      <c r="J16" s="21">
        <f t="shared" si="1"/>
        <v>0</v>
      </c>
      <c r="K16" s="21">
        <f t="shared" si="1"/>
        <v>0</v>
      </c>
      <c r="L16" s="21">
        <f t="shared" ca="1" si="1"/>
        <v>0</v>
      </c>
      <c r="M16" s="21">
        <f t="shared" si="1"/>
        <v>0</v>
      </c>
      <c r="N16" s="21">
        <f t="shared" ca="1" si="1"/>
        <v>133.22148858509865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0.1940822064048027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420.13823747854042</v>
      </c>
      <c r="C20" s="23">
        <f t="shared" ref="C20:P20" ca="1" si="2">C16*C18</f>
        <v>0</v>
      </c>
      <c r="D20" s="23">
        <f t="shared" ca="1" si="2"/>
        <v>301.47515948656564</v>
      </c>
      <c r="E20" s="23">
        <f t="shared" si="2"/>
        <v>7.9219056235923686</v>
      </c>
      <c r="F20" s="23">
        <f t="shared" ca="1" si="2"/>
        <v>126.65609973627068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56.430349999999997</v>
      </c>
      <c r="C26" s="39">
        <f>IF(ISERROR(B26*3.6/1000000/'E Balans VL '!Z12*100),0,B26*3.6/1000000/'E Balans VL '!Z12*100)</f>
        <v>1.532754044194119E-3</v>
      </c>
      <c r="D26" s="232" t="s">
        <v>651</v>
      </c>
      <c r="F26" s="6"/>
    </row>
    <row r="27" spans="1:18">
      <c r="A27" s="227" t="s">
        <v>52</v>
      </c>
      <c r="B27" s="33">
        <f>IF(ISERROR(TER_horeca_ele_kWh/1000),0,TER_horeca_ele_kWh/1000)</f>
        <v>150.55260000000001</v>
      </c>
      <c r="C27" s="39">
        <f>IF(ISERROR(B27*3.6/1000000/'E Balans VL '!Z9*100),0,B27*3.6/1000000/'E Balans VL '!Z9*100)</f>
        <v>1.2098074015145743E-2</v>
      </c>
      <c r="D27" s="232" t="s">
        <v>651</v>
      </c>
      <c r="F27" s="6"/>
    </row>
    <row r="28" spans="1:18">
      <c r="A28" s="167" t="s">
        <v>51</v>
      </c>
      <c r="B28" s="33">
        <f>IF(ISERROR(TER_handel_ele_kWh/1000),0,TER_handel_ele_kWh/1000)</f>
        <v>327.26609999999999</v>
      </c>
      <c r="C28" s="39">
        <f>IF(ISERROR(B28*3.6/1000000/'E Balans VL '!Z13*100),0,B28*3.6/1000000/'E Balans VL '!Z13*100)</f>
        <v>9.6658461188064114E-3</v>
      </c>
      <c r="D28" s="232" t="s">
        <v>651</v>
      </c>
      <c r="F28" s="6"/>
    </row>
    <row r="29" spans="1:18">
      <c r="A29" s="227" t="s">
        <v>50</v>
      </c>
      <c r="B29" s="33">
        <f>IF(ISERROR(TER_gezond_ele_kWh/1000),0,TER_gezond_ele_kWh/1000)</f>
        <v>28.885669999999998</v>
      </c>
      <c r="C29" s="39">
        <f>IF(ISERROR(B29*3.6/1000000/'E Balans VL '!Z10*100),0,B29*3.6/1000000/'E Balans VL '!Z10*100)</f>
        <v>3.3035383249997784E-3</v>
      </c>
      <c r="D29" s="232" t="s">
        <v>651</v>
      </c>
      <c r="F29" s="6"/>
    </row>
    <row r="30" spans="1:18">
      <c r="A30" s="227" t="s">
        <v>49</v>
      </c>
      <c r="B30" s="33">
        <f>IF(ISERROR(TER_ander_ele_kWh/1000),0,TER_ander_ele_kWh/1000)</f>
        <v>0</v>
      </c>
      <c r="C30" s="39">
        <f>IF(ISERROR(B30*3.6/1000000/'E Balans VL '!Z14*100),0,B30*3.6/1000000/'E Balans VL '!Z14*100)</f>
        <v>0</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1601.6089999999999</v>
      </c>
      <c r="C32" s="39">
        <f>IF(ISERROR(B32*3.6/1000000/'E Balans VL '!Z8*100),0,B32*3.6/1000000/'E Balans VL '!Z8*100)</f>
        <v>1.368335541406515E-2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197.98184999999998</v>
      </c>
      <c r="C5" s="17">
        <f>IF(ISERROR('Eigen informatie GS &amp; warmtenet'!B59),0,'Eigen informatie GS &amp; warmtenet'!B59)</f>
        <v>0</v>
      </c>
      <c r="D5" s="30">
        <f>SUM(D6:D15)</f>
        <v>131.49049558090567</v>
      </c>
      <c r="E5" s="17">
        <f>SUM(E6:E15)</f>
        <v>15.800808724750919</v>
      </c>
      <c r="F5" s="17">
        <f>SUM(F6:F15)</f>
        <v>59.450207899425656</v>
      </c>
      <c r="G5" s="18"/>
      <c r="H5" s="17"/>
      <c r="I5" s="17"/>
      <c r="J5" s="17">
        <f>SUM(J6:J15)</f>
        <v>0.72334375763008407</v>
      </c>
      <c r="K5" s="17"/>
      <c r="L5" s="17"/>
      <c r="M5" s="17"/>
      <c r="N5" s="17">
        <f>SUM(N6:N15)</f>
        <v>11.452296445881583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25.565450000000002</v>
      </c>
      <c r="C9" s="33"/>
      <c r="D9" s="37">
        <f>IF( ISERROR(IND_andere_gas_kWh/1000),0,IND_andere_gas_kWh/1000)*0.902</f>
        <v>0</v>
      </c>
      <c r="E9" s="33">
        <f>C31*'E Balans VL '!I19/100/3.6*1000000</f>
        <v>7.0294501816469603</v>
      </c>
      <c r="F9" s="33">
        <f>C31*'E Balans VL '!L19/100/3.6*1000000+C31*'E Balans VL '!N19/100/3.6*1000000</f>
        <v>20.150023307708139</v>
      </c>
      <c r="G9" s="34"/>
      <c r="H9" s="33"/>
      <c r="I9" s="33"/>
      <c r="J9" s="40">
        <f>C31*'E Balans VL '!D19/100/3.6*1000000+C31*'E Balans VL '!E19/100/3.6*1000000</f>
        <v>0</v>
      </c>
      <c r="K9" s="33"/>
      <c r="L9" s="33"/>
      <c r="M9" s="33"/>
      <c r="N9" s="33">
        <f>C31*'E Balans VL '!Y19/100/3.6*1000000</f>
        <v>2.0595687622082397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172.41639999999998</v>
      </c>
      <c r="C15" s="33"/>
      <c r="D15" s="37">
        <f>IF( ISERROR(IND_rest_gas_kWh/1000),0,IND_rest_gas_kWh/1000)*0.902</f>
        <v>131.49049558090567</v>
      </c>
      <c r="E15" s="33">
        <f>C37*'E Balans VL '!I15/100/3.6*1000000</f>
        <v>8.7713585431039593</v>
      </c>
      <c r="F15" s="33">
        <f>C37*'E Balans VL '!L15/100/3.6*1000000+C37*'E Balans VL '!N15/100/3.6*1000000</f>
        <v>39.300184591717517</v>
      </c>
      <c r="G15" s="34"/>
      <c r="H15" s="33"/>
      <c r="I15" s="33"/>
      <c r="J15" s="40">
        <f>C37*'E Balans VL '!D15/100/3.6*1000000+C37*'E Balans VL '!E15/100/3.6*1000000</f>
        <v>0.72334375763008407</v>
      </c>
      <c r="K15" s="33"/>
      <c r="L15" s="33"/>
      <c r="M15" s="33"/>
      <c r="N15" s="33">
        <f>C37*'E Balans VL '!Y15/100/3.6*1000000</f>
        <v>9.3927276836733427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197.98184999999998</v>
      </c>
      <c r="C18" s="21">
        <f>C5+C16</f>
        <v>0</v>
      </c>
      <c r="D18" s="21">
        <f>MAX((D5+D16),0)</f>
        <v>131.49049558090567</v>
      </c>
      <c r="E18" s="21">
        <f>MAX((E5+E16),0)</f>
        <v>15.800808724750919</v>
      </c>
      <c r="F18" s="21">
        <f>MAX((F5+F16),0)</f>
        <v>59.450207899425656</v>
      </c>
      <c r="G18" s="21"/>
      <c r="H18" s="21"/>
      <c r="I18" s="21"/>
      <c r="J18" s="21">
        <f>MAX((J5+J16),0)</f>
        <v>0.72334375763008407</v>
      </c>
      <c r="K18" s="21"/>
      <c r="L18" s="21">
        <f>MAX((L5+L16),0)</f>
        <v>0</v>
      </c>
      <c r="M18" s="21"/>
      <c r="N18" s="21">
        <f>MAX((N5+N16),0)</f>
        <v>11.452296445881583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0.1940822064048027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38.424754276104686</v>
      </c>
      <c r="C22" s="23">
        <f ca="1">C18*C20</f>
        <v>0</v>
      </c>
      <c r="D22" s="23">
        <f>D18*D20</f>
        <v>26.561080107342949</v>
      </c>
      <c r="E22" s="23">
        <f>E18*E20</f>
        <v>3.5867835805184587</v>
      </c>
      <c r="F22" s="23">
        <f>F18*F20</f>
        <v>15.873205509146651</v>
      </c>
      <c r="G22" s="23"/>
      <c r="H22" s="23"/>
      <c r="I22" s="23"/>
      <c r="J22" s="23">
        <f>J18*J20</f>
        <v>0.25606369020104974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25.565450000000002</v>
      </c>
      <c r="C31" s="39">
        <f>IF(ISERROR(B31*3.6/1000000/'E Balans VL '!Z19*100),0,B31*3.6/1000000/'E Balans VL '!Z19*100)</f>
        <v>1.1189955991947845E-3</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172.41639999999998</v>
      </c>
      <c r="C37" s="39">
        <f>IF(ISERROR(B37*3.6/1000000/'E Balans VL '!Z15*100),0,B37*3.6/1000000/'E Balans VL '!Z15*100)</f>
        <v>1.2784380870631835E-3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404.24129999999997</v>
      </c>
      <c r="C5" s="17">
        <f>'Eigen informatie GS &amp; warmtenet'!B60</f>
        <v>0</v>
      </c>
      <c r="D5" s="30">
        <f>IF(ISERROR(SUM(LB_lb_gas_kWh,LB_rest_gas_kWh)/1000),0,SUM(LB_lb_gas_kWh,LB_rest_gas_kWh)/1000)*0.902</f>
        <v>28.49968254701681</v>
      </c>
      <c r="E5" s="17">
        <f>B17*'E Balans VL '!I25/3.6*1000000/100</f>
        <v>8.6683642419615889</v>
      </c>
      <c r="F5" s="17">
        <f>B17*('E Balans VL '!L25/3.6*1000000+'E Balans VL '!N25/3.6*1000000)/100</f>
        <v>1311.2292445735854</v>
      </c>
      <c r="G5" s="18"/>
      <c r="H5" s="17"/>
      <c r="I5" s="17"/>
      <c r="J5" s="17">
        <f>('E Balans VL '!D25+'E Balans VL '!E25)/3.6*1000000*landbouw!B17/100</f>
        <v>38.948862888605007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404.24129999999997</v>
      </c>
      <c r="C8" s="21">
        <f>C5+C6</f>
        <v>0</v>
      </c>
      <c r="D8" s="21">
        <f>MAX((D5+D6),0)</f>
        <v>28.49968254701681</v>
      </c>
      <c r="E8" s="21">
        <f>MAX((E5+E6),0)</f>
        <v>8.6683642419615889</v>
      </c>
      <c r="F8" s="21">
        <f>MAX((F5+F6),0)</f>
        <v>1311.2292445735854</v>
      </c>
      <c r="G8" s="21"/>
      <c r="H8" s="21"/>
      <c r="I8" s="21"/>
      <c r="J8" s="21">
        <f>MAX((J5+J6),0)</f>
        <v>38.948862888605007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0.1940822064048027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78.456043423945758</v>
      </c>
      <c r="C12" s="23">
        <f ca="1">C8*C10</f>
        <v>0</v>
      </c>
      <c r="D12" s="23">
        <f>D8*D10</f>
        <v>5.7569358744973957</v>
      </c>
      <c r="E12" s="23">
        <f>E8*E10</f>
        <v>1.9677186829252808</v>
      </c>
      <c r="F12" s="23">
        <f>F8*F10</f>
        <v>350.09820830114734</v>
      </c>
      <c r="G12" s="23"/>
      <c r="H12" s="23"/>
      <c r="I12" s="23"/>
      <c r="J12" s="23">
        <f>J8*J10</f>
        <v>13.787897462566171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5.7474541462881973E-2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88.101590498762121</v>
      </c>
      <c r="C26" s="242">
        <f>B26*'GWP N2O_CH4'!B5</f>
        <v>1850.1334004740045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12.903818171845613</v>
      </c>
      <c r="C27" s="242">
        <f>B27*'GWP N2O_CH4'!B5</f>
        <v>270.98018160875785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1.3369961386867169</v>
      </c>
      <c r="C28" s="242">
        <f>B28*'GWP N2O_CH4'!B4</f>
        <v>414.46880299288222</v>
      </c>
      <c r="D28" s="50"/>
    </row>
    <row r="29" spans="1:4">
      <c r="A29" s="41" t="s">
        <v>266</v>
      </c>
      <c r="B29" s="242">
        <f>B34*'ha_N2O bodem landbouw'!B4</f>
        <v>5.0045590835775702</v>
      </c>
      <c r="C29" s="242">
        <f>B29*'GWP N2O_CH4'!B4</f>
        <v>1551.4133159090468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1.1224344355758268E-3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5.7261976458387881E-6</v>
      </c>
      <c r="C5" s="428" t="s">
        <v>204</v>
      </c>
      <c r="D5" s="413">
        <f>SUM(D6:D11)</f>
        <v>9.1102199707766782E-6</v>
      </c>
      <c r="E5" s="413">
        <f>SUM(E6:E11)</f>
        <v>8.7992580559860989E-5</v>
      </c>
      <c r="F5" s="426" t="s">
        <v>204</v>
      </c>
      <c r="G5" s="413">
        <f>SUM(G6:G11)</f>
        <v>2.659666122589302E-2</v>
      </c>
      <c r="H5" s="413">
        <f>SUM(H6:H11)</f>
        <v>5.5815602568494577E-3</v>
      </c>
      <c r="I5" s="428" t="s">
        <v>204</v>
      </c>
      <c r="J5" s="428" t="s">
        <v>204</v>
      </c>
      <c r="K5" s="428" t="s">
        <v>204</v>
      </c>
      <c r="L5" s="428" t="s">
        <v>204</v>
      </c>
      <c r="M5" s="413">
        <f>SUM(M6:M11)</f>
        <v>1.7122522489634731E-3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4.6384101586777239E-6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7.0152556594804275E-6</v>
      </c>
      <c r="E6" s="819">
        <f>vkm_GW_PW*SUMIFS(TableVerdeelsleutelVkm[LPG],TableVerdeelsleutelVkm[Voertuigtype],"Lichte voertuigen")*SUMIFS(TableECFTransport[EnergieConsumptieFactor (PJ per km)],TableECFTransport[Index],CONCATENATE($A6,"_LPG_LPG"))</f>
        <v>6.8530555303349035E-5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1.5911858830277271E-2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4.3340889914201576E-3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1.0547264093365614E-3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1.6566156622279206E-7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6.3581261441301544E-3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1.4246982356149266E-7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3.6863036425353808E-4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9.1980003692667923E-7</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2.0949643112962503E-6</v>
      </c>
      <c r="E8" s="416">
        <f>vkm_NGW_PW*SUMIFS(TableVerdeelsleutelVkm[LPG],TableVerdeelsleutelVkm[Voertuigtype],"Lichte voertuigen")*SUMIFS(TableECFTransport[EnergieConsumptieFactor (PJ per km)],TableECFTransport[Index],CONCATENATE($A8,"_LPG_LPG"))</f>
        <v>1.946202525651195E-5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4.21198355131365E-3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1.2473263812257484E-3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2.8224584611056972E-4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2.3258840115927256E-9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1.1469270017194518E-4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2.4143799894686062E-9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6.6496292628039235E-6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1.5906104571774411</v>
      </c>
      <c r="C14" s="21"/>
      <c r="D14" s="21">
        <f t="shared" ref="D14:M14" si="0">((D5)*10^9/3600)+D12</f>
        <v>2.5306166585490772</v>
      </c>
      <c r="E14" s="21">
        <f t="shared" si="0"/>
        <v>24.442383488850275</v>
      </c>
      <c r="F14" s="21"/>
      <c r="G14" s="21">
        <f t="shared" si="0"/>
        <v>7387.9614516369502</v>
      </c>
      <c r="H14" s="21">
        <f t="shared" si="0"/>
        <v>1550.4334046804049</v>
      </c>
      <c r="I14" s="21"/>
      <c r="J14" s="21"/>
      <c r="K14" s="21"/>
      <c r="L14" s="21"/>
      <c r="M14" s="21">
        <f t="shared" si="0"/>
        <v>475.62562471207588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0.1940822064048027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0.30870918705954969</v>
      </c>
      <c r="C18" s="23"/>
      <c r="D18" s="23">
        <f t="shared" ref="D18:M18" si="1">D14*D16</f>
        <v>0.51118456502691367</v>
      </c>
      <c r="E18" s="23">
        <f t="shared" si="1"/>
        <v>5.5484210519690125</v>
      </c>
      <c r="F18" s="23"/>
      <c r="G18" s="23">
        <f t="shared" si="1"/>
        <v>1972.5857075870658</v>
      </c>
      <c r="H18" s="23">
        <f t="shared" si="1"/>
        <v>386.05791776542083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3.320038656085101E-6</v>
      </c>
      <c r="C50" s="311">
        <f t="shared" ref="C50:P50" si="2">SUM(C51:C52)</f>
        <v>0</v>
      </c>
      <c r="D50" s="311">
        <f t="shared" si="2"/>
        <v>0</v>
      </c>
      <c r="E50" s="311">
        <f t="shared" si="2"/>
        <v>0</v>
      </c>
      <c r="F50" s="311">
        <f t="shared" si="2"/>
        <v>0</v>
      </c>
      <c r="G50" s="311">
        <f t="shared" si="2"/>
        <v>6.2910353017663978E-4</v>
      </c>
      <c r="H50" s="311">
        <f t="shared" si="2"/>
        <v>0</v>
      </c>
      <c r="I50" s="311">
        <f t="shared" si="2"/>
        <v>0</v>
      </c>
      <c r="J50" s="311">
        <f t="shared" si="2"/>
        <v>0</v>
      </c>
      <c r="K50" s="311">
        <f t="shared" si="2"/>
        <v>0</v>
      </c>
      <c r="L50" s="311">
        <f t="shared" si="2"/>
        <v>0</v>
      </c>
      <c r="M50" s="311">
        <f t="shared" si="2"/>
        <v>3.6216254695134083E-5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3.320038656085101E-6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6.2910353017663978E-4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3.6216254695134083E-5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0.92223296002363919</v>
      </c>
      <c r="C54" s="21">
        <f t="shared" ref="C54:P54" si="3">(C50)*10^9/3600</f>
        <v>0</v>
      </c>
      <c r="D54" s="21">
        <f t="shared" si="3"/>
        <v>0</v>
      </c>
      <c r="E54" s="21">
        <f t="shared" si="3"/>
        <v>0</v>
      </c>
      <c r="F54" s="21">
        <f t="shared" si="3"/>
        <v>0</v>
      </c>
      <c r="G54" s="21">
        <f t="shared" si="3"/>
        <v>174.75098060462216</v>
      </c>
      <c r="H54" s="21">
        <f t="shared" si="3"/>
        <v>0</v>
      </c>
      <c r="I54" s="21">
        <f t="shared" si="3"/>
        <v>0</v>
      </c>
      <c r="J54" s="21">
        <f t="shared" si="3"/>
        <v>0</v>
      </c>
      <c r="K54" s="21">
        <f t="shared" si="3"/>
        <v>0</v>
      </c>
      <c r="L54" s="21">
        <f t="shared" si="3"/>
        <v>0</v>
      </c>
      <c r="M54" s="21">
        <f t="shared" si="3"/>
        <v>10.060070748648357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0.1940822064048027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0.1789890077006201</v>
      </c>
      <c r="C58" s="23">
        <f t="shared" ref="C58:P58" ca="1" si="4">C54*C56</f>
        <v>0</v>
      </c>
      <c r="D58" s="23">
        <f t="shared" si="4"/>
        <v>0</v>
      </c>
      <c r="E58" s="23">
        <f t="shared" si="4"/>
        <v>0</v>
      </c>
      <c r="F58" s="23">
        <f t="shared" si="4"/>
        <v>0</v>
      </c>
      <c r="G58" s="23">
        <f t="shared" si="4"/>
        <v>46.658511821434118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860.54227872444244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860.54227872444244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2295.76872</v>
      </c>
      <c r="D10" s="943">
        <f ca="1">tertiair!C16</f>
        <v>0</v>
      </c>
      <c r="E10" s="943">
        <f ca="1">tertiair!D16</f>
        <v>1492.4512845869585</v>
      </c>
      <c r="F10" s="943">
        <f>tertiair!E16</f>
        <v>34.898262658997218</v>
      </c>
      <c r="G10" s="943">
        <f ca="1">tertiair!F16</f>
        <v>474.36741474258679</v>
      </c>
      <c r="H10" s="943">
        <f>tertiair!G16</f>
        <v>0</v>
      </c>
      <c r="I10" s="943">
        <f>tertiair!H16</f>
        <v>0</v>
      </c>
      <c r="J10" s="943">
        <f>tertiair!I16</f>
        <v>0</v>
      </c>
      <c r="K10" s="943">
        <f>tertiair!J16</f>
        <v>0</v>
      </c>
      <c r="L10" s="943">
        <f>tertiair!K16</f>
        <v>0</v>
      </c>
      <c r="M10" s="943">
        <f ca="1">tertiair!L16</f>
        <v>0</v>
      </c>
      <c r="N10" s="943">
        <f>tertiair!M16</f>
        <v>0</v>
      </c>
      <c r="O10" s="943">
        <f ca="1">tertiair!N16</f>
        <v>133.22148858509865</v>
      </c>
      <c r="P10" s="943">
        <f>tertiair!O16</f>
        <v>0</v>
      </c>
      <c r="Q10" s="944">
        <f>tertiair!P16</f>
        <v>0</v>
      </c>
      <c r="R10" s="629">
        <f ca="1">SUM(C10:Q10)</f>
        <v>4430.7071705736416</v>
      </c>
      <c r="S10" s="67"/>
    </row>
    <row r="11" spans="1:19" s="438" customFormat="1">
      <c r="A11" s="737" t="s">
        <v>214</v>
      </c>
      <c r="B11" s="742"/>
      <c r="C11" s="943">
        <f>huishoudens!B8</f>
        <v>3980.9866105674041</v>
      </c>
      <c r="D11" s="943">
        <f>huishoudens!C8</f>
        <v>0</v>
      </c>
      <c r="E11" s="943">
        <f>huishoudens!D8</f>
        <v>2322.1303865490677</v>
      </c>
      <c r="F11" s="943">
        <f>huishoudens!E8</f>
        <v>299.20415926236558</v>
      </c>
      <c r="G11" s="943">
        <f>huishoudens!F8</f>
        <v>9438.9577660101477</v>
      </c>
      <c r="H11" s="943">
        <f>huishoudens!G8</f>
        <v>0</v>
      </c>
      <c r="I11" s="943">
        <f>huishoudens!H8</f>
        <v>0</v>
      </c>
      <c r="J11" s="943">
        <f>huishoudens!I8</f>
        <v>0</v>
      </c>
      <c r="K11" s="943">
        <f>huishoudens!J8</f>
        <v>220.11613853339384</v>
      </c>
      <c r="L11" s="943">
        <f>huishoudens!K8</f>
        <v>0</v>
      </c>
      <c r="M11" s="943">
        <f>huishoudens!L8</f>
        <v>0</v>
      </c>
      <c r="N11" s="943">
        <f>huishoudens!M8</f>
        <v>0</v>
      </c>
      <c r="O11" s="943">
        <f>huishoudens!N8</f>
        <v>979.04167010357435</v>
      </c>
      <c r="P11" s="943">
        <f>huishoudens!O8</f>
        <v>54.716666666666669</v>
      </c>
      <c r="Q11" s="944">
        <f>huishoudens!P8</f>
        <v>57.2</v>
      </c>
      <c r="R11" s="629">
        <f>SUM(C11:Q11)</f>
        <v>17352.353397692623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197.98184999999998</v>
      </c>
      <c r="D13" s="943">
        <f>industrie!C18</f>
        <v>0</v>
      </c>
      <c r="E13" s="943">
        <f>industrie!D18</f>
        <v>131.49049558090567</v>
      </c>
      <c r="F13" s="943">
        <f>industrie!E18</f>
        <v>15.800808724750919</v>
      </c>
      <c r="G13" s="943">
        <f>industrie!F18</f>
        <v>59.450207899425656</v>
      </c>
      <c r="H13" s="943">
        <f>industrie!G18</f>
        <v>0</v>
      </c>
      <c r="I13" s="943">
        <f>industrie!H18</f>
        <v>0</v>
      </c>
      <c r="J13" s="943">
        <f>industrie!I18</f>
        <v>0</v>
      </c>
      <c r="K13" s="943">
        <f>industrie!J18</f>
        <v>0.72334375763008407</v>
      </c>
      <c r="L13" s="943">
        <f>industrie!K18</f>
        <v>0</v>
      </c>
      <c r="M13" s="943">
        <f>industrie!L18</f>
        <v>0</v>
      </c>
      <c r="N13" s="943">
        <f>industrie!M18</f>
        <v>0</v>
      </c>
      <c r="O13" s="943">
        <f>industrie!N18</f>
        <v>11.452296445881583</v>
      </c>
      <c r="P13" s="943">
        <f>industrie!O18</f>
        <v>0</v>
      </c>
      <c r="Q13" s="944">
        <f>industrie!P18</f>
        <v>0</v>
      </c>
      <c r="R13" s="629">
        <f>SUM(C13:Q13)</f>
        <v>416.8990024085939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6474.7371805674047</v>
      </c>
      <c r="D16" s="661">
        <f t="shared" ref="D16:R16" ca="1" si="0">SUM(D9:D15)</f>
        <v>0</v>
      </c>
      <c r="E16" s="661">
        <f t="shared" ca="1" si="0"/>
        <v>3946.0721667169319</v>
      </c>
      <c r="F16" s="661">
        <f t="shared" si="0"/>
        <v>349.90323064611374</v>
      </c>
      <c r="G16" s="661">
        <f t="shared" ca="1" si="0"/>
        <v>9972.7753886521605</v>
      </c>
      <c r="H16" s="661">
        <f t="shared" si="0"/>
        <v>0</v>
      </c>
      <c r="I16" s="661">
        <f t="shared" si="0"/>
        <v>0</v>
      </c>
      <c r="J16" s="661">
        <f t="shared" si="0"/>
        <v>0</v>
      </c>
      <c r="K16" s="661">
        <f t="shared" si="0"/>
        <v>220.83948229102393</v>
      </c>
      <c r="L16" s="661">
        <f t="shared" si="0"/>
        <v>0</v>
      </c>
      <c r="M16" s="661">
        <f t="shared" ca="1" si="0"/>
        <v>0</v>
      </c>
      <c r="N16" s="661">
        <f t="shared" si="0"/>
        <v>0</v>
      </c>
      <c r="O16" s="661">
        <f t="shared" ca="1" si="0"/>
        <v>1123.7154551345545</v>
      </c>
      <c r="P16" s="661">
        <f t="shared" si="0"/>
        <v>54.716666666666669</v>
      </c>
      <c r="Q16" s="661">
        <f t="shared" si="0"/>
        <v>57.2</v>
      </c>
      <c r="R16" s="661">
        <f t="shared" ca="1" si="0"/>
        <v>22199.959570674859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0.92223296002363919</v>
      </c>
      <c r="D19" s="943">
        <f>transport!C54</f>
        <v>0</v>
      </c>
      <c r="E19" s="943">
        <f>transport!D54</f>
        <v>0</v>
      </c>
      <c r="F19" s="943">
        <f>transport!E54</f>
        <v>0</v>
      </c>
      <c r="G19" s="943">
        <f>transport!F54</f>
        <v>0</v>
      </c>
      <c r="H19" s="943">
        <f>transport!G54</f>
        <v>174.75098060462216</v>
      </c>
      <c r="I19" s="943">
        <f>transport!H54</f>
        <v>0</v>
      </c>
      <c r="J19" s="943">
        <f>transport!I54</f>
        <v>0</v>
      </c>
      <c r="K19" s="943">
        <f>transport!J54</f>
        <v>0</v>
      </c>
      <c r="L19" s="943">
        <f>transport!K54</f>
        <v>0</v>
      </c>
      <c r="M19" s="943">
        <f>transport!L54</f>
        <v>0</v>
      </c>
      <c r="N19" s="943">
        <f>transport!M54</f>
        <v>10.060070748648357</v>
      </c>
      <c r="O19" s="943">
        <f>transport!N54</f>
        <v>0</v>
      </c>
      <c r="P19" s="943">
        <f>transport!O54</f>
        <v>0</v>
      </c>
      <c r="Q19" s="944">
        <f>transport!P54</f>
        <v>0</v>
      </c>
      <c r="R19" s="629">
        <f>SUM(C19:Q19)</f>
        <v>185.73328431329418</v>
      </c>
      <c r="S19" s="67"/>
    </row>
    <row r="20" spans="1:19" s="438" customFormat="1">
      <c r="A20" s="737" t="s">
        <v>296</v>
      </c>
      <c r="B20" s="742"/>
      <c r="C20" s="943">
        <f>transport!B14</f>
        <v>1.5906104571774411</v>
      </c>
      <c r="D20" s="943">
        <f>transport!C14</f>
        <v>0</v>
      </c>
      <c r="E20" s="943">
        <f>transport!D14</f>
        <v>2.5306166585490772</v>
      </c>
      <c r="F20" s="943">
        <f>transport!E14</f>
        <v>24.442383488850275</v>
      </c>
      <c r="G20" s="943">
        <f>transport!F14</f>
        <v>0</v>
      </c>
      <c r="H20" s="943">
        <f>transport!G14</f>
        <v>7387.9614516369502</v>
      </c>
      <c r="I20" s="943">
        <f>transport!H14</f>
        <v>1550.4334046804049</v>
      </c>
      <c r="J20" s="943">
        <f>transport!I14</f>
        <v>0</v>
      </c>
      <c r="K20" s="943">
        <f>transport!J14</f>
        <v>0</v>
      </c>
      <c r="L20" s="943">
        <f>transport!K14</f>
        <v>0</v>
      </c>
      <c r="M20" s="943">
        <f>transport!L14</f>
        <v>0</v>
      </c>
      <c r="N20" s="943">
        <f>transport!M14</f>
        <v>475.62562471207588</v>
      </c>
      <c r="O20" s="943">
        <f>transport!N14</f>
        <v>0</v>
      </c>
      <c r="P20" s="943">
        <f>transport!O14</f>
        <v>0</v>
      </c>
      <c r="Q20" s="944">
        <f>transport!P14</f>
        <v>0</v>
      </c>
      <c r="R20" s="629">
        <f>SUM(C20:Q20)</f>
        <v>9442.5840916340076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2.5128434172010801</v>
      </c>
      <c r="D22" s="740">
        <f t="shared" ref="D22:R22" si="1">SUM(D18:D21)</f>
        <v>0</v>
      </c>
      <c r="E22" s="740">
        <f t="shared" si="1"/>
        <v>2.5306166585490772</v>
      </c>
      <c r="F22" s="740">
        <f t="shared" si="1"/>
        <v>24.442383488850275</v>
      </c>
      <c r="G22" s="740">
        <f t="shared" si="1"/>
        <v>0</v>
      </c>
      <c r="H22" s="740">
        <f t="shared" si="1"/>
        <v>7562.7124322415721</v>
      </c>
      <c r="I22" s="740">
        <f t="shared" si="1"/>
        <v>1550.4334046804049</v>
      </c>
      <c r="J22" s="740">
        <f t="shared" si="1"/>
        <v>0</v>
      </c>
      <c r="K22" s="740">
        <f t="shared" si="1"/>
        <v>0</v>
      </c>
      <c r="L22" s="740">
        <f t="shared" si="1"/>
        <v>0</v>
      </c>
      <c r="M22" s="740">
        <f t="shared" si="1"/>
        <v>0</v>
      </c>
      <c r="N22" s="740">
        <f t="shared" si="1"/>
        <v>485.68569546072422</v>
      </c>
      <c r="O22" s="740">
        <f t="shared" si="1"/>
        <v>0</v>
      </c>
      <c r="P22" s="740">
        <f t="shared" si="1"/>
        <v>0</v>
      </c>
      <c r="Q22" s="740">
        <f t="shared" si="1"/>
        <v>0</v>
      </c>
      <c r="R22" s="740">
        <f t="shared" si="1"/>
        <v>9628.3173759473011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404.24129999999997</v>
      </c>
      <c r="D24" s="943">
        <f>+landbouw!C8</f>
        <v>0</v>
      </c>
      <c r="E24" s="943">
        <f>+landbouw!D8</f>
        <v>28.49968254701681</v>
      </c>
      <c r="F24" s="943">
        <f>+landbouw!E8</f>
        <v>8.6683642419615889</v>
      </c>
      <c r="G24" s="943">
        <f>+landbouw!F8</f>
        <v>1311.2292445735854</v>
      </c>
      <c r="H24" s="943">
        <f>+landbouw!G8</f>
        <v>0</v>
      </c>
      <c r="I24" s="943">
        <f>+landbouw!H8</f>
        <v>0</v>
      </c>
      <c r="J24" s="943">
        <f>+landbouw!I8</f>
        <v>0</v>
      </c>
      <c r="K24" s="943">
        <f>+landbouw!J8</f>
        <v>38.948862888605007</v>
      </c>
      <c r="L24" s="943">
        <f>+landbouw!K8</f>
        <v>0</v>
      </c>
      <c r="M24" s="943">
        <f>+landbouw!L8</f>
        <v>0</v>
      </c>
      <c r="N24" s="943">
        <f>+landbouw!M8</f>
        <v>0</v>
      </c>
      <c r="O24" s="943">
        <f>+landbouw!N8</f>
        <v>0</v>
      </c>
      <c r="P24" s="943">
        <f>+landbouw!O8</f>
        <v>0</v>
      </c>
      <c r="Q24" s="944">
        <f>+landbouw!P8</f>
        <v>0</v>
      </c>
      <c r="R24" s="629">
        <f>SUM(C24:Q24)</f>
        <v>1791.5874542511688</v>
      </c>
      <c r="S24" s="67"/>
    </row>
    <row r="25" spans="1:19" s="438" customFormat="1" ht="15" thickBot="1">
      <c r="A25" s="759" t="s">
        <v>802</v>
      </c>
      <c r="B25" s="946"/>
      <c r="C25" s="947">
        <f>IF(Onbekend_ele_kWh="---",0,Onbekend_ele_kWh)/1000+IF(REST_rest_ele_kWh="---",0,REST_rest_ele_kWh)/1000</f>
        <v>183.71789999999999</v>
      </c>
      <c r="D25" s="947"/>
      <c r="E25" s="947">
        <f>IF(onbekend_gas_kWh="---",0,onbekend_gas_kWh)/1000+IF(REST_rest_gas_kWh="---",0,REST_rest_gas_kWh)/1000</f>
        <v>123.17509370616901</v>
      </c>
      <c r="F25" s="947"/>
      <c r="G25" s="947"/>
      <c r="H25" s="947"/>
      <c r="I25" s="947"/>
      <c r="J25" s="947"/>
      <c r="K25" s="947"/>
      <c r="L25" s="947"/>
      <c r="M25" s="947"/>
      <c r="N25" s="947"/>
      <c r="O25" s="947"/>
      <c r="P25" s="947"/>
      <c r="Q25" s="948"/>
      <c r="R25" s="629">
        <f>SUM(C25:Q25)</f>
        <v>306.89299370616902</v>
      </c>
      <c r="S25" s="67"/>
    </row>
    <row r="26" spans="1:19" s="438" customFormat="1" ht="15.75" thickBot="1">
      <c r="A26" s="634" t="s">
        <v>803</v>
      </c>
      <c r="B26" s="745"/>
      <c r="C26" s="740">
        <f>SUM(C24:C25)</f>
        <v>587.95920000000001</v>
      </c>
      <c r="D26" s="740">
        <f t="shared" ref="D26:R26" si="2">SUM(D24:D25)</f>
        <v>0</v>
      </c>
      <c r="E26" s="740">
        <f t="shared" si="2"/>
        <v>151.67477625318583</v>
      </c>
      <c r="F26" s="740">
        <f t="shared" si="2"/>
        <v>8.6683642419615889</v>
      </c>
      <c r="G26" s="740">
        <f t="shared" si="2"/>
        <v>1311.2292445735854</v>
      </c>
      <c r="H26" s="740">
        <f t="shared" si="2"/>
        <v>0</v>
      </c>
      <c r="I26" s="740">
        <f t="shared" si="2"/>
        <v>0</v>
      </c>
      <c r="J26" s="740">
        <f t="shared" si="2"/>
        <v>0</v>
      </c>
      <c r="K26" s="740">
        <f t="shared" si="2"/>
        <v>38.948862888605007</v>
      </c>
      <c r="L26" s="740">
        <f t="shared" si="2"/>
        <v>0</v>
      </c>
      <c r="M26" s="740">
        <f t="shared" si="2"/>
        <v>0</v>
      </c>
      <c r="N26" s="740">
        <f t="shared" si="2"/>
        <v>0</v>
      </c>
      <c r="O26" s="740">
        <f t="shared" si="2"/>
        <v>0</v>
      </c>
      <c r="P26" s="740">
        <f t="shared" si="2"/>
        <v>0</v>
      </c>
      <c r="Q26" s="740">
        <f t="shared" si="2"/>
        <v>0</v>
      </c>
      <c r="R26" s="740">
        <f t="shared" si="2"/>
        <v>2098.4804479573377</v>
      </c>
      <c r="S26" s="67"/>
    </row>
    <row r="27" spans="1:19" s="438" customFormat="1" ht="17.25" thickTop="1" thickBot="1">
      <c r="A27" s="635" t="s">
        <v>109</v>
      </c>
      <c r="B27" s="733"/>
      <c r="C27" s="636">
        <f ca="1">C22+C16+C26</f>
        <v>7065.2092239846061</v>
      </c>
      <c r="D27" s="636">
        <f t="shared" ref="D27:R27" ca="1" si="3">D22+D16+D26</f>
        <v>0</v>
      </c>
      <c r="E27" s="636">
        <f t="shared" ca="1" si="3"/>
        <v>4100.2775596286665</v>
      </c>
      <c r="F27" s="636">
        <f t="shared" si="3"/>
        <v>383.01397837692559</v>
      </c>
      <c r="G27" s="636">
        <f t="shared" ca="1" si="3"/>
        <v>11284.004633225746</v>
      </c>
      <c r="H27" s="636">
        <f t="shared" si="3"/>
        <v>7562.7124322415721</v>
      </c>
      <c r="I27" s="636">
        <f t="shared" si="3"/>
        <v>1550.4334046804049</v>
      </c>
      <c r="J27" s="636">
        <f t="shared" si="3"/>
        <v>0</v>
      </c>
      <c r="K27" s="636">
        <f t="shared" si="3"/>
        <v>259.78834517962895</v>
      </c>
      <c r="L27" s="636">
        <f t="shared" si="3"/>
        <v>0</v>
      </c>
      <c r="M27" s="636">
        <f t="shared" ca="1" si="3"/>
        <v>0</v>
      </c>
      <c r="N27" s="636">
        <f t="shared" si="3"/>
        <v>485.68569546072422</v>
      </c>
      <c r="O27" s="636">
        <f t="shared" ca="1" si="3"/>
        <v>1123.7154551345545</v>
      </c>
      <c r="P27" s="636">
        <f t="shared" si="3"/>
        <v>54.716666666666669</v>
      </c>
      <c r="Q27" s="636">
        <f t="shared" si="3"/>
        <v>57.2</v>
      </c>
      <c r="R27" s="636">
        <f t="shared" ca="1" si="3"/>
        <v>33926.757394579494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445.56785857272968</v>
      </c>
      <c r="D40" s="943">
        <f ca="1">tertiair!C20</f>
        <v>0</v>
      </c>
      <c r="E40" s="943">
        <f ca="1">tertiair!D20</f>
        <v>301.47515948656564</v>
      </c>
      <c r="F40" s="943">
        <f>tertiair!E20</f>
        <v>7.9219056235923686</v>
      </c>
      <c r="G40" s="943">
        <f ca="1">tertiair!F20</f>
        <v>126.65609973627068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881.62102341915829</v>
      </c>
    </row>
    <row r="41" spans="1:18">
      <c r="A41" s="750" t="s">
        <v>214</v>
      </c>
      <c r="B41" s="757"/>
      <c r="C41" s="943">
        <f ca="1">huishoudens!B12</f>
        <v>772.63866504689884</v>
      </c>
      <c r="D41" s="943">
        <f ca="1">huishoudens!C12</f>
        <v>0</v>
      </c>
      <c r="E41" s="943">
        <f>huishoudens!D12</f>
        <v>469.07033808291169</v>
      </c>
      <c r="F41" s="943">
        <f>huishoudens!E12</f>
        <v>67.919344152556988</v>
      </c>
      <c r="G41" s="943">
        <f>huishoudens!F12</f>
        <v>2520.2017235247095</v>
      </c>
      <c r="H41" s="943">
        <f>huishoudens!G12</f>
        <v>0</v>
      </c>
      <c r="I41" s="943">
        <f>huishoudens!H12</f>
        <v>0</v>
      </c>
      <c r="J41" s="943">
        <f>huishoudens!I12</f>
        <v>0</v>
      </c>
      <c r="K41" s="943">
        <f>huishoudens!J12</f>
        <v>77.92111304082141</v>
      </c>
      <c r="L41" s="943">
        <f>huishoudens!K12</f>
        <v>0</v>
      </c>
      <c r="M41" s="943">
        <f>huishoudens!L12</f>
        <v>0</v>
      </c>
      <c r="N41" s="943">
        <f>huishoudens!M12</f>
        <v>0</v>
      </c>
      <c r="O41" s="943">
        <f>huishoudens!N12</f>
        <v>0</v>
      </c>
      <c r="P41" s="943">
        <f>huishoudens!O12</f>
        <v>0</v>
      </c>
      <c r="Q41" s="703">
        <f>huishoudens!P12</f>
        <v>0</v>
      </c>
      <c r="R41" s="778">
        <f t="shared" ca="1" si="4"/>
        <v>3907.7511838478986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38.424754276104686</v>
      </c>
      <c r="D43" s="943">
        <f ca="1">industrie!C22</f>
        <v>0</v>
      </c>
      <c r="E43" s="943">
        <f>industrie!D22</f>
        <v>26.561080107342949</v>
      </c>
      <c r="F43" s="943">
        <f>industrie!E22</f>
        <v>3.5867835805184587</v>
      </c>
      <c r="G43" s="943">
        <f>industrie!F22</f>
        <v>15.873205509146651</v>
      </c>
      <c r="H43" s="943">
        <f>industrie!G22</f>
        <v>0</v>
      </c>
      <c r="I43" s="943">
        <f>industrie!H22</f>
        <v>0</v>
      </c>
      <c r="J43" s="943">
        <f>industrie!I22</f>
        <v>0</v>
      </c>
      <c r="K43" s="943">
        <f>industrie!J22</f>
        <v>0.25606369020104974</v>
      </c>
      <c r="L43" s="943">
        <f>industrie!K22</f>
        <v>0</v>
      </c>
      <c r="M43" s="943">
        <f>industrie!L22</f>
        <v>0</v>
      </c>
      <c r="N43" s="943">
        <f>industrie!M22</f>
        <v>0</v>
      </c>
      <c r="O43" s="943">
        <f>industrie!N22</f>
        <v>0</v>
      </c>
      <c r="P43" s="943">
        <f>industrie!O22</f>
        <v>0</v>
      </c>
      <c r="Q43" s="703">
        <f>industrie!P22</f>
        <v>0</v>
      </c>
      <c r="R43" s="777">
        <f t="shared" ca="1" si="4"/>
        <v>84.701887163313785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1256.6312778957333</v>
      </c>
      <c r="D46" s="661">
        <f t="shared" ref="D46:Q46" ca="1" si="5">SUM(D39:D45)</f>
        <v>0</v>
      </c>
      <c r="E46" s="661">
        <f t="shared" ca="1" si="5"/>
        <v>797.10657767682028</v>
      </c>
      <c r="F46" s="661">
        <f t="shared" si="5"/>
        <v>79.428033356667811</v>
      </c>
      <c r="G46" s="661">
        <f t="shared" ca="1" si="5"/>
        <v>2662.7310287701271</v>
      </c>
      <c r="H46" s="661">
        <f t="shared" si="5"/>
        <v>0</v>
      </c>
      <c r="I46" s="661">
        <f t="shared" si="5"/>
        <v>0</v>
      </c>
      <c r="J46" s="661">
        <f t="shared" si="5"/>
        <v>0</v>
      </c>
      <c r="K46" s="661">
        <f t="shared" si="5"/>
        <v>78.177176731022456</v>
      </c>
      <c r="L46" s="661">
        <f t="shared" si="5"/>
        <v>0</v>
      </c>
      <c r="M46" s="661">
        <f t="shared" ca="1" si="5"/>
        <v>0</v>
      </c>
      <c r="N46" s="661">
        <f t="shared" si="5"/>
        <v>0</v>
      </c>
      <c r="O46" s="661">
        <f t="shared" ca="1" si="5"/>
        <v>0</v>
      </c>
      <c r="P46" s="661">
        <f t="shared" si="5"/>
        <v>0</v>
      </c>
      <c r="Q46" s="661">
        <f t="shared" si="5"/>
        <v>0</v>
      </c>
      <c r="R46" s="661">
        <f ca="1">SUM(R39:R45)</f>
        <v>4874.0740944303707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0.1789890077006201</v>
      </c>
      <c r="D49" s="943">
        <f ca="1">transport!C58</f>
        <v>0</v>
      </c>
      <c r="E49" s="943">
        <f>transport!D58</f>
        <v>0</v>
      </c>
      <c r="F49" s="943">
        <f>transport!E58</f>
        <v>0</v>
      </c>
      <c r="G49" s="943">
        <f>transport!F58</f>
        <v>0</v>
      </c>
      <c r="H49" s="943">
        <f>transport!G58</f>
        <v>46.658511821434118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46.83750082913474</v>
      </c>
    </row>
    <row r="50" spans="1:18">
      <c r="A50" s="753" t="s">
        <v>296</v>
      </c>
      <c r="B50" s="763"/>
      <c r="C50" s="632">
        <f ca="1">transport!B18</f>
        <v>0.30870918705954969</v>
      </c>
      <c r="D50" s="632">
        <f>transport!C18</f>
        <v>0</v>
      </c>
      <c r="E50" s="632">
        <f>transport!D18</f>
        <v>0.51118456502691367</v>
      </c>
      <c r="F50" s="632">
        <f>transport!E18</f>
        <v>5.5484210519690125</v>
      </c>
      <c r="G50" s="632">
        <f>transport!F18</f>
        <v>0</v>
      </c>
      <c r="H50" s="632">
        <f>transport!G18</f>
        <v>1972.5857075870658</v>
      </c>
      <c r="I50" s="632">
        <f>transport!H18</f>
        <v>386.05791776542083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2365.0119401565421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0.48769819476016979</v>
      </c>
      <c r="D52" s="661">
        <f t="shared" ref="D52:Q52" ca="1" si="6">SUM(D48:D51)</f>
        <v>0</v>
      </c>
      <c r="E52" s="661">
        <f t="shared" si="6"/>
        <v>0.51118456502691367</v>
      </c>
      <c r="F52" s="661">
        <f t="shared" si="6"/>
        <v>5.5484210519690125</v>
      </c>
      <c r="G52" s="661">
        <f t="shared" si="6"/>
        <v>0</v>
      </c>
      <c r="H52" s="661">
        <f t="shared" si="6"/>
        <v>2019.2442194084999</v>
      </c>
      <c r="I52" s="661">
        <f t="shared" si="6"/>
        <v>386.05791776542083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2411.8494409856767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78.456043423945758</v>
      </c>
      <c r="D54" s="632">
        <f ca="1">+landbouw!C12</f>
        <v>0</v>
      </c>
      <c r="E54" s="632">
        <f>+landbouw!D12</f>
        <v>5.7569358744973957</v>
      </c>
      <c r="F54" s="632">
        <f>+landbouw!E12</f>
        <v>1.9677186829252808</v>
      </c>
      <c r="G54" s="632">
        <f>+landbouw!F12</f>
        <v>350.09820830114734</v>
      </c>
      <c r="H54" s="632">
        <f>+landbouw!G12</f>
        <v>0</v>
      </c>
      <c r="I54" s="632">
        <f>+landbouw!H12</f>
        <v>0</v>
      </c>
      <c r="J54" s="632">
        <f>+landbouw!I12</f>
        <v>0</v>
      </c>
      <c r="K54" s="632">
        <f>+landbouw!J12</f>
        <v>13.787897462566171</v>
      </c>
      <c r="L54" s="632">
        <f>+landbouw!K12</f>
        <v>0</v>
      </c>
      <c r="M54" s="632">
        <f>+landbouw!L12</f>
        <v>0</v>
      </c>
      <c r="N54" s="632">
        <f>+landbouw!M12</f>
        <v>0</v>
      </c>
      <c r="O54" s="632">
        <f>+landbouw!N12</f>
        <v>0</v>
      </c>
      <c r="P54" s="632">
        <f>+landbouw!O12</f>
        <v>0</v>
      </c>
      <c r="Q54" s="633">
        <f>+landbouw!P12</f>
        <v>0</v>
      </c>
      <c r="R54" s="660">
        <f ca="1">SUM(C54:Q54)</f>
        <v>450.06680374508193</v>
      </c>
    </row>
    <row r="55" spans="1:18" ht="15" thickBot="1">
      <c r="A55" s="753" t="s">
        <v>802</v>
      </c>
      <c r="B55" s="763"/>
      <c r="C55" s="632">
        <f ca="1">C25*'EF ele_warmte'!B12</f>
        <v>35.656375388056901</v>
      </c>
      <c r="D55" s="632"/>
      <c r="E55" s="632">
        <f>E25*EF_CO2_aardgas</f>
        <v>24.88136892864614</v>
      </c>
      <c r="F55" s="632"/>
      <c r="G55" s="632"/>
      <c r="H55" s="632"/>
      <c r="I55" s="632"/>
      <c r="J55" s="632"/>
      <c r="K55" s="632"/>
      <c r="L55" s="632"/>
      <c r="M55" s="632"/>
      <c r="N55" s="632"/>
      <c r="O55" s="632"/>
      <c r="P55" s="632"/>
      <c r="Q55" s="633"/>
      <c r="R55" s="660">
        <f ca="1">SUM(C55:Q55)</f>
        <v>60.537744316703041</v>
      </c>
    </row>
    <row r="56" spans="1:18" ht="15.75" thickBot="1">
      <c r="A56" s="751" t="s">
        <v>803</v>
      </c>
      <c r="B56" s="764"/>
      <c r="C56" s="661">
        <f ca="1">SUM(C54:C55)</f>
        <v>114.11241881200266</v>
      </c>
      <c r="D56" s="661">
        <f t="shared" ref="D56:Q56" ca="1" si="7">SUM(D54:D55)</f>
        <v>0</v>
      </c>
      <c r="E56" s="661">
        <f t="shared" si="7"/>
        <v>30.638304803143534</v>
      </c>
      <c r="F56" s="661">
        <f t="shared" si="7"/>
        <v>1.9677186829252808</v>
      </c>
      <c r="G56" s="661">
        <f t="shared" si="7"/>
        <v>350.09820830114734</v>
      </c>
      <c r="H56" s="661">
        <f t="shared" si="7"/>
        <v>0</v>
      </c>
      <c r="I56" s="661">
        <f t="shared" si="7"/>
        <v>0</v>
      </c>
      <c r="J56" s="661">
        <f t="shared" si="7"/>
        <v>0</v>
      </c>
      <c r="K56" s="661">
        <f t="shared" si="7"/>
        <v>13.787897462566171</v>
      </c>
      <c r="L56" s="661">
        <f t="shared" si="7"/>
        <v>0</v>
      </c>
      <c r="M56" s="661">
        <f t="shared" si="7"/>
        <v>0</v>
      </c>
      <c r="N56" s="661">
        <f t="shared" si="7"/>
        <v>0</v>
      </c>
      <c r="O56" s="661">
        <f t="shared" si="7"/>
        <v>0</v>
      </c>
      <c r="P56" s="661">
        <f t="shared" si="7"/>
        <v>0</v>
      </c>
      <c r="Q56" s="662">
        <f t="shared" si="7"/>
        <v>0</v>
      </c>
      <c r="R56" s="663">
        <f ca="1">SUM(R54:R55)</f>
        <v>510.60454806178495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1371.2313949024963</v>
      </c>
      <c r="D61" s="669">
        <f t="shared" ref="D61:Q61" ca="1" si="8">D46+D52+D56</f>
        <v>0</v>
      </c>
      <c r="E61" s="669">
        <f t="shared" ca="1" si="8"/>
        <v>828.2560670449908</v>
      </c>
      <c r="F61" s="669">
        <f t="shared" si="8"/>
        <v>86.944173091562106</v>
      </c>
      <c r="G61" s="669">
        <f t="shared" ca="1" si="8"/>
        <v>3012.8292370712743</v>
      </c>
      <c r="H61" s="669">
        <f t="shared" si="8"/>
        <v>2019.2442194084999</v>
      </c>
      <c r="I61" s="669">
        <f t="shared" si="8"/>
        <v>386.05791776542083</v>
      </c>
      <c r="J61" s="669">
        <f t="shared" si="8"/>
        <v>0</v>
      </c>
      <c r="K61" s="669">
        <f t="shared" si="8"/>
        <v>91.965074193588634</v>
      </c>
      <c r="L61" s="669">
        <f t="shared" si="8"/>
        <v>0</v>
      </c>
      <c r="M61" s="669">
        <f t="shared" ca="1" si="8"/>
        <v>0</v>
      </c>
      <c r="N61" s="669">
        <f t="shared" si="8"/>
        <v>0</v>
      </c>
      <c r="O61" s="669">
        <f t="shared" ca="1" si="8"/>
        <v>0</v>
      </c>
      <c r="P61" s="669">
        <f t="shared" si="8"/>
        <v>0</v>
      </c>
      <c r="Q61" s="669">
        <f t="shared" si="8"/>
        <v>0</v>
      </c>
      <c r="R61" s="669">
        <f ca="1">R46+R52+R56</f>
        <v>7796.5280834778323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0.1940822064048027</v>
      </c>
      <c r="D63" s="710">
        <f t="shared" ca="1" si="9"/>
        <v>0</v>
      </c>
      <c r="E63" s="954">
        <f t="shared" ca="1" si="9"/>
        <v>0.20200000000000004</v>
      </c>
      <c r="F63" s="710">
        <f t="shared" si="9"/>
        <v>0.22699999999999998</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860.54227872444244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860.54227872444244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3980.9866105674041</v>
      </c>
      <c r="C4" s="442">
        <f>huishoudens!C8</f>
        <v>0</v>
      </c>
      <c r="D4" s="442">
        <f>huishoudens!D8</f>
        <v>2322.1303865490677</v>
      </c>
      <c r="E4" s="442">
        <f>huishoudens!E8</f>
        <v>299.20415926236558</v>
      </c>
      <c r="F4" s="442">
        <f>huishoudens!F8</f>
        <v>9438.9577660101477</v>
      </c>
      <c r="G4" s="442">
        <f>huishoudens!G8</f>
        <v>0</v>
      </c>
      <c r="H4" s="442">
        <f>huishoudens!H8</f>
        <v>0</v>
      </c>
      <c r="I4" s="442">
        <f>huishoudens!I8</f>
        <v>0</v>
      </c>
      <c r="J4" s="442">
        <f>huishoudens!J8</f>
        <v>220.11613853339384</v>
      </c>
      <c r="K4" s="442">
        <f>huishoudens!K8</f>
        <v>0</v>
      </c>
      <c r="L4" s="442">
        <f>huishoudens!L8</f>
        <v>0</v>
      </c>
      <c r="M4" s="442">
        <f>huishoudens!M8</f>
        <v>0</v>
      </c>
      <c r="N4" s="442">
        <f>huishoudens!N8</f>
        <v>979.04167010357435</v>
      </c>
      <c r="O4" s="442">
        <f>huishoudens!O8</f>
        <v>54.716666666666669</v>
      </c>
      <c r="P4" s="443">
        <f>huishoudens!P8</f>
        <v>57.2</v>
      </c>
      <c r="Q4" s="444">
        <f>SUM(B4:P4)</f>
        <v>17352.353397692623</v>
      </c>
    </row>
    <row r="5" spans="1:17">
      <c r="A5" s="441" t="s">
        <v>149</v>
      </c>
      <c r="B5" s="442">
        <f ca="1">tertiair!B16</f>
        <v>2164.7437199999999</v>
      </c>
      <c r="C5" s="442">
        <f ca="1">tertiair!C16</f>
        <v>0</v>
      </c>
      <c r="D5" s="442">
        <f ca="1">tertiair!D16</f>
        <v>1492.4512845869585</v>
      </c>
      <c r="E5" s="442">
        <f>tertiair!E16</f>
        <v>34.898262658997218</v>
      </c>
      <c r="F5" s="442">
        <f ca="1">tertiair!F16</f>
        <v>474.36741474258679</v>
      </c>
      <c r="G5" s="442">
        <f>tertiair!G16</f>
        <v>0</v>
      </c>
      <c r="H5" s="442">
        <f>tertiair!H16</f>
        <v>0</v>
      </c>
      <c r="I5" s="442">
        <f>tertiair!I16</f>
        <v>0</v>
      </c>
      <c r="J5" s="442">
        <f>tertiair!J16</f>
        <v>0</v>
      </c>
      <c r="K5" s="442">
        <f>tertiair!K16</f>
        <v>0</v>
      </c>
      <c r="L5" s="442">
        <f ca="1">tertiair!L16</f>
        <v>0</v>
      </c>
      <c r="M5" s="442">
        <f>tertiair!M16</f>
        <v>0</v>
      </c>
      <c r="N5" s="442">
        <f ca="1">tertiair!N16</f>
        <v>133.22148858509865</v>
      </c>
      <c r="O5" s="442">
        <f>tertiair!O16</f>
        <v>0</v>
      </c>
      <c r="P5" s="443">
        <f>tertiair!P16</f>
        <v>0</v>
      </c>
      <c r="Q5" s="441">
        <f t="shared" ref="Q5:Q14" ca="1" si="0">SUM(B5:P5)</f>
        <v>4299.682170573642</v>
      </c>
    </row>
    <row r="6" spans="1:17">
      <c r="A6" s="441" t="s">
        <v>187</v>
      </c>
      <c r="B6" s="442">
        <f>'openbare verlichting'!B8</f>
        <v>131.02500000000001</v>
      </c>
      <c r="C6" s="442"/>
      <c r="D6" s="442"/>
      <c r="E6" s="442"/>
      <c r="F6" s="442"/>
      <c r="G6" s="442"/>
      <c r="H6" s="442"/>
      <c r="I6" s="442"/>
      <c r="J6" s="442"/>
      <c r="K6" s="442"/>
      <c r="L6" s="442"/>
      <c r="M6" s="442"/>
      <c r="N6" s="442"/>
      <c r="O6" s="442"/>
      <c r="P6" s="443"/>
      <c r="Q6" s="441">
        <f t="shared" si="0"/>
        <v>131.02500000000001</v>
      </c>
    </row>
    <row r="7" spans="1:17">
      <c r="A7" s="441" t="s">
        <v>105</v>
      </c>
      <c r="B7" s="442">
        <f>landbouw!B8</f>
        <v>404.24129999999997</v>
      </c>
      <c r="C7" s="442">
        <f>landbouw!C8</f>
        <v>0</v>
      </c>
      <c r="D7" s="442">
        <f>landbouw!D8</f>
        <v>28.49968254701681</v>
      </c>
      <c r="E7" s="442">
        <f>landbouw!E8</f>
        <v>8.6683642419615889</v>
      </c>
      <c r="F7" s="442">
        <f>landbouw!F8</f>
        <v>1311.2292445735854</v>
      </c>
      <c r="G7" s="442">
        <f>landbouw!G8</f>
        <v>0</v>
      </c>
      <c r="H7" s="442">
        <f>landbouw!H8</f>
        <v>0</v>
      </c>
      <c r="I7" s="442">
        <f>landbouw!I8</f>
        <v>0</v>
      </c>
      <c r="J7" s="442">
        <f>landbouw!J8</f>
        <v>38.948862888605007</v>
      </c>
      <c r="K7" s="442">
        <f>landbouw!K8</f>
        <v>0</v>
      </c>
      <c r="L7" s="442">
        <f>landbouw!L8</f>
        <v>0</v>
      </c>
      <c r="M7" s="442">
        <f>landbouw!M8</f>
        <v>0</v>
      </c>
      <c r="N7" s="442">
        <f>landbouw!N8</f>
        <v>0</v>
      </c>
      <c r="O7" s="442">
        <f>landbouw!O8</f>
        <v>0</v>
      </c>
      <c r="P7" s="443">
        <f>landbouw!P8</f>
        <v>0</v>
      </c>
      <c r="Q7" s="441">
        <f t="shared" si="0"/>
        <v>1791.5874542511688</v>
      </c>
    </row>
    <row r="8" spans="1:17">
      <c r="A8" s="441" t="s">
        <v>612</v>
      </c>
      <c r="B8" s="442">
        <f>industrie!B18</f>
        <v>197.98184999999998</v>
      </c>
      <c r="C8" s="442">
        <f>industrie!C18</f>
        <v>0</v>
      </c>
      <c r="D8" s="442">
        <f>industrie!D18</f>
        <v>131.49049558090567</v>
      </c>
      <c r="E8" s="442">
        <f>industrie!E18</f>
        <v>15.800808724750919</v>
      </c>
      <c r="F8" s="442">
        <f>industrie!F18</f>
        <v>59.450207899425656</v>
      </c>
      <c r="G8" s="442">
        <f>industrie!G18</f>
        <v>0</v>
      </c>
      <c r="H8" s="442">
        <f>industrie!H18</f>
        <v>0</v>
      </c>
      <c r="I8" s="442">
        <f>industrie!I18</f>
        <v>0</v>
      </c>
      <c r="J8" s="442">
        <f>industrie!J18</f>
        <v>0.72334375763008407</v>
      </c>
      <c r="K8" s="442">
        <f>industrie!K18</f>
        <v>0</v>
      </c>
      <c r="L8" s="442">
        <f>industrie!L18</f>
        <v>0</v>
      </c>
      <c r="M8" s="442">
        <f>industrie!M18</f>
        <v>0</v>
      </c>
      <c r="N8" s="442">
        <f>industrie!N18</f>
        <v>11.452296445881583</v>
      </c>
      <c r="O8" s="442">
        <f>industrie!O18</f>
        <v>0</v>
      </c>
      <c r="P8" s="443">
        <f>industrie!P18</f>
        <v>0</v>
      </c>
      <c r="Q8" s="441">
        <f t="shared" si="0"/>
        <v>416.8990024085939</v>
      </c>
    </row>
    <row r="9" spans="1:17" s="447" customFormat="1">
      <c r="A9" s="445" t="s">
        <v>556</v>
      </c>
      <c r="B9" s="446">
        <f>transport!B14</f>
        <v>1.5906104571774411</v>
      </c>
      <c r="C9" s="446">
        <f>transport!C14</f>
        <v>0</v>
      </c>
      <c r="D9" s="446">
        <f>transport!D14</f>
        <v>2.5306166585490772</v>
      </c>
      <c r="E9" s="446">
        <f>transport!E14</f>
        <v>24.442383488850275</v>
      </c>
      <c r="F9" s="446">
        <f>transport!F14</f>
        <v>0</v>
      </c>
      <c r="G9" s="446">
        <f>transport!G14</f>
        <v>7387.9614516369502</v>
      </c>
      <c r="H9" s="446">
        <f>transport!H14</f>
        <v>1550.4334046804049</v>
      </c>
      <c r="I9" s="446">
        <f>transport!I14</f>
        <v>0</v>
      </c>
      <c r="J9" s="446">
        <f>transport!J14</f>
        <v>0</v>
      </c>
      <c r="K9" s="446">
        <f>transport!K14</f>
        <v>0</v>
      </c>
      <c r="L9" s="446">
        <f>transport!L14</f>
        <v>0</v>
      </c>
      <c r="M9" s="446">
        <f>transport!M14</f>
        <v>475.62562471207588</v>
      </c>
      <c r="N9" s="446">
        <f>transport!N14</f>
        <v>0</v>
      </c>
      <c r="O9" s="446">
        <f>transport!O14</f>
        <v>0</v>
      </c>
      <c r="P9" s="446">
        <f>transport!P14</f>
        <v>0</v>
      </c>
      <c r="Q9" s="445">
        <f>SUM(B9:P9)</f>
        <v>9442.5840916340076</v>
      </c>
    </row>
    <row r="10" spans="1:17">
      <c r="A10" s="441" t="s">
        <v>546</v>
      </c>
      <c r="B10" s="442">
        <f>transport!B54</f>
        <v>0.92223296002363919</v>
      </c>
      <c r="C10" s="442">
        <f>transport!C54</f>
        <v>0</v>
      </c>
      <c r="D10" s="442">
        <f>transport!D54</f>
        <v>0</v>
      </c>
      <c r="E10" s="442">
        <f>transport!E54</f>
        <v>0</v>
      </c>
      <c r="F10" s="442">
        <f>transport!F54</f>
        <v>0</v>
      </c>
      <c r="G10" s="442">
        <f>transport!G54</f>
        <v>174.75098060462216</v>
      </c>
      <c r="H10" s="442">
        <f>transport!H54</f>
        <v>0</v>
      </c>
      <c r="I10" s="442">
        <f>transport!I54</f>
        <v>0</v>
      </c>
      <c r="J10" s="442">
        <f>transport!J54</f>
        <v>0</v>
      </c>
      <c r="K10" s="442">
        <f>transport!K54</f>
        <v>0</v>
      </c>
      <c r="L10" s="442">
        <f>transport!L54</f>
        <v>0</v>
      </c>
      <c r="M10" s="442">
        <f>transport!M54</f>
        <v>10.060070748648357</v>
      </c>
      <c r="N10" s="442">
        <f>transport!N54</f>
        <v>0</v>
      </c>
      <c r="O10" s="442">
        <f>transport!O54</f>
        <v>0</v>
      </c>
      <c r="P10" s="443">
        <f>transport!P54</f>
        <v>0</v>
      </c>
      <c r="Q10" s="441">
        <f t="shared" si="0"/>
        <v>185.73328431329418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183.71789999999999</v>
      </c>
      <c r="C14" s="449"/>
      <c r="D14" s="449">
        <f>'SEAP template'!E25</f>
        <v>123.17509370616901</v>
      </c>
      <c r="E14" s="449"/>
      <c r="F14" s="449"/>
      <c r="G14" s="449"/>
      <c r="H14" s="449"/>
      <c r="I14" s="449"/>
      <c r="J14" s="449"/>
      <c r="K14" s="449"/>
      <c r="L14" s="449"/>
      <c r="M14" s="449"/>
      <c r="N14" s="449"/>
      <c r="O14" s="449"/>
      <c r="P14" s="450"/>
      <c r="Q14" s="441">
        <f t="shared" si="0"/>
        <v>306.89299370616902</v>
      </c>
    </row>
    <row r="15" spans="1:17" s="451" customFormat="1">
      <c r="A15" s="969" t="s">
        <v>550</v>
      </c>
      <c r="B15" s="909">
        <f ca="1">SUM(B4:B14)</f>
        <v>7065.2092239846043</v>
      </c>
      <c r="C15" s="909">
        <f t="shared" ref="C15:Q15" ca="1" si="1">SUM(C4:C14)</f>
        <v>0</v>
      </c>
      <c r="D15" s="909">
        <f t="shared" ca="1" si="1"/>
        <v>4100.2775596286665</v>
      </c>
      <c r="E15" s="909">
        <f t="shared" si="1"/>
        <v>383.01397837692559</v>
      </c>
      <c r="F15" s="909">
        <f t="shared" ca="1" si="1"/>
        <v>11284.004633225746</v>
      </c>
      <c r="G15" s="909">
        <f t="shared" si="1"/>
        <v>7562.7124322415721</v>
      </c>
      <c r="H15" s="909">
        <f t="shared" si="1"/>
        <v>1550.4334046804049</v>
      </c>
      <c r="I15" s="909">
        <f t="shared" si="1"/>
        <v>0</v>
      </c>
      <c r="J15" s="909">
        <f t="shared" si="1"/>
        <v>259.78834517962889</v>
      </c>
      <c r="K15" s="909">
        <f t="shared" si="1"/>
        <v>0</v>
      </c>
      <c r="L15" s="909">
        <f t="shared" ca="1" si="1"/>
        <v>0</v>
      </c>
      <c r="M15" s="909">
        <f t="shared" si="1"/>
        <v>485.68569546072422</v>
      </c>
      <c r="N15" s="909">
        <f t="shared" ca="1" si="1"/>
        <v>1123.7154551345545</v>
      </c>
      <c r="O15" s="909">
        <f t="shared" si="1"/>
        <v>54.716666666666669</v>
      </c>
      <c r="P15" s="909">
        <f t="shared" si="1"/>
        <v>57.2</v>
      </c>
      <c r="Q15" s="909">
        <f t="shared" ca="1" si="1"/>
        <v>33926.757394579501</v>
      </c>
    </row>
    <row r="17" spans="1:17">
      <c r="A17" s="452" t="s">
        <v>551</v>
      </c>
      <c r="B17" s="715">
        <f ca="1">huishoudens!B10</f>
        <v>0.1940822064048027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772.63866504689884</v>
      </c>
      <c r="C22" s="442">
        <f t="shared" ref="C22:C32" ca="1" si="3">C4*$C$17</f>
        <v>0</v>
      </c>
      <c r="D22" s="442">
        <f t="shared" ref="D22:D32" si="4">D4*$D$17</f>
        <v>469.07033808291169</v>
      </c>
      <c r="E22" s="442">
        <f t="shared" ref="E22:E32" si="5">E4*$E$17</f>
        <v>67.919344152556988</v>
      </c>
      <c r="F22" s="442">
        <f t="shared" ref="F22:F32" si="6">F4*$F$17</f>
        <v>2520.2017235247095</v>
      </c>
      <c r="G22" s="442">
        <f t="shared" ref="G22:G32" si="7">G4*$G$17</f>
        <v>0</v>
      </c>
      <c r="H22" s="442">
        <f t="shared" ref="H22:H32" si="8">H4*$H$17</f>
        <v>0</v>
      </c>
      <c r="I22" s="442">
        <f t="shared" ref="I22:I32" si="9">I4*$I$17</f>
        <v>0</v>
      </c>
      <c r="J22" s="442">
        <f t="shared" ref="J22:J32" si="10">J4*$J$17</f>
        <v>77.92111304082141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3907.7511838478986</v>
      </c>
    </row>
    <row r="23" spans="1:17">
      <c r="A23" s="441" t="s">
        <v>149</v>
      </c>
      <c r="B23" s="442">
        <f t="shared" ca="1" si="2"/>
        <v>420.13823747854042</v>
      </c>
      <c r="C23" s="442">
        <f t="shared" ca="1" si="3"/>
        <v>0</v>
      </c>
      <c r="D23" s="442">
        <f t="shared" ca="1" si="4"/>
        <v>301.47515948656564</v>
      </c>
      <c r="E23" s="442">
        <f t="shared" si="5"/>
        <v>7.9219056235923686</v>
      </c>
      <c r="F23" s="442">
        <f t="shared" ca="1" si="6"/>
        <v>126.65609973627068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856.19140232496909</v>
      </c>
    </row>
    <row r="24" spans="1:17">
      <c r="A24" s="441" t="s">
        <v>187</v>
      </c>
      <c r="B24" s="442">
        <f t="shared" ca="1" si="2"/>
        <v>25.429621094189276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25.429621094189276</v>
      </c>
    </row>
    <row r="25" spans="1:17">
      <c r="A25" s="441" t="s">
        <v>105</v>
      </c>
      <c r="B25" s="442">
        <f t="shared" ca="1" si="2"/>
        <v>78.456043423945758</v>
      </c>
      <c r="C25" s="442">
        <f t="shared" ca="1" si="3"/>
        <v>0</v>
      </c>
      <c r="D25" s="442">
        <f t="shared" si="4"/>
        <v>5.7569358744973957</v>
      </c>
      <c r="E25" s="442">
        <f t="shared" si="5"/>
        <v>1.9677186829252808</v>
      </c>
      <c r="F25" s="442">
        <f t="shared" si="6"/>
        <v>350.09820830114734</v>
      </c>
      <c r="G25" s="442">
        <f t="shared" si="7"/>
        <v>0</v>
      </c>
      <c r="H25" s="442">
        <f t="shared" si="8"/>
        <v>0</v>
      </c>
      <c r="I25" s="442">
        <f t="shared" si="9"/>
        <v>0</v>
      </c>
      <c r="J25" s="442">
        <f t="shared" si="10"/>
        <v>13.787897462566171</v>
      </c>
      <c r="K25" s="442">
        <f t="shared" si="11"/>
        <v>0</v>
      </c>
      <c r="L25" s="442">
        <f t="shared" si="12"/>
        <v>0</v>
      </c>
      <c r="M25" s="442">
        <f t="shared" si="13"/>
        <v>0</v>
      </c>
      <c r="N25" s="442">
        <f t="shared" si="14"/>
        <v>0</v>
      </c>
      <c r="O25" s="442">
        <f t="shared" si="15"/>
        <v>0</v>
      </c>
      <c r="P25" s="443">
        <f t="shared" si="16"/>
        <v>0</v>
      </c>
      <c r="Q25" s="441">
        <f t="shared" ca="1" si="17"/>
        <v>450.06680374508193</v>
      </c>
    </row>
    <row r="26" spans="1:17">
      <c r="A26" s="441" t="s">
        <v>612</v>
      </c>
      <c r="B26" s="442">
        <f t="shared" ca="1" si="2"/>
        <v>38.424754276104686</v>
      </c>
      <c r="C26" s="442">
        <f t="shared" ca="1" si="3"/>
        <v>0</v>
      </c>
      <c r="D26" s="442">
        <f t="shared" si="4"/>
        <v>26.561080107342949</v>
      </c>
      <c r="E26" s="442">
        <f t="shared" si="5"/>
        <v>3.5867835805184587</v>
      </c>
      <c r="F26" s="442">
        <f t="shared" si="6"/>
        <v>15.873205509146651</v>
      </c>
      <c r="G26" s="442">
        <f t="shared" si="7"/>
        <v>0</v>
      </c>
      <c r="H26" s="442">
        <f t="shared" si="8"/>
        <v>0</v>
      </c>
      <c r="I26" s="442">
        <f t="shared" si="9"/>
        <v>0</v>
      </c>
      <c r="J26" s="442">
        <f t="shared" si="10"/>
        <v>0.25606369020104974</v>
      </c>
      <c r="K26" s="442">
        <f t="shared" si="11"/>
        <v>0</v>
      </c>
      <c r="L26" s="442">
        <f t="shared" si="12"/>
        <v>0</v>
      </c>
      <c r="M26" s="442">
        <f t="shared" si="13"/>
        <v>0</v>
      </c>
      <c r="N26" s="442">
        <f t="shared" si="14"/>
        <v>0</v>
      </c>
      <c r="O26" s="442">
        <f t="shared" si="15"/>
        <v>0</v>
      </c>
      <c r="P26" s="443">
        <f t="shared" si="16"/>
        <v>0</v>
      </c>
      <c r="Q26" s="441">
        <f t="shared" ca="1" si="17"/>
        <v>84.701887163313785</v>
      </c>
    </row>
    <row r="27" spans="1:17" s="447" customFormat="1">
      <c r="A27" s="445" t="s">
        <v>556</v>
      </c>
      <c r="B27" s="709">
        <f t="shared" ca="1" si="2"/>
        <v>0.30870918705954969</v>
      </c>
      <c r="C27" s="446">
        <f t="shared" ca="1" si="3"/>
        <v>0</v>
      </c>
      <c r="D27" s="446">
        <f t="shared" si="4"/>
        <v>0.51118456502691367</v>
      </c>
      <c r="E27" s="446">
        <f t="shared" si="5"/>
        <v>5.5484210519690125</v>
      </c>
      <c r="F27" s="446">
        <f t="shared" si="6"/>
        <v>0</v>
      </c>
      <c r="G27" s="446">
        <f t="shared" si="7"/>
        <v>1972.5857075870658</v>
      </c>
      <c r="H27" s="446">
        <f t="shared" si="8"/>
        <v>386.05791776542083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2365.0119401565421</v>
      </c>
    </row>
    <row r="28" spans="1:17">
      <c r="A28" s="441" t="s">
        <v>546</v>
      </c>
      <c r="B28" s="442">
        <f t="shared" ca="1" si="2"/>
        <v>0.1789890077006201</v>
      </c>
      <c r="C28" s="442">
        <f t="shared" ca="1" si="3"/>
        <v>0</v>
      </c>
      <c r="D28" s="442">
        <f t="shared" si="4"/>
        <v>0</v>
      </c>
      <c r="E28" s="442">
        <f t="shared" si="5"/>
        <v>0</v>
      </c>
      <c r="F28" s="442">
        <f t="shared" si="6"/>
        <v>0</v>
      </c>
      <c r="G28" s="442">
        <f t="shared" si="7"/>
        <v>46.658511821434118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46.83750082913474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35.656375388056901</v>
      </c>
      <c r="C32" s="442">
        <f t="shared" ca="1" si="3"/>
        <v>0</v>
      </c>
      <c r="D32" s="442">
        <f t="shared" si="4"/>
        <v>24.88136892864614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60.537744316703041</v>
      </c>
    </row>
    <row r="33" spans="1:17" s="451" customFormat="1">
      <c r="A33" s="969" t="s">
        <v>550</v>
      </c>
      <c r="B33" s="909">
        <f ca="1">SUM(B22:B32)</f>
        <v>1371.2313949024963</v>
      </c>
      <c r="C33" s="909">
        <f t="shared" ref="C33:Q33" ca="1" si="18">SUM(C22:C32)</f>
        <v>0</v>
      </c>
      <c r="D33" s="909">
        <f t="shared" ca="1" si="18"/>
        <v>828.25606704499069</v>
      </c>
      <c r="E33" s="909">
        <f t="shared" si="18"/>
        <v>86.944173091562106</v>
      </c>
      <c r="F33" s="909">
        <f t="shared" ca="1" si="18"/>
        <v>3012.8292370712743</v>
      </c>
      <c r="G33" s="909">
        <f t="shared" si="18"/>
        <v>2019.2442194084999</v>
      </c>
      <c r="H33" s="909">
        <f t="shared" si="18"/>
        <v>386.05791776542083</v>
      </c>
      <c r="I33" s="909">
        <f t="shared" si="18"/>
        <v>0</v>
      </c>
      <c r="J33" s="909">
        <f t="shared" si="18"/>
        <v>91.965074193588634</v>
      </c>
      <c r="K33" s="909">
        <f t="shared" si="18"/>
        <v>0</v>
      </c>
      <c r="L33" s="909">
        <f t="shared" ca="1" si="18"/>
        <v>0</v>
      </c>
      <c r="M33" s="909">
        <f t="shared" si="18"/>
        <v>0</v>
      </c>
      <c r="N33" s="909">
        <f t="shared" ca="1" si="18"/>
        <v>0</v>
      </c>
      <c r="O33" s="909">
        <f t="shared" si="18"/>
        <v>0</v>
      </c>
      <c r="P33" s="909">
        <f t="shared" si="18"/>
        <v>0</v>
      </c>
      <c r="Q33" s="909">
        <f t="shared" ca="1" si="18"/>
        <v>7796.5280834778323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860.54227872444244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860.54227872444244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0.1940822064048027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0.1940822064048027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2022-07-26T11:43:57Z</dcterms:modified>
</cp:coreProperties>
</file>