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D4F62B4E-1210-4CAB-A7F2-CB166E13860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I9" i="18"/>
  <c r="S37" i="18"/>
  <c r="E9" i="18"/>
  <c r="R37" i="18"/>
  <c r="Q37" i="18"/>
  <c r="P37" i="18"/>
  <c r="C9" i="18"/>
  <c r="O37" i="18"/>
  <c r="N37" i="18"/>
  <c r="B9" i="18"/>
  <c r="M37" i="18"/>
  <c r="W33" i="18"/>
  <c r="V33" i="18"/>
  <c r="U33" i="18"/>
  <c r="T33" i="18"/>
  <c r="S33" i="18"/>
  <c r="F6" i="17"/>
  <c r="R33" i="18"/>
  <c r="Q33" i="18"/>
  <c r="P33" i="18"/>
  <c r="O33" i="18"/>
  <c r="N33" i="18"/>
  <c r="M33" i="18"/>
  <c r="W32" i="18"/>
  <c r="V32" i="18"/>
  <c r="U32" i="18"/>
  <c r="T32" i="18"/>
  <c r="S32" i="18"/>
  <c r="F13" i="15"/>
  <c r="R32" i="18"/>
  <c r="Q32" i="18"/>
  <c r="P32" i="18"/>
  <c r="O32" i="18"/>
  <c r="C13" i="15"/>
  <c r="N32" i="18"/>
  <c r="M32" i="18"/>
  <c r="W31" i="18"/>
  <c r="V31" i="18"/>
  <c r="U31" i="18"/>
  <c r="T31" i="18"/>
  <c r="S31" i="18"/>
  <c r="R31" i="18"/>
  <c r="Q31" i="18"/>
  <c r="P31" i="18"/>
  <c r="O31" i="18"/>
  <c r="N31" i="18"/>
  <c r="M31" i="18"/>
  <c r="W30" i="18"/>
  <c r="V30" i="18"/>
  <c r="U30" i="18"/>
  <c r="T30" i="18"/>
  <c r="S30" i="18"/>
  <c r="R30" i="18"/>
  <c r="Q30" i="18"/>
  <c r="P30" i="18"/>
  <c r="O30" i="18"/>
  <c r="B17" i="18"/>
  <c r="N30" i="18"/>
  <c r="B8" i="18"/>
  <c r="M30"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6" i="18"/>
  <c r="C50" i="18"/>
  <c r="C6" i="17"/>
  <c r="J9" i="18"/>
  <c r="J77" i="14"/>
  <c r="J9" i="59"/>
  <c r="K20" i="18"/>
  <c r="L10" i="59"/>
  <c r="B16" i="16"/>
  <c r="C46" i="18"/>
  <c r="E49"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0" i="18"/>
  <c r="H17" i="18"/>
  <c r="M87" i="14"/>
  <c r="Q14" i="48"/>
  <c r="D50" i="18"/>
  <c r="H50" i="18"/>
  <c r="E50" i="18"/>
  <c r="E17" i="18"/>
  <c r="E20" i="18"/>
  <c r="G78" i="14"/>
  <c r="B49" i="18"/>
  <c r="C8" i="18"/>
  <c r="D76" i="14"/>
  <c r="D8" i="59"/>
  <c r="D10" i="59"/>
  <c r="H49" i="18"/>
  <c r="F49" i="18"/>
  <c r="C49" i="18"/>
  <c r="I49" i="18"/>
  <c r="H8" i="18"/>
  <c r="M76" i="14"/>
  <c r="D49" i="18"/>
  <c r="B50" i="18"/>
  <c r="C17" i="18"/>
  <c r="D87" i="14"/>
  <c r="D17" i="59"/>
  <c r="D20" i="59"/>
  <c r="F50" i="18"/>
  <c r="O9" i="18"/>
  <c r="G50" i="18"/>
  <c r="G49"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<sst xmlns="http://schemas.openxmlformats.org/spreadsheetml/2006/main" count="2441" uniqueCount="907">
  <si>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</si>
  <si>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</si>
  <si>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</si>
  <si>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</si>
  <si>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</si>
  <si>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</si>
  <si>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</si>
  <si>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</si>
  <si>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</si>
  <si>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</si>
  <si>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</si>
  <si>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</si>
  <si>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</si>
  <si>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</si>
  <si>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</si>
  <si>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</si>
  <si>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</si>
  <si>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</si>
  <si>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</si>
  <si>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</si>
  <si>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</si>
  <si>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</si>
  <si>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</si>
  <si>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</si>
  <si>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</si>
  <si>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</si>
  <si>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</si>
  <si>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</si>
  <si>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</si>
  <si>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</si>
  <si>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</si>
  <si>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</si>
  <si>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</si>
  <si>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</si>
  <si>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</si>
  <si>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</si>
  <si>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</si>
  <si>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</si>
  <si>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</si>
  <si>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</si>
  <si>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</si>
  <si>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</si>
  <si>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</si>
  <si>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</si>
  <si>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</si>
  <si>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</si>
  <si>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</si>
  <si>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</si>
  <si>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</si>
  <si>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</si>
  <si>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</si>
  <si>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</si>
  <si>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</si>
  <si>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</si>
  <si>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</si>
  <si>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</si>
  <si>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</si>
  <si>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</si>
  <si>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</si>
  <si>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</si>
  <si>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</si>
  <si>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</si>
  <si>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</si>
  <si>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</si>
  <si>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</si>
  <si>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</si>
  <si>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</si>
  <si>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</si>
  <si>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</si>
  <si>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</si>
  <si>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</si>
  <si>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</si>
  <si>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</si>
  <si>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</si>
  <si>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</si>
  <si>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</si>
  <si>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</si>
  <si>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</si>
  <si>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</si>
  <si>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</si>
  <si>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</si>
  <si>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</si>
  <si>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</si>
  <si>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</si>
  <si>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</si>
  <si>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</si>
  <si>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</si>
  <si>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</si>
  <si>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</si>
  <si>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</si>
  <si>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</si>
  <si>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</si>
  <si>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</si>
  <si>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</si>
  <si>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</si>
  <si>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</si>
  <si>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</si>
  <si>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</si>
  <si>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</si>
  <si>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</si>
  <si>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</si>
  <si>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</si>
  <si>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</si>
  <si>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</si>
  <si>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</si>
  <si>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</si>
  <si>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</si>
  <si>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</si>
  <si>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</si>
  <si>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</si>
  <si>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</si>
  <si>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</si>
  <si>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</si>
  <si>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</si>
  <si>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</si>
  <si>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</si>
  <si>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</si>
  <si>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</si>
  <si>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</si>
  <si>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</si>
  <si>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</si>
  <si>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</si>
  <si>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</si>
  <si>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</si>
  <si>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</si>
  <si>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</si>
  <si>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</si>
  <si>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</si>
  <si>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</si>
  <si>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</si>
  <si>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</si>
  <si>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</si>
  <si>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</si>
  <si>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</si>
  <si>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</si>
  <si>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</si>
  <si>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</si>
  <si>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</si>
  <si>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</si>
  <si>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</si>
  <si>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</si>
  <si>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</si>
  <si>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</si>
  <si>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</si>
  <si>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</si>
  <si>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</si>
  <si>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</si>
  <si>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</si>
  <si>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</si>
  <si>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</si>
  <si>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</si>
  <si>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</si>
  <si>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</si>
  <si>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</si>
  <si>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</si>
  <si>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</si>
  <si>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</si>
  <si>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</si>
  <si>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</si>
  <si>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</si>
  <si>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</si>
  <si>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</si>
  <si>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</si>
  <si>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</si>
  <si>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</si>
  <si>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</si>
  <si>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</si>
  <si>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</si>
  <si>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</si>
  <si>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</si>
  <si>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</si>
  <si>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</si>
  <si>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</si>
  <si>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</si>
  <si>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</si>
  <si>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</si>
  <si>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</si>
  <si>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</si>
  <si>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</si>
  <si>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</si>
  <si>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</si>
  <si>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</si>
  <si>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</si>
  <si>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</si>
  <si>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</si>
  <si>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</si>
  <si>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</si>
  <si>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</si>
  <si>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</si>
  <si>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</si>
  <si>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</si>
  <si>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</si>
  <si>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</si>
  <si>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</si>
  <si>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</si>
  <si>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</si>
  <si>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</si>
  <si>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</si>
  <si>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</si>
  <si>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</si>
  <si>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</si>
  <si>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</si>
  <si>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</si>
  <si>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</si>
  <si>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</si>
  <si>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</si>
  <si>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</si>
  <si>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</si>
  <si>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</si>
  <si>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</si>
  <si>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</si>
  <si>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</si>
  <si>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</si>
  <si>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</si>
  <si>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</si>
  <si>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</si>
  <si>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</si>
  <si>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</si>
  <si>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</si>
  <si>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</si>
  <si>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</si>
  <si>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</si>
  <si>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</si>
  <si>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</si>
  <si>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</si>
  <si>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</si>
  <si>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</si>
  <si>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</si>
  <si>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</si>
  <si>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</si>
  <si>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</si>
  <si>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</si>
  <si>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</si>
  <si>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</si>
  <si>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</si>
  <si>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</si>
  <si>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</si>
  <si>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</si>
  <si>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</si>
  <si>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</si>
  <si>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</si>
  <si>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</si>
  <si>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</si>
  <si>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</si>
  <si>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</si>
  <si>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</si>
  <si>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</si>
  <si>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</si>
  <si>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</si>
  <si>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</si>
  <si>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</si>
  <si>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</si>
  <si>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</si>
  <si>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</si>
  <si>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</si>
  <si>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</si>
  <si>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</si>
  <si>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</si>
  <si>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</si>
  <si>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</si>
  <si>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</si>
  <si>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</si>
  <si>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</si>
  <si>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</si>
  <si>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</si>
  <si>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</si>
  <si>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</si>
  <si>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</si>
  <si>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</si>
  <si>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</si>
  <si>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</si>
  <si>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</si>
  <si>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</si>
  <si>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</si>
  <si>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</si>
  <si>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</si>
  <si>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</si>
  <si>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</si>
  <si>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</si>
  <si>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</si>
  <si>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</si>
  <si>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</si>
  <si>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</si>
  <si>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</si>
  <si>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</si>
  <si>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</si>
  <si>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</si>
  <si>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</si>
  <si>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</si>
  <si>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</si>
  <si>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</si>
  <si>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</si>
  <si>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</si>
  <si>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</si>
  <si>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</si>
  <si>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</si>
  <si>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</si>
  <si>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</si>
  <si>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</si>
  <si>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</si>
  <si>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</si>
  <si>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</si>
  <si>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</si>
  <si>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</si>
  <si>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</si>
  <si>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</si>
  <si>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</si>
  <si>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</si>
  <si>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</si>
  <si>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</si>
  <si>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</si>
  <si>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</si>
  <si>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</si>
  <si>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</si>
  <si>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</si>
  <si>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</si>
  <si>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</si>
  <si>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</si>
  <si>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</si>
  <si>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</si>
  <si>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</si>
  <si>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</si>
  <si>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</si>
  <si>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</si>
  <si>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</si>
  <si>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</si>
  <si>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</si>
  <si>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</si>
  <si>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</si>
  <si>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</si>
  <si>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</si>
  <si>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</si>
  <si>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</si>
  <si>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</si>
  <si>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</si>
  <si>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</si>
  <si>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</si>
  <si>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</si>
  <si>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</si>
  <si>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</si>
  <si>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</si>
  <si>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</si>
  <si>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</si>
  <si>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</si>
  <si>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</si>
  <si>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</si>
  <si>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</si>
  <si>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</si>
  <si>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</si>
  <si>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</si>
  <si>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</si>
  <si>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</si>
  <si>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</si>
  <si>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</si>
  <si>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</si>
  <si>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</si>
  <si>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</si>
  <si>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</si>
  <si>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</si>
  <si>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</si>
  <si>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</si>
  <si>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</si>
  <si>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</si>
  <si>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</si>
  <si>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</si>
  <si>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</si>
  <si>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</si>
  <si>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</si>
  <si>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</si>
  <si>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</si>
  <si>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</si>
  <si>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</si>
  <si>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</si>
  <si>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</si>
  <si>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</si>
  <si>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</si>
  <si>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</si>
  <si>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</si>
  <si>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</si>
  <si>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</si>
  <si>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</si>
  <si>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</si>
  <si>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</si>
  <si>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</si>
  <si>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</si>
  <si>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</si>
  <si>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</si>
  <si>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</si>
  <si>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</si>
  <si>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</si>
  <si>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</si>
  <si>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</si>
  <si>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</si>
  <si>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</si>
  <si>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</si>
  <si>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</si>
  <si>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</si>
  <si>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</si>
  <si>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</si>
  <si>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</si>
  <si>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</si>
  <si>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</si>
  <si>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</si>
  <si>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</si>
  <si>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</si>
  <si>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</si>
  <si>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</si>
  <si>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</si>
  <si>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</si>
  <si>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</si>
  <si>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</si>
  <si>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</si>
  <si>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</si>
  <si>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</si>
  <si>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</si>
  <si>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</si>
  <si>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</si>
  <si>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</si>
  <si>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</si>
  <si>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</si>
  <si>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</si>
  <si>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</si>
  <si>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</si>
  <si>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</si>
  <si>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</si>
  <si>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</si>
  <si>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</si>
  <si>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</si>
  <si>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</si>
  <si>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</si>
  <si>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</si>
  <si>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</si>
  <si>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</si>
  <si>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</si>
  <si>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</si>
  <si>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</si>
  <si>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</si>
  <si>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</si>
  <si>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</si>
  <si>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</si>
  <si>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</si>
  <si>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</si>
  <si>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</si>
  <si>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</si>
  <si>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</si>
  <si>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</si>
  <si>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</si>
  <si>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</si>
  <si>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</si>
  <si>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</si>
  <si>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</si>
  <si>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</si>
  <si>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</si>
  <si>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</si>
  <si>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</si>
  <si>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</si>
  <si>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</si>
  <si>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</si>
  <si>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</si>
  <si>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</si>
  <si>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</si>
  <si>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</si>
  <si>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</si>
  <si>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</si>
  <si>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</si>
  <si>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</si>
  <si>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</si>
  <si>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</si>
  <si>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</si>
  <si>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</si>
  <si>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</si>
  <si>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</si>
  <si>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</si>
  <si>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</si>
  <si>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</si>
  <si>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</si>
  <si>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</si>
  <si>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</si>
  <si>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</si>
  <si>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</si>
  <si>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</si>
  <si>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</si>
  <si>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</si>
  <si>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</si>
  <si>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</si>
  <si>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</si>
  <si>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</si>
  <si>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</si>
  <si>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</si>
  <si>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</si>
  <si>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</si>
  <si>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</si>
  <si>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</si>
  <si>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</si>
  <si>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</si>
  <si>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</si>
  <si>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</si>
  <si>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</si>
  <si>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</si>
  <si>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</si>
  <si>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</si>
  <si>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</si>
  <si>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</si>
  <si>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</si>
  <si>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</si>
  <si>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</si>
  <si>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</si>
  <si>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</si>
  <si>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</si>
  <si>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</si>
  <si>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</si>
  <si>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</si>
  <si>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</si>
  <si>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</si>
  <si>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</si>
  <si>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</si>
  <si>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</si>
  <si>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</si>
  <si>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</si>
  <si>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</si>
  <si>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</si>
  <si>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</si>
  <si>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</si>
  <si>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</si>
  <si>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</si>
  <si>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</si>
  <si>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</si>
  <si>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</si>
  <si>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</si>
  <si>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</si>
  <si>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</si>
  <si>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</si>
  <si>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</si>
  <si>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</si>
  <si>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</si>
  <si>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</si>
  <si>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</si>
  <si>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</si>
  <si>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</si>
  <si>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</si>
  <si>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</si>
  <si>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</si>
  <si>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</si>
  <si>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</si>
  <si>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</si>
  <si>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</si>
  <si>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</si>
  <si>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</si>
  <si>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</si>
  <si>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</si>
  <si>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</si>
  <si>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</si>
  <si>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</si>
  <si>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</si>
  <si>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</si>
  <si>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</si>
  <si>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</si>
  <si>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</si>
  <si>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</si>
  <si>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</si>
  <si>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</si>
  <si>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</si>
  <si>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</si>
  <si>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</si>
  <si>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</si>
  <si>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</si>
  <si>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</si>
  <si>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</si>
  <si>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</si>
  <si>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</si>
  <si>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</si>
  <si>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</si>
  <si>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</si>
  <si>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</si>
  <si>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</si>
  <si>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</si>
  <si>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</si>
  <si>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</si>
  <si>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</si>
  <si>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</si>
  <si>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</si>
  <si>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</si>
  <si>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</si>
  <si>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</si>
  <si>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</si>
  <si>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</si>
  <si>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</si>
  <si>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</si>
  <si>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</si>
  <si>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</si>
  <si>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</si>
  <si>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</si>
  <si>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</si>
  <si>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</si>
  <si>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</si>
  <si>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</si>
  <si>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</si>
  <si>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</si>
  <si>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</si>
  <si>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</si>
  <si>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</si>
  <si>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</si>
  <si>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</si>
  <si>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</si>
  <si>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</si>
  <si>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</si>
  <si>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</si>
  <si>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</si>
  <si>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</si>
  <si>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</si>
  <si>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</si>
  <si>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</si>
  <si>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</si>
  <si>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</si>
  <si>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</si>
  <si>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</si>
  <si>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</si>
  <si>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</si>
  <si>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</si>
  <si>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</si>
  <si>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</si>
  <si>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</si>
  <si>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</si>
  <si>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</si>
  <si>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</si>
  <si>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</si>
  <si>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</si>
  <si>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</si>
  <si>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</si>
  <si>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</si>
  <si>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</si>
  <si>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</si>
  <si>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</si>
  <si>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</si>
  <si>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</si>
  <si>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</si>
  <si>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</si>
  <si>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</si>
  <si>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</si>
  <si>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</si>
  <si>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</si>
  <si>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</si>
  <si>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</si>
  <si>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</si>
  <si>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</si>
  <si>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</si>
  <si>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</si>
  <si>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</si>
  <si>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</si>
  <si>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</si>
  <si>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</si>
  <si>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</si>
  <si>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</si>
  <si>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</si>
  <si>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</si>
  <si>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</si>
  <si>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</si>
  <si>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</si>
  <si>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</si>
  <si>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</si>
  <si>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</si>
  <si>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</si>
  <si>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</si>
  <si>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</si>
  <si>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</si>
  <si>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</si>
  <si>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</si>
  <si>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</si>
  <si>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</si>
  <si>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</si>
  <si>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</si>
  <si>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</si>
  <si>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</si>
  <si>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</si>
  <si>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</si>
  <si>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</si>
  <si>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</si>
  <si>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</si>
  <si>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</si>
  <si>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</si>
  <si>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</si>
  <si>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</si>
  <si>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</si>
  <si>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</si>
  <si>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</si>
  <si>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</si>
  <si>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</si>
  <si>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</si>
  <si>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</si>
  <si>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</si>
  <si>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</si>
  <si>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</si>
  <si>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</si>
  <si>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</si>
  <si>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</si>
  <si>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</si>
  <si>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</si>
  <si>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</si>
  <si>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</si>
  <si>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</si>
  <si>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</si>
  <si>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</si>
  <si>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</si>
  <si>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</si>
  <si>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</si>
  <si>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</si>
  <si>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</si>
  <si>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</si>
  <si>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</si>
  <si>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</si>
  <si>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</si>
  <si>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</si>
  <si>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</si>
  <si>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</si>
  <si>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</si>
  <si>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</si>
  <si>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</si>
  <si>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</si>
  <si>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</si>
  <si>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</si>
  <si>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</si>
  <si>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</si>
  <si>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</si>
  <si>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</si>
  <si>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</si>
  <si>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</si>
  <si>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</si>
  <si>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</si>
  <si>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</si>
  <si>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</si>
  <si>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</si>
  <si>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</si>
  <si>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</si>
  <si>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</si>
  <si>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</si>
  <si>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</si>
  <si>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</si>
  <si>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</si>
  <si>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</si>
  <si>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</si>
  <si>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</si>
  <si>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</si>
  <si>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</si>
  <si>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</si>
  <si>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</si>
  <si>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</si>
  <si>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</si>
  <si>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</si>
  <si>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</si>
  <si>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</si>
  <si>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</si>
  <si>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</si>
  <si>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</si>
  <si>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</si>
  <si>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</si>
  <si>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</si>
  <si>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</si>
  <si>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</si>
  <si>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</si>
  <si>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</si>
  <si>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</si>
  <si>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</si>
  <si>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</si>
  <si>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</si>
  <si>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</si>
  <si>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</si>
  <si>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</si>
  <si>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</si>
  <si>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</si>
  <si>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</si>
  <si>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</si>
  <si>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</si>
  <si>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</si>
  <si>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</si>
  <si>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</si>
  <si>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</si>
  <si>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</si>
  <si>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</si>
  <si>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</si>
  <si>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</si>
  <si>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</si>
  <si>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</si>
  <si>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</si>
  <si>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</si>
  <si>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</si>
  <si>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</si>
  <si>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</si>
  <si>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</si>
  <si>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</si>
  <si>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</si>
  <si>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</si>
  <si>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</si>
  <si>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</si>
  <si>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</si>
  <si>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</si>
  <si>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</si>
  <si>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</si>
  <si>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</si>
  <si>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</si>
  <si>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</si>
  <si>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</si>
  <si>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</si>
  <si>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</si>
  <si>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</si>
  <si>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</si>
  <si>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</si>
  <si>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</si>
  <si>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</si>
  <si>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</si>
  <si>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</si>
  <si>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</si>
  <si>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</si>
  <si>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</si>
  <si>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</si>
  <si>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</si>
  <si>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</si>
  <si>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</si>
  <si>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</si>
  <si>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</si>
  <si>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</si>
  <si>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</si>
  <si>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</si>
  <si>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</si>
  <si>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</si>
  <si>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</si>
  <si>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</si>
  <si>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</si>
  <si>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</si>
  <si>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</si>
  <si>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</si>
  <si>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</si>
  <si>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</si>
  <si>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</si>
  <si>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</si>
  <si>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</si>
  <si>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</si>
  <si>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</si>
  <si>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</si>
  <si>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</si>
  <si>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</si>
  <si>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</si>
  <si>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</si>
  <si>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</si>
  <si>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</si>
  <si>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</si>
  <si>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</si>
  <si>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</si>
  <si>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</si>
  <si>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</si>
  <si>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</si>
  <si>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</si>
  <si>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</si>
  <si>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</si>
  <si>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</si>
  <si>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</si>
  <si>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</si>
  <si>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</si>
  <si>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</si>
  <si>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</si>
  <si>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</si>
  <si>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</si>
  <si>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</si>
  <si>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</si>
  <si>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</si>
  <si>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</si>
  <si>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</si>
  <si>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</si>
  <si>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</si>
  <si>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</si>
  <si>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</si>
  <si>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</si>
  <si>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</si>
  <si>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</si>
  <si>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</si>
  <si>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</si>
  <si>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</si>
  <si>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</si>
  <si>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</si>
  <si>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</si>
  <si>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</si>
  <si>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</si>
  <si>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</si>
  <si>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</si>
  <si>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</si>
  <si>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</si>
  <si>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</si>
  <si>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</si>
  <si>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</si>
  <si>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</si>
  <si>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</si>
  <si>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</si>
  <si>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</si>
  <si>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</si>
  <si>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</si>
  <si>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</si>
  <si>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</si>
  <si>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</si>
  <si>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</si>
  <si>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</si>
  <si>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44048</t>
  </si>
  <si>
    <t>NAZARETH</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</si>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</sst>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B1CEB35A-73B9-4928-A356-2562AA764371}"/>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101766.04767745959</c:v>
                </c:pt>
                <c:pt idx="1">
                  <c:v>47397.148238864756</c:v>
                </c:pt>
                <c:pt idx="2">
                  <c:v>997.72</c:v>
                </c:pt>
                <c:pt idx="3">
                  <c:v>7966.9463453582648</c:v>
                </c:pt>
                <c:pt idx="4">
                  <c:v>111042.27574051773</c:v>
                </c:pt>
                <c:pt idx="5">
                  <c:v>374898.78686317342</c:v>
                </c:pt>
                <c:pt idx="6">
                  <c:v>812.12448189599195</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101766.04767745959</c:v>
                </c:pt>
                <c:pt idx="1">
                  <c:v>47397.148238864756</c:v>
                </c:pt>
                <c:pt idx="2">
                  <c:v>997.72</c:v>
                </c:pt>
                <c:pt idx="3">
                  <c:v>7966.9463453582648</c:v>
                </c:pt>
                <c:pt idx="4">
                  <c:v>111042.27574051773</c:v>
                </c:pt>
                <c:pt idx="5">
                  <c:v>374898.78686317342</c:v>
                </c:pt>
                <c:pt idx="6">
                  <c:v>812.12448189599195</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22770.291196483617</c:v>
                </c:pt>
                <c:pt idx="2">
                  <c:v>9860.37789207272</c:v>
                </c:pt>
                <c:pt idx="3">
                  <c:v>207.49521253301205</c:v>
                </c:pt>
                <c:pt idx="4">
                  <c:v>1996.9814021604623</c:v>
                </c:pt>
                <c:pt idx="5">
                  <c:v>23108.515648795586</c:v>
                </c:pt>
                <c:pt idx="6">
                  <c:v>94147.053818592074</c:v>
                </c:pt>
                <c:pt idx="7">
                  <c:v>204.85440875621913</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22770.291196483617</c:v>
                </c:pt>
                <c:pt idx="2">
                  <c:v>9860.37789207272</c:v>
                </c:pt>
                <c:pt idx="3">
                  <c:v>207.49521253301205</c:v>
                </c:pt>
                <c:pt idx="4">
                  <c:v>1996.9814021604623</c:v>
                </c:pt>
                <c:pt idx="5">
                  <c:v>23108.515648795586</c:v>
                </c:pt>
                <c:pt idx="6">
                  <c:v>94147.053818592074</c:v>
                </c:pt>
                <c:pt idx="7">
                  <c:v>204.85440875621913</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44048</v>
      </c>
      <c r="B6" s="381"/>
      <c r="C6" s="382"/>
    </row>
    <row r="7" spans="1:7" s="379" customFormat="1" ht="15.75" customHeight="1">
      <c r="A7" s="383" t="str">
        <f>txtMunicipality</f>
        <v>NAZARETH</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0.20796938272562648</v>
      </c>
      <c r="C17" s="489">
        <f ca="1">'EF ele_warmte'!B22</f>
        <v>0.23764705882352946</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0.20796938272562648</v>
      </c>
      <c r="C29" s="490">
        <f ca="1">'EF ele_warmte'!B22</f>
        <v>0.23764705882352946</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4583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2034</v>
      </c>
      <c r="C14" s="322"/>
      <c r="D14" s="322"/>
      <c r="E14" s="322"/>
      <c r="F14" s="322"/>
    </row>
    <row r="15" spans="1:6">
      <c r="A15" s="1261" t="s">
        <v>177</v>
      </c>
      <c r="B15" s="1262">
        <v>47</v>
      </c>
      <c r="C15" s="322"/>
      <c r="D15" s="322"/>
      <c r="E15" s="322"/>
      <c r="F15" s="322"/>
    </row>
    <row r="16" spans="1:6">
      <c r="A16" s="1261" t="s">
        <v>6</v>
      </c>
      <c r="B16" s="1262">
        <v>1433</v>
      </c>
      <c r="C16" s="322"/>
      <c r="D16" s="322"/>
      <c r="E16" s="322"/>
      <c r="F16" s="322"/>
    </row>
    <row r="17" spans="1:6">
      <c r="A17" s="1261" t="s">
        <v>7</v>
      </c>
      <c r="B17" s="1262">
        <v>520</v>
      </c>
      <c r="C17" s="322"/>
      <c r="D17" s="322"/>
      <c r="E17" s="322"/>
      <c r="F17" s="322"/>
    </row>
    <row r="18" spans="1:6">
      <c r="A18" s="1261" t="s">
        <v>8</v>
      </c>
      <c r="B18" s="1262">
        <v>1114</v>
      </c>
      <c r="C18" s="322"/>
      <c r="D18" s="322"/>
      <c r="E18" s="322"/>
      <c r="F18" s="322"/>
    </row>
    <row r="19" spans="1:6">
      <c r="A19" s="1261" t="s">
        <v>9</v>
      </c>
      <c r="B19" s="1262">
        <v>1164</v>
      </c>
      <c r="C19" s="322"/>
      <c r="D19" s="322"/>
      <c r="E19" s="322"/>
      <c r="F19" s="322"/>
    </row>
    <row r="20" spans="1:6">
      <c r="A20" s="1261" t="s">
        <v>10</v>
      </c>
      <c r="B20" s="1262">
        <v>748</v>
      </c>
      <c r="C20" s="322"/>
      <c r="D20" s="322"/>
      <c r="E20" s="322"/>
      <c r="F20" s="322"/>
    </row>
    <row r="21" spans="1:6">
      <c r="A21" s="1261" t="s">
        <v>11</v>
      </c>
      <c r="B21" s="1262">
        <v>10501</v>
      </c>
      <c r="C21" s="322"/>
      <c r="D21" s="322"/>
      <c r="E21" s="322"/>
      <c r="F21" s="322"/>
    </row>
    <row r="22" spans="1:6">
      <c r="A22" s="1261" t="s">
        <v>12</v>
      </c>
      <c r="B22" s="1262">
        <v>20104</v>
      </c>
      <c r="C22" s="322"/>
      <c r="D22" s="322"/>
      <c r="E22" s="322"/>
      <c r="F22" s="322"/>
    </row>
    <row r="23" spans="1:6">
      <c r="A23" s="1261" t="s">
        <v>13</v>
      </c>
      <c r="B23" s="1262">
        <v>182</v>
      </c>
      <c r="C23" s="322"/>
      <c r="D23" s="322"/>
      <c r="E23" s="322"/>
      <c r="F23" s="322"/>
    </row>
    <row r="24" spans="1:6">
      <c r="A24" s="1261" t="s">
        <v>14</v>
      </c>
      <c r="B24" s="1262">
        <v>10</v>
      </c>
      <c r="C24" s="322"/>
      <c r="D24" s="322"/>
      <c r="E24" s="322"/>
      <c r="F24" s="322"/>
    </row>
    <row r="25" spans="1:6">
      <c r="A25" s="1261" t="s">
        <v>15</v>
      </c>
      <c r="B25" s="1262">
        <v>1036</v>
      </c>
      <c r="C25" s="322"/>
      <c r="D25" s="322"/>
      <c r="E25" s="322"/>
      <c r="F25" s="322"/>
    </row>
    <row r="26" spans="1:6">
      <c r="A26" s="1261" t="s">
        <v>16</v>
      </c>
      <c r="B26" s="1262">
        <v>99</v>
      </c>
      <c r="C26" s="322"/>
      <c r="D26" s="322"/>
      <c r="E26" s="322"/>
      <c r="F26" s="322"/>
    </row>
    <row r="27" spans="1:6">
      <c r="A27" s="1261" t="s">
        <v>17</v>
      </c>
      <c r="B27" s="1262">
        <v>0</v>
      </c>
      <c r="C27" s="322"/>
      <c r="D27" s="322"/>
      <c r="E27" s="322"/>
      <c r="F27" s="322"/>
    </row>
    <row r="28" spans="1:6">
      <c r="A28" s="1261" t="s">
        <v>18</v>
      </c>
      <c r="B28" s="1263">
        <v>69778</v>
      </c>
      <c r="C28" s="322"/>
      <c r="D28" s="322"/>
      <c r="E28" s="322"/>
      <c r="F28" s="322"/>
    </row>
    <row r="29" spans="1:6">
      <c r="A29" s="1261" t="s">
        <v>901</v>
      </c>
      <c r="B29" s="1263">
        <v>149</v>
      </c>
      <c r="C29" s="322"/>
      <c r="D29" s="322"/>
      <c r="E29" s="322"/>
      <c r="F29" s="322"/>
    </row>
    <row r="30" spans="1:6">
      <c r="A30" s="1256" t="s">
        <v>902</v>
      </c>
      <c r="B30" s="1264">
        <v>35</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1</v>
      </c>
      <c r="D38" s="1262">
        <v>18325.6069937352</v>
      </c>
      <c r="E38" s="1262">
        <v>3</v>
      </c>
      <c r="F38" s="1262">
        <v>23909.01</v>
      </c>
    </row>
    <row r="39" spans="1:6">
      <c r="A39" s="1261" t="s">
        <v>29</v>
      </c>
      <c r="B39" s="1261" t="s">
        <v>30</v>
      </c>
      <c r="C39" s="1262">
        <v>1464</v>
      </c>
      <c r="D39" s="1262">
        <v>19773224.751166198</v>
      </c>
      <c r="E39" s="1262">
        <v>4358</v>
      </c>
      <c r="F39" s="1262">
        <v>21881917</v>
      </c>
    </row>
    <row r="40" spans="1:6">
      <c r="A40" s="1261" t="s">
        <v>29</v>
      </c>
      <c r="B40" s="1261" t="s">
        <v>28</v>
      </c>
      <c r="C40" s="1262">
        <v>0</v>
      </c>
      <c r="D40" s="1262">
        <v>0</v>
      </c>
      <c r="E40" s="1262">
        <v>1</v>
      </c>
      <c r="F40" s="1262">
        <v>99</v>
      </c>
    </row>
    <row r="41" spans="1:6">
      <c r="A41" s="1261" t="s">
        <v>31</v>
      </c>
      <c r="B41" s="1261" t="s">
        <v>32</v>
      </c>
      <c r="C41" s="1262">
        <v>14</v>
      </c>
      <c r="D41" s="1262">
        <v>259904.94694251401</v>
      </c>
      <c r="E41" s="1262">
        <v>140</v>
      </c>
      <c r="F41" s="1262">
        <v>2890381</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10</v>
      </c>
      <c r="F44" s="1262">
        <v>474062.9</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4</v>
      </c>
      <c r="F47" s="1262">
        <v>1566570</v>
      </c>
    </row>
    <row r="48" spans="1:6">
      <c r="A48" s="1261" t="s">
        <v>31</v>
      </c>
      <c r="B48" s="1261" t="s">
        <v>28</v>
      </c>
      <c r="C48" s="1262">
        <v>28</v>
      </c>
      <c r="D48" s="1262">
        <v>44305670.619787</v>
      </c>
      <c r="E48" s="1262">
        <v>40</v>
      </c>
      <c r="F48" s="1262">
        <v>43633766</v>
      </c>
    </row>
    <row r="49" spans="1:6">
      <c r="A49" s="1261" t="s">
        <v>31</v>
      </c>
      <c r="B49" s="1261" t="s">
        <v>39</v>
      </c>
      <c r="C49" s="1262">
        <v>0</v>
      </c>
      <c r="D49" s="1262">
        <v>0</v>
      </c>
      <c r="E49" s="1262">
        <v>0</v>
      </c>
      <c r="F49" s="1262">
        <v>0</v>
      </c>
    </row>
    <row r="50" spans="1:6">
      <c r="A50" s="1261" t="s">
        <v>31</v>
      </c>
      <c r="B50" s="1261" t="s">
        <v>40</v>
      </c>
      <c r="C50" s="1262">
        <v>0</v>
      </c>
      <c r="D50" s="1262">
        <v>0</v>
      </c>
      <c r="E50" s="1262">
        <v>5</v>
      </c>
      <c r="F50" s="1262">
        <v>1139826</v>
      </c>
    </row>
    <row r="51" spans="1:6">
      <c r="A51" s="1261" t="s">
        <v>41</v>
      </c>
      <c r="B51" s="1261" t="s">
        <v>42</v>
      </c>
      <c r="C51" s="1262">
        <v>3</v>
      </c>
      <c r="D51" s="1262">
        <v>51811.588233132701</v>
      </c>
      <c r="E51" s="1262">
        <v>112</v>
      </c>
      <c r="F51" s="1262">
        <v>1616493</v>
      </c>
    </row>
    <row r="52" spans="1:6">
      <c r="A52" s="1261" t="s">
        <v>41</v>
      </c>
      <c r="B52" s="1261" t="s">
        <v>28</v>
      </c>
      <c r="C52" s="1262">
        <v>4</v>
      </c>
      <c r="D52" s="1262">
        <v>700811.50075878203</v>
      </c>
      <c r="E52" s="1262">
        <v>4</v>
      </c>
      <c r="F52" s="1262">
        <v>54520.27</v>
      </c>
    </row>
    <row r="53" spans="1:6">
      <c r="A53" s="1261" t="s">
        <v>43</v>
      </c>
      <c r="B53" s="1261" t="s">
        <v>44</v>
      </c>
      <c r="C53" s="1262">
        <v>44</v>
      </c>
      <c r="D53" s="1262">
        <v>845250.77917984698</v>
      </c>
      <c r="E53" s="1262">
        <v>132</v>
      </c>
      <c r="F53" s="1262">
        <v>673989.1</v>
      </c>
    </row>
    <row r="54" spans="1:6">
      <c r="A54" s="1261" t="s">
        <v>45</v>
      </c>
      <c r="B54" s="1261" t="s">
        <v>46</v>
      </c>
      <c r="C54" s="1262">
        <v>0</v>
      </c>
      <c r="D54" s="1262">
        <v>0</v>
      </c>
      <c r="E54" s="1262">
        <v>1</v>
      </c>
      <c r="F54" s="1262">
        <v>997720</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7</v>
      </c>
      <c r="D57" s="1262">
        <v>217275.6547629</v>
      </c>
      <c r="E57" s="1262">
        <v>51</v>
      </c>
      <c r="F57" s="1262">
        <v>760200.3</v>
      </c>
    </row>
    <row r="58" spans="1:6">
      <c r="A58" s="1261" t="s">
        <v>48</v>
      </c>
      <c r="B58" s="1261" t="s">
        <v>50</v>
      </c>
      <c r="C58" s="1262">
        <v>3</v>
      </c>
      <c r="D58" s="1262">
        <v>113517.918251364</v>
      </c>
      <c r="E58" s="1262">
        <v>18</v>
      </c>
      <c r="F58" s="1262">
        <v>926361.5</v>
      </c>
    </row>
    <row r="59" spans="1:6">
      <c r="A59" s="1261" t="s">
        <v>48</v>
      </c>
      <c r="B59" s="1261" t="s">
        <v>51</v>
      </c>
      <c r="C59" s="1262">
        <v>27</v>
      </c>
      <c r="D59" s="1262">
        <v>3080785.5549402898</v>
      </c>
      <c r="E59" s="1262">
        <v>189</v>
      </c>
      <c r="F59" s="1262">
        <v>6243284</v>
      </c>
    </row>
    <row r="60" spans="1:6">
      <c r="A60" s="1261" t="s">
        <v>48</v>
      </c>
      <c r="B60" s="1261" t="s">
        <v>52</v>
      </c>
      <c r="C60" s="1262">
        <v>17</v>
      </c>
      <c r="D60" s="1262">
        <v>614989.29078114696</v>
      </c>
      <c r="E60" s="1262">
        <v>41</v>
      </c>
      <c r="F60" s="1262">
        <v>1516047</v>
      </c>
    </row>
    <row r="61" spans="1:6">
      <c r="A61" s="1261" t="s">
        <v>48</v>
      </c>
      <c r="B61" s="1261" t="s">
        <v>53</v>
      </c>
      <c r="C61" s="1262">
        <v>68</v>
      </c>
      <c r="D61" s="1262">
        <v>3362405.4971413398</v>
      </c>
      <c r="E61" s="1262">
        <v>247</v>
      </c>
      <c r="F61" s="1262">
        <v>3686600</v>
      </c>
    </row>
    <row r="62" spans="1:6">
      <c r="A62" s="1261" t="s">
        <v>48</v>
      </c>
      <c r="B62" s="1261" t="s">
        <v>54</v>
      </c>
      <c r="C62" s="1262">
        <v>4</v>
      </c>
      <c r="D62" s="1262">
        <v>241093.12336163301</v>
      </c>
      <c r="E62" s="1262">
        <v>9</v>
      </c>
      <c r="F62" s="1262">
        <v>235495.3</v>
      </c>
    </row>
    <row r="63" spans="1:6">
      <c r="A63" s="1261" t="s">
        <v>48</v>
      </c>
      <c r="B63" s="1261" t="s">
        <v>28</v>
      </c>
      <c r="C63" s="1262">
        <v>75</v>
      </c>
      <c r="D63" s="1262">
        <v>6341907.7605020097</v>
      </c>
      <c r="E63" s="1262">
        <v>125</v>
      </c>
      <c r="F63" s="1262">
        <v>14015624</v>
      </c>
    </row>
    <row r="64" spans="1:6">
      <c r="A64" s="1261" t="s">
        <v>55</v>
      </c>
      <c r="B64" s="1261" t="s">
        <v>56</v>
      </c>
      <c r="C64" s="1262">
        <v>0</v>
      </c>
      <c r="D64" s="1262">
        <v>0</v>
      </c>
      <c r="E64" s="1262">
        <v>0</v>
      </c>
      <c r="F64" s="1262">
        <v>0</v>
      </c>
    </row>
    <row r="65" spans="1:6">
      <c r="A65" s="1261" t="s">
        <v>55</v>
      </c>
      <c r="B65" s="1261" t="s">
        <v>28</v>
      </c>
      <c r="C65" s="1262">
        <v>3</v>
      </c>
      <c r="D65" s="1262">
        <v>140346.97464912201</v>
      </c>
      <c r="E65" s="1262">
        <v>5</v>
      </c>
      <c r="F65" s="1262">
        <v>34862.46</v>
      </c>
    </row>
    <row r="66" spans="1:6">
      <c r="A66" s="1261" t="s">
        <v>55</v>
      </c>
      <c r="B66" s="1261" t="s">
        <v>57</v>
      </c>
      <c r="C66" s="1262">
        <v>0</v>
      </c>
      <c r="D66" s="1262">
        <v>0</v>
      </c>
      <c r="E66" s="1262">
        <v>6</v>
      </c>
      <c r="F66" s="1262">
        <v>582847.9</v>
      </c>
    </row>
    <row r="67" spans="1:6">
      <c r="A67" s="1261" t="s">
        <v>55</v>
      </c>
      <c r="B67" s="1261" t="s">
        <v>58</v>
      </c>
      <c r="C67" s="1262">
        <v>0</v>
      </c>
      <c r="D67" s="1262">
        <v>0</v>
      </c>
      <c r="E67" s="1262">
        <v>0</v>
      </c>
      <c r="F67" s="1262">
        <v>0</v>
      </c>
    </row>
    <row r="68" spans="1:6">
      <c r="A68" s="1256" t="s">
        <v>55</v>
      </c>
      <c r="B68" s="1256" t="s">
        <v>59</v>
      </c>
      <c r="C68" s="1264">
        <v>0</v>
      </c>
      <c r="D68" s="1264">
        <v>0</v>
      </c>
      <c r="E68" s="1264">
        <v>9</v>
      </c>
      <c r="F68" s="1264">
        <v>1966895</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93096809</v>
      </c>
      <c r="E73" s="440"/>
      <c r="F73" s="322"/>
    </row>
    <row r="74" spans="1:6">
      <c r="A74" s="1261" t="s">
        <v>63</v>
      </c>
      <c r="B74" s="1261" t="s">
        <v>670</v>
      </c>
      <c r="C74" s="1274" t="s">
        <v>672</v>
      </c>
      <c r="D74" s="1262">
        <v>12482230.602322385</v>
      </c>
      <c r="E74" s="440"/>
      <c r="F74" s="322"/>
    </row>
    <row r="75" spans="1:6">
      <c r="A75" s="1261" t="s">
        <v>64</v>
      </c>
      <c r="B75" s="1261" t="s">
        <v>669</v>
      </c>
      <c r="C75" s="1274" t="s">
        <v>673</v>
      </c>
      <c r="D75" s="1262">
        <v>22484775</v>
      </c>
      <c r="E75" s="440"/>
      <c r="F75" s="322"/>
    </row>
    <row r="76" spans="1:6">
      <c r="A76" s="1261" t="s">
        <v>64</v>
      </c>
      <c r="B76" s="1261" t="s">
        <v>670</v>
      </c>
      <c r="C76" s="1274" t="s">
        <v>674</v>
      </c>
      <c r="D76" s="1262">
        <v>2296302.6023223852</v>
      </c>
      <c r="E76" s="440"/>
      <c r="F76" s="322"/>
    </row>
    <row r="77" spans="1:6">
      <c r="A77" s="1261" t="s">
        <v>65</v>
      </c>
      <c r="B77" s="1261" t="s">
        <v>669</v>
      </c>
      <c r="C77" s="1274" t="s">
        <v>675</v>
      </c>
      <c r="D77" s="1262">
        <v>186600692</v>
      </c>
      <c r="E77" s="440"/>
      <c r="F77" s="322"/>
    </row>
    <row r="78" spans="1:6">
      <c r="A78" s="1256" t="s">
        <v>65</v>
      </c>
      <c r="B78" s="1256" t="s">
        <v>670</v>
      </c>
      <c r="C78" s="1256" t="s">
        <v>676</v>
      </c>
      <c r="D78" s="1264">
        <v>49661893</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218122.79535522946</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2478.0265460148962</v>
      </c>
      <c r="C91" s="322"/>
      <c r="D91" s="322"/>
      <c r="E91" s="322"/>
      <c r="F91" s="322"/>
    </row>
    <row r="92" spans="1:6">
      <c r="A92" s="1256" t="s">
        <v>68</v>
      </c>
      <c r="B92" s="1257">
        <v>3824.5222421099247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273</v>
      </c>
      <c r="C97" s="322"/>
      <c r="D97" s="322"/>
      <c r="E97" s="322"/>
      <c r="F97" s="322"/>
    </row>
    <row r="98" spans="1:6">
      <c r="A98" s="1261" t="s">
        <v>71</v>
      </c>
      <c r="B98" s="1262">
        <v>0</v>
      </c>
      <c r="C98" s="322"/>
      <c r="D98" s="322"/>
      <c r="E98" s="322"/>
      <c r="F98" s="322"/>
    </row>
    <row r="99" spans="1:6">
      <c r="A99" s="1261" t="s">
        <v>72</v>
      </c>
      <c r="B99" s="1262">
        <v>63</v>
      </c>
      <c r="C99" s="322"/>
      <c r="D99" s="322"/>
      <c r="E99" s="322"/>
      <c r="F99" s="322"/>
    </row>
    <row r="100" spans="1:6">
      <c r="A100" s="1261" t="s">
        <v>73</v>
      </c>
      <c r="B100" s="1262">
        <v>633</v>
      </c>
      <c r="C100" s="322"/>
      <c r="D100" s="322"/>
      <c r="E100" s="322"/>
      <c r="F100" s="322"/>
    </row>
    <row r="101" spans="1:6">
      <c r="A101" s="1261" t="s">
        <v>74</v>
      </c>
      <c r="B101" s="1262">
        <v>90</v>
      </c>
      <c r="C101" s="322"/>
      <c r="D101" s="322"/>
      <c r="E101" s="322"/>
      <c r="F101" s="322"/>
    </row>
    <row r="102" spans="1:6">
      <c r="A102" s="1261" t="s">
        <v>75</v>
      </c>
      <c r="B102" s="1262">
        <v>66</v>
      </c>
      <c r="C102" s="322"/>
      <c r="D102" s="322"/>
      <c r="E102" s="322"/>
      <c r="F102" s="322"/>
    </row>
    <row r="103" spans="1:6">
      <c r="A103" s="1261" t="s">
        <v>76</v>
      </c>
      <c r="B103" s="1262">
        <v>140</v>
      </c>
      <c r="C103" s="322"/>
      <c r="D103" s="322"/>
      <c r="E103" s="322"/>
      <c r="F103" s="322"/>
    </row>
    <row r="104" spans="1:6">
      <c r="A104" s="1261" t="s">
        <v>77</v>
      </c>
      <c r="B104" s="1262">
        <v>2713</v>
      </c>
      <c r="C104" s="322"/>
      <c r="D104" s="322"/>
      <c r="E104" s="322"/>
      <c r="F104" s="322"/>
    </row>
    <row r="105" spans="1:6">
      <c r="A105" s="1256" t="s">
        <v>78</v>
      </c>
      <c r="B105" s="1264">
        <v>11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1</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35</v>
      </c>
      <c r="C123" s="1262">
        <v>13</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132</v>
      </c>
      <c r="C129" s="322"/>
      <c r="D129" s="322"/>
      <c r="E129" s="322"/>
      <c r="F129" s="322"/>
    </row>
    <row r="130" spans="1:6">
      <c r="A130" s="1261" t="s">
        <v>284</v>
      </c>
      <c r="B130" s="1262">
        <v>1</v>
      </c>
      <c r="C130" s="322"/>
      <c r="D130" s="322"/>
      <c r="E130" s="322"/>
      <c r="F130" s="322"/>
    </row>
    <row r="131" spans="1:6">
      <c r="A131" s="1261" t="s">
        <v>285</v>
      </c>
      <c r="B131" s="1262">
        <v>1</v>
      </c>
      <c r="C131" s="322"/>
      <c r="D131" s="322"/>
      <c r="E131" s="322"/>
      <c r="F131" s="322"/>
    </row>
    <row r="132" spans="1:6">
      <c r="A132" s="1256" t="s">
        <v>286</v>
      </c>
      <c r="B132" s="1257">
        <v>13</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105741.80027098201</v>
      </c>
      <c r="C3" s="43" t="s">
        <v>163</v>
      </c>
      <c r="D3" s="43"/>
      <c r="E3" s="153"/>
      <c r="F3" s="43"/>
      <c r="G3" s="43"/>
      <c r="H3" s="43"/>
      <c r="I3" s="43"/>
      <c r="J3" s="43"/>
      <c r="K3" s="96"/>
    </row>
    <row r="4" spans="1:11">
      <c r="A4" s="349" t="s">
        <v>164</v>
      </c>
      <c r="B4" s="49">
        <f>IF(ISERROR('SEAP template'!B78+'SEAP template'!C78),0,'SEAP template'!B78+'SEAP template'!C78)</f>
        <v>7202.5487881248209</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213.88235294117646</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0.20796938272562648</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305.54621848739504</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1285.7142857142858</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0.23764705882352946</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997.72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997.72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0.20796938272562648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207.49521253301205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21882.016</v>
      </c>
      <c r="C5" s="17">
        <f>IF(ISERROR('Eigen informatie GS &amp; warmtenet'!B57),0,'Eigen informatie GS &amp; warmtenet'!B57)</f>
        <v>0</v>
      </c>
      <c r="D5" s="30">
        <f>(SUM(HH_hh_gas_kWh,HH_rest_gas_kWh)/1000)*0.902</f>
        <v>17835.448725551913</v>
      </c>
      <c r="E5" s="17">
        <f>B32*B41</f>
        <v>1582.5682858991163</v>
      </c>
      <c r="F5" s="17">
        <f>B36*B45</f>
        <v>49925.092115214233</v>
      </c>
      <c r="G5" s="18"/>
      <c r="H5" s="17"/>
      <c r="I5" s="17"/>
      <c r="J5" s="17">
        <f>B35*B44+C35*C44</f>
        <v>1164.2512621359188</v>
      </c>
      <c r="K5" s="17"/>
      <c r="L5" s="17"/>
      <c r="M5" s="17"/>
      <c r="N5" s="17">
        <f>B34*B43+C34*C43</f>
        <v>5756.7614093101865</v>
      </c>
      <c r="O5" s="17">
        <f>B52*B53*B54</f>
        <v>226.68333333333334</v>
      </c>
      <c r="P5" s="17">
        <f>B60*B61*B62/1000-B60*B61*B62/1000/B63</f>
        <v>915.2</v>
      </c>
    </row>
    <row r="6" spans="1:16">
      <c r="A6" s="16" t="s">
        <v>593</v>
      </c>
      <c r="B6" s="717">
        <f>kWh_PV_kleiner_dan_10kW</f>
        <v>2478.0265460148962</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24360.042546014894</v>
      </c>
      <c r="C8" s="21">
        <f>C5</f>
        <v>0</v>
      </c>
      <c r="D8" s="21">
        <f>D5</f>
        <v>17835.448725551913</v>
      </c>
      <c r="E8" s="21">
        <f>E5</f>
        <v>1582.5682858991163</v>
      </c>
      <c r="F8" s="21">
        <f>F5</f>
        <v>49925.092115214233</v>
      </c>
      <c r="G8" s="21"/>
      <c r="H8" s="21"/>
      <c r="I8" s="21"/>
      <c r="J8" s="21">
        <f>J5</f>
        <v>1164.2512621359188</v>
      </c>
      <c r="K8" s="21"/>
      <c r="L8" s="21">
        <f>L5</f>
        <v>0</v>
      </c>
      <c r="M8" s="21">
        <f>M5</f>
        <v>0</v>
      </c>
      <c r="N8" s="21">
        <f>N5</f>
        <v>5756.7614093101865</v>
      </c>
      <c r="O8" s="21">
        <f>O5</f>
        <v>226.68333333333334</v>
      </c>
      <c r="P8" s="21">
        <f>P5</f>
        <v>915.2</v>
      </c>
    </row>
    <row r="9" spans="1:16">
      <c r="B9" s="19"/>
      <c r="C9" s="19"/>
      <c r="D9" s="253"/>
      <c r="E9" s="19"/>
      <c r="F9" s="19"/>
      <c r="G9" s="19"/>
      <c r="H9" s="19"/>
      <c r="I9" s="19"/>
      <c r="J9" s="19"/>
      <c r="K9" s="19"/>
      <c r="L9" s="19"/>
      <c r="M9" s="19"/>
      <c r="N9" s="19"/>
      <c r="O9" s="19"/>
      <c r="P9" s="19"/>
    </row>
    <row r="10" spans="1:16">
      <c r="A10" s="24" t="s">
        <v>207</v>
      </c>
      <c r="B10" s="25">
        <f ca="1">'EF ele_warmte'!B12</f>
        <v>0.20796938272562648</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5066.1430114647164</v>
      </c>
      <c r="C12" s="23">
        <f ca="1">C10*C8</f>
        <v>0</v>
      </c>
      <c r="D12" s="23">
        <f>D8*D10</f>
        <v>3602.7606425614867</v>
      </c>
      <c r="E12" s="23">
        <f>E10*E8</f>
        <v>359.2430008990994</v>
      </c>
      <c r="F12" s="23">
        <f>F10*F8</f>
        <v>13329.999594762201</v>
      </c>
      <c r="G12" s="23"/>
      <c r="H12" s="23"/>
      <c r="I12" s="23"/>
      <c r="J12" s="23">
        <f>J10*J8</f>
        <v>412.14494679611522</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4583</v>
      </c>
      <c r="C26" s="36"/>
      <c r="D26" s="224"/>
    </row>
    <row r="27" spans="1:5" s="15" customFormat="1">
      <c r="A27" s="226" t="s">
        <v>696</v>
      </c>
      <c r="B27" s="37">
        <f>SUM(HH_hh_gas_aantal,HH_rest_gas_aantal)</f>
        <v>1464</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1390.8</v>
      </c>
      <c r="C31" s="34" t="s">
        <v>104</v>
      </c>
      <c r="D31" s="170"/>
    </row>
    <row r="32" spans="1:5">
      <c r="A32" s="167" t="s">
        <v>72</v>
      </c>
      <c r="B32" s="33">
        <f>IF((B21*($B$26-($B$27-0.05*$B$27)-$B$60))&lt;0,0,B21*($B$26-($B$27-0.05*$B$27)-$B$60))</f>
        <v>19.824874137647104</v>
      </c>
      <c r="C32" s="34" t="s">
        <v>104</v>
      </c>
      <c r="D32" s="170"/>
    </row>
    <row r="33" spans="1:6">
      <c r="A33" s="167" t="s">
        <v>73</v>
      </c>
      <c r="B33" s="33">
        <f>IF((B22*($B$26-($B$27-0.05*$B$27)-$B$60))&lt;0,0,B22*($B$26-($B$27-0.05*$B$27)-$B$60))</f>
        <v>690.37413558062769</v>
      </c>
      <c r="C33" s="34" t="s">
        <v>104</v>
      </c>
      <c r="D33" s="170"/>
    </row>
    <row r="34" spans="1:6">
      <c r="A34" s="167" t="s">
        <v>74</v>
      </c>
      <c r="B34" s="33">
        <f>IF((B24*($B$26-($B$27-0.05*$B$27)-$B$60))&lt;0,0,B24*($B$26-($B$27-0.05*$B$27)-$B$60))</f>
        <v>137.03621174888593</v>
      </c>
      <c r="C34" s="33">
        <f>B26*C24</f>
        <v>937.68034455147881</v>
      </c>
      <c r="D34" s="229"/>
    </row>
    <row r="35" spans="1:6">
      <c r="A35" s="167" t="s">
        <v>76</v>
      </c>
      <c r="B35" s="33">
        <f>IF((B19*($B$26-($B$27-0.05*$B$27)-$B$60))&lt;0,0,B19*($B$26-($B$27-0.05*$B$27)-$B$60))</f>
        <v>66.949982630925163</v>
      </c>
      <c r="C35" s="33">
        <f>B35/2</f>
        <v>33.474991315462582</v>
      </c>
      <c r="D35" s="229"/>
    </row>
    <row r="36" spans="1:6">
      <c r="A36" s="167" t="s">
        <v>77</v>
      </c>
      <c r="B36" s="33">
        <f>IF((B18*($B$26-($B$27-0.05*$B$27)-$B$60))&lt;0,0,B18*($B$26-($B$27-0.05*$B$27)-$B$60))</f>
        <v>2230.014795901915</v>
      </c>
      <c r="C36" s="34" t="s">
        <v>104</v>
      </c>
      <c r="D36" s="170"/>
    </row>
    <row r="37" spans="1:6">
      <c r="A37" s="167" t="s">
        <v>78</v>
      </c>
      <c r="B37" s="33">
        <f>B60</f>
        <v>48</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145</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48</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27383.612099999998</v>
      </c>
      <c r="C5" s="17">
        <f>IF(ISERROR('Eigen informatie GS &amp; warmtenet'!B58),0,'Eigen informatie GS &amp; warmtenet'!B58)</f>
        <v>0</v>
      </c>
      <c r="D5" s="30">
        <f>SUM(D6:D12)</f>
        <v>12602.721269366099</v>
      </c>
      <c r="E5" s="17">
        <f>SUM(E6:E12)</f>
        <v>423.02530132306606</v>
      </c>
      <c r="F5" s="17">
        <f>SUM(F6:F12)</f>
        <v>5806.5859757061698</v>
      </c>
      <c r="G5" s="18"/>
      <c r="H5" s="17"/>
      <c r="I5" s="17"/>
      <c r="J5" s="17">
        <f>SUM(J6:J12)</f>
        <v>0</v>
      </c>
      <c r="K5" s="17"/>
      <c r="L5" s="17"/>
      <c r="M5" s="17"/>
      <c r="N5" s="17">
        <f>SUM(N6:N12)</f>
        <v>1546.2878781837151</v>
      </c>
      <c r="O5" s="17">
        <f>B38*B39*B40</f>
        <v>1.5633333333333335</v>
      </c>
      <c r="P5" s="17">
        <f>B46*B47*B48/1000-B46*B47*B48/1000/B49</f>
        <v>19.066666666666666</v>
      </c>
      <c r="R5" s="32"/>
    </row>
    <row r="6" spans="1:18">
      <c r="A6" s="32" t="s">
        <v>53</v>
      </c>
      <c r="B6" s="37">
        <f>B26</f>
        <v>3686.6</v>
      </c>
      <c r="C6" s="33"/>
      <c r="D6" s="37">
        <f>IF(ISERROR(TER_kantoor_gas_kWh/1000),0,TER_kantoor_gas_kWh/1000)*0.902</f>
        <v>3032.8897584214888</v>
      </c>
      <c r="E6" s="33">
        <f>$C$26*'E Balans VL '!I12/100/3.6*1000000</f>
        <v>5.1700842457837917E-2</v>
      </c>
      <c r="F6" s="33">
        <f>$C$26*('E Balans VL '!L12+'E Balans VL '!N12)/100/3.6*1000000</f>
        <v>512.43135065444471</v>
      </c>
      <c r="G6" s="34"/>
      <c r="H6" s="33"/>
      <c r="I6" s="33"/>
      <c r="J6" s="33">
        <f>$C$26*('E Balans VL '!D12+'E Balans VL '!E12)/100/3.6*1000000</f>
        <v>0</v>
      </c>
      <c r="K6" s="33"/>
      <c r="L6" s="33"/>
      <c r="M6" s="33"/>
      <c r="N6" s="33">
        <f>$C$26*'E Balans VL '!Y12/100/3.6*1000000</f>
        <v>45.628247403918479</v>
      </c>
      <c r="O6" s="33"/>
      <c r="P6" s="33"/>
      <c r="R6" s="32"/>
    </row>
    <row r="7" spans="1:18">
      <c r="A7" s="32" t="s">
        <v>52</v>
      </c>
      <c r="B7" s="37">
        <f t="shared" ref="B7:B12" si="0">B27</f>
        <v>1516.047</v>
      </c>
      <c r="C7" s="33"/>
      <c r="D7" s="37">
        <f>IF(ISERROR(TER_horeca_gas_kWh/1000),0,TER_horeca_gas_kWh/1000)*0.902</f>
        <v>554.72034028459461</v>
      </c>
      <c r="E7" s="33">
        <f>$C$27*'E Balans VL '!I9/100/3.6*1000000</f>
        <v>21.640418712879036</v>
      </c>
      <c r="F7" s="33">
        <f>$C$27*('E Balans VL '!L9+'E Balans VL '!N9)/100/3.6*1000000</f>
        <v>235.68434803405046</v>
      </c>
      <c r="G7" s="34"/>
      <c r="H7" s="33"/>
      <c r="I7" s="33"/>
      <c r="J7" s="33">
        <f>$C$27*('E Balans VL '!D9+'E Balans VL '!E9)/100/3.6*1000000</f>
        <v>0</v>
      </c>
      <c r="K7" s="33"/>
      <c r="L7" s="33"/>
      <c r="M7" s="33"/>
      <c r="N7" s="33">
        <f>$C$27*'E Balans VL '!Y9/100/3.6*1000000</f>
        <v>0.39066145816698383</v>
      </c>
      <c r="O7" s="33"/>
      <c r="P7" s="33"/>
      <c r="R7" s="32"/>
    </row>
    <row r="8" spans="1:18">
      <c r="A8" s="6" t="s">
        <v>51</v>
      </c>
      <c r="B8" s="37">
        <f t="shared" si="0"/>
        <v>6243.2839999999997</v>
      </c>
      <c r="C8" s="33"/>
      <c r="D8" s="37">
        <f>IF(ISERROR(TER_handel_gas_kWh/1000),0,TER_handel_gas_kWh/1000)*0.902</f>
        <v>2778.8685705561415</v>
      </c>
      <c r="E8" s="33">
        <f>$C$28*'E Balans VL '!I13/100/3.6*1000000</f>
        <v>168.97593044963713</v>
      </c>
      <c r="F8" s="33">
        <f>$C$28*('E Balans VL '!L13+'E Balans VL '!N13)/100/3.6*1000000</f>
        <v>969.46566791332054</v>
      </c>
      <c r="G8" s="34"/>
      <c r="H8" s="33"/>
      <c r="I8" s="33"/>
      <c r="J8" s="33">
        <f>$C$28*('E Balans VL '!D13+'E Balans VL '!E13)/100/3.6*1000000</f>
        <v>0</v>
      </c>
      <c r="K8" s="33"/>
      <c r="L8" s="33"/>
      <c r="M8" s="33"/>
      <c r="N8" s="33">
        <f>$C$28*'E Balans VL '!Y13/100/3.6*1000000</f>
        <v>50.587328856856999</v>
      </c>
      <c r="O8" s="33"/>
      <c r="P8" s="33"/>
      <c r="R8" s="32"/>
    </row>
    <row r="9" spans="1:18">
      <c r="A9" s="32" t="s">
        <v>50</v>
      </c>
      <c r="B9" s="37">
        <f t="shared" si="0"/>
        <v>926.36149999999998</v>
      </c>
      <c r="C9" s="33"/>
      <c r="D9" s="37">
        <f>IF(ISERROR(TER_gezond_gas_kWh/1000),0,TER_gezond_gas_kWh/1000)*0.902</f>
        <v>102.39316226273033</v>
      </c>
      <c r="E9" s="33">
        <f>$C$29*'E Balans VL '!I10/100/3.6*1000000</f>
        <v>5.7804476053981355E-2</v>
      </c>
      <c r="F9" s="33">
        <f>$C$29*('E Balans VL '!L10+'E Balans VL '!N10)/100/3.6*1000000</f>
        <v>119.92631638825299</v>
      </c>
      <c r="G9" s="34"/>
      <c r="H9" s="33"/>
      <c r="I9" s="33"/>
      <c r="J9" s="33">
        <f>$C$29*('E Balans VL '!D10+'E Balans VL '!E10)/100/3.6*1000000</f>
        <v>0</v>
      </c>
      <c r="K9" s="33"/>
      <c r="L9" s="33"/>
      <c r="M9" s="33"/>
      <c r="N9" s="33">
        <f>$C$29*'E Balans VL '!Y10/100/3.6*1000000</f>
        <v>7.5952590634974007</v>
      </c>
      <c r="O9" s="33"/>
      <c r="P9" s="33"/>
      <c r="R9" s="32"/>
    </row>
    <row r="10" spans="1:18">
      <c r="A10" s="32" t="s">
        <v>49</v>
      </c>
      <c r="B10" s="37">
        <f t="shared" si="0"/>
        <v>760.20030000000008</v>
      </c>
      <c r="C10" s="33"/>
      <c r="D10" s="37">
        <f>IF(ISERROR(TER_ander_gas_kWh/1000),0,TER_ander_gas_kWh/1000)*0.902</f>
        <v>195.98264059613581</v>
      </c>
      <c r="E10" s="33">
        <f>$C$30*'E Balans VL '!I14/100/3.6*1000000</f>
        <v>22.950092150746546</v>
      </c>
      <c r="F10" s="33">
        <f>$C$30*('E Balans VL '!L14+'E Balans VL '!N14)/100/3.6*1000000</f>
        <v>481.31920158673222</v>
      </c>
      <c r="G10" s="34"/>
      <c r="H10" s="33"/>
      <c r="I10" s="33"/>
      <c r="J10" s="33">
        <f>$C$30*('E Balans VL '!D14+'E Balans VL '!E14)/100/3.6*1000000</f>
        <v>0</v>
      </c>
      <c r="K10" s="33"/>
      <c r="L10" s="33"/>
      <c r="M10" s="33"/>
      <c r="N10" s="33">
        <f>$C$30*'E Balans VL '!Y14/100/3.6*1000000</f>
        <v>307.70075262263884</v>
      </c>
      <c r="O10" s="33"/>
      <c r="P10" s="33"/>
      <c r="R10" s="32"/>
    </row>
    <row r="11" spans="1:18">
      <c r="A11" s="32" t="s">
        <v>54</v>
      </c>
      <c r="B11" s="37">
        <f t="shared" si="0"/>
        <v>235.49529999999999</v>
      </c>
      <c r="C11" s="33"/>
      <c r="D11" s="37">
        <f>IF(ISERROR(TER_onderwijs_gas_kWh/1000),0,TER_onderwijs_gas_kWh/1000)*0.902</f>
        <v>217.46599727219299</v>
      </c>
      <c r="E11" s="33">
        <f>$C$31*'E Balans VL '!I11/100/3.6*1000000</f>
        <v>0.29657678017492528</v>
      </c>
      <c r="F11" s="33">
        <f>$C$31*('E Balans VL '!L11+'E Balans VL '!N11)/100/3.6*1000000</f>
        <v>87.475793946578278</v>
      </c>
      <c r="G11" s="34"/>
      <c r="H11" s="33"/>
      <c r="I11" s="33"/>
      <c r="J11" s="33">
        <f>$C$31*('E Balans VL '!D11+'E Balans VL '!E11)/100/3.6*1000000</f>
        <v>0</v>
      </c>
      <c r="K11" s="33"/>
      <c r="L11" s="33"/>
      <c r="M11" s="33"/>
      <c r="N11" s="33">
        <f>$C$31*'E Balans VL '!Y11/100/3.6*1000000</f>
        <v>0.29821141738768053</v>
      </c>
      <c r="O11" s="33"/>
      <c r="P11" s="33"/>
      <c r="R11" s="32"/>
    </row>
    <row r="12" spans="1:18">
      <c r="A12" s="32" t="s">
        <v>249</v>
      </c>
      <c r="B12" s="37">
        <f t="shared" si="0"/>
        <v>14015.624</v>
      </c>
      <c r="C12" s="33"/>
      <c r="D12" s="37">
        <f>IF(ISERROR(TER_rest_gas_kWh/1000),0,TER_rest_gas_kWh/1000)*0.902</f>
        <v>5720.4007999728128</v>
      </c>
      <c r="E12" s="33">
        <f>$C$32*'E Balans VL '!I8/100/3.6*1000000</f>
        <v>209.05277791111658</v>
      </c>
      <c r="F12" s="33">
        <f>$C$32*('E Balans VL '!L8+'E Balans VL '!N8)/100/3.6*1000000</f>
        <v>3400.2832971827916</v>
      </c>
      <c r="G12" s="34"/>
      <c r="H12" s="33"/>
      <c r="I12" s="33"/>
      <c r="J12" s="33">
        <f>$C$32*('E Balans VL '!D8+'E Balans VL '!E8)/100/3.6*1000000</f>
        <v>0</v>
      </c>
      <c r="K12" s="33"/>
      <c r="L12" s="33"/>
      <c r="M12" s="33"/>
      <c r="N12" s="33">
        <f>$C$32*'E Balans VL '!Y8/100/3.6*1000000</f>
        <v>1134.0874173612488</v>
      </c>
      <c r="O12" s="33"/>
      <c r="P12" s="33"/>
      <c r="R12" s="32"/>
    </row>
    <row r="13" spans="1:18">
      <c r="A13" s="16" t="s">
        <v>480</v>
      </c>
      <c r="B13" s="242">
        <f ca="1">'lokale energieproductie'!N39+'lokale energieproductie'!N32</f>
        <v>900</v>
      </c>
      <c r="C13" s="242">
        <f ca="1">'lokale energieproductie'!O39+'lokale energieproductie'!O32</f>
        <v>1285.7142857142858</v>
      </c>
      <c r="D13" s="300">
        <f ca="1">('lokale energieproductie'!P32+'lokale energieproductie'!P39)*(-1)</f>
        <v>-2571.4285714285716</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28283.612099999998</v>
      </c>
      <c r="C16" s="21">
        <f t="shared" ca="1" si="1"/>
        <v>1285.7142857142858</v>
      </c>
      <c r="D16" s="21">
        <f t="shared" ca="1" si="1"/>
        <v>10031.292697937526</v>
      </c>
      <c r="E16" s="21">
        <f t="shared" si="1"/>
        <v>423.02530132306606</v>
      </c>
      <c r="F16" s="21">
        <f t="shared" ca="1" si="1"/>
        <v>5806.5859757061698</v>
      </c>
      <c r="G16" s="21">
        <f t="shared" si="1"/>
        <v>0</v>
      </c>
      <c r="H16" s="21">
        <f t="shared" si="1"/>
        <v>0</v>
      </c>
      <c r="I16" s="21">
        <f t="shared" si="1"/>
        <v>0</v>
      </c>
      <c r="J16" s="21">
        <f t="shared" si="1"/>
        <v>0</v>
      </c>
      <c r="K16" s="21">
        <f t="shared" si="1"/>
        <v>0</v>
      </c>
      <c r="L16" s="21">
        <f t="shared" ca="1" si="1"/>
        <v>0</v>
      </c>
      <c r="M16" s="21">
        <f t="shared" si="1"/>
        <v>0</v>
      </c>
      <c r="N16" s="21">
        <f t="shared" ca="1" si="1"/>
        <v>1546.2878781837151</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0.20796938272562648</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5882.1253496880599</v>
      </c>
      <c r="C20" s="23">
        <f t="shared" ref="C20:P20" ca="1" si="2">C16*C18</f>
        <v>305.54621848739504</v>
      </c>
      <c r="D20" s="23">
        <f t="shared" ca="1" si="2"/>
        <v>2026.3211249833805</v>
      </c>
      <c r="E20" s="23">
        <f t="shared" si="2"/>
        <v>96.026743400336002</v>
      </c>
      <c r="F20" s="23">
        <f t="shared" ca="1" si="2"/>
        <v>1550.3584555135474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3686.6</v>
      </c>
      <c r="C26" s="39">
        <f>IF(ISERROR(B26*3.6/1000000/'E Balans VL '!Z12*100),0,B26*3.6/1000000/'E Balans VL '!Z12*100)</f>
        <v>0.10013496388603009</v>
      </c>
      <c r="D26" s="232" t="s">
        <v>651</v>
      </c>
      <c r="F26" s="6"/>
    </row>
    <row r="27" spans="1:18">
      <c r="A27" s="227" t="s">
        <v>52</v>
      </c>
      <c r="B27" s="33">
        <f>IF(ISERROR(TER_horeca_ele_kWh/1000),0,TER_horeca_ele_kWh/1000)</f>
        <v>1516.047</v>
      </c>
      <c r="C27" s="39">
        <f>IF(ISERROR(B27*3.6/1000000/'E Balans VL '!Z9*100),0,B27*3.6/1000000/'E Balans VL '!Z9*100)</f>
        <v>0.12182618444609829</v>
      </c>
      <c r="D27" s="232" t="s">
        <v>651</v>
      </c>
      <c r="F27" s="6"/>
    </row>
    <row r="28" spans="1:18">
      <c r="A28" s="167" t="s">
        <v>51</v>
      </c>
      <c r="B28" s="33">
        <f>IF(ISERROR(TER_handel_ele_kWh/1000),0,TER_handel_ele_kWh/1000)</f>
        <v>6243.2839999999997</v>
      </c>
      <c r="C28" s="39">
        <f>IF(ISERROR(B28*3.6/1000000/'E Balans VL '!Z13*100),0,B28*3.6/1000000/'E Balans VL '!Z13*100)</f>
        <v>0.18439619141733946</v>
      </c>
      <c r="D28" s="232" t="s">
        <v>651</v>
      </c>
      <c r="F28" s="6"/>
    </row>
    <row r="29" spans="1:18">
      <c r="A29" s="227" t="s">
        <v>50</v>
      </c>
      <c r="B29" s="33">
        <f>IF(ISERROR(TER_gezond_ele_kWh/1000),0,TER_gezond_ele_kWh/1000)</f>
        <v>926.36149999999998</v>
      </c>
      <c r="C29" s="39">
        <f>IF(ISERROR(B29*3.6/1000000/'E Balans VL '!Z10*100),0,B29*3.6/1000000/'E Balans VL '!Z10*100)</f>
        <v>0.10594425256725158</v>
      </c>
      <c r="D29" s="232" t="s">
        <v>651</v>
      </c>
      <c r="F29" s="6"/>
    </row>
    <row r="30" spans="1:18">
      <c r="A30" s="227" t="s">
        <v>49</v>
      </c>
      <c r="B30" s="33">
        <f>IF(ISERROR(TER_ander_ele_kWh/1000),0,TER_ander_ele_kWh/1000)</f>
        <v>760.20030000000008</v>
      </c>
      <c r="C30" s="39">
        <f>IF(ISERROR(B30*3.6/1000000/'E Balans VL '!Z14*100),0,B30*3.6/1000000/'E Balans VL '!Z14*100)</f>
        <v>3.5525743981536226E-2</v>
      </c>
      <c r="D30" s="232" t="s">
        <v>651</v>
      </c>
      <c r="F30" s="6"/>
    </row>
    <row r="31" spans="1:18">
      <c r="A31" s="227" t="s">
        <v>54</v>
      </c>
      <c r="B31" s="33">
        <f>IF(ISERROR(TER_onderwijs_ele_kWh/1000),0,TER_onderwijs_ele_kWh/1000)</f>
        <v>235.49529999999999</v>
      </c>
      <c r="C31" s="39">
        <f>IF(ISERROR(B31*3.6/1000000/'E Balans VL '!Z11*100),0,B31*3.6/1000000/'E Balans VL '!Z11*100)</f>
        <v>6.2186905310127528E-2</v>
      </c>
      <c r="D31" s="232" t="s">
        <v>651</v>
      </c>
    </row>
    <row r="32" spans="1:18">
      <c r="A32" s="227" t="s">
        <v>249</v>
      </c>
      <c r="B32" s="33">
        <f>IF(ISERROR(TER_rest_ele_kWh/1000),0,TER_rest_ele_kWh/1000)</f>
        <v>14015.624</v>
      </c>
      <c r="C32" s="39">
        <f>IF(ISERROR(B32*3.6/1000000/'E Balans VL '!Z8*100),0,B32*3.6/1000000/'E Balans VL '!Z8*100)</f>
        <v>0.11974256172505365</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49704.605900000002</v>
      </c>
      <c r="C5" s="17">
        <f>IF(ISERROR('Eigen informatie GS &amp; warmtenet'!B59),0,'Eigen informatie GS &amp; warmtenet'!B59)</f>
        <v>0</v>
      </c>
      <c r="D5" s="30">
        <f>SUM(D6:D15)</f>
        <v>40198.14916119002</v>
      </c>
      <c r="E5" s="17">
        <f>SUM(E6:E15)</f>
        <v>3041.2501240540737</v>
      </c>
      <c r="F5" s="17">
        <f>SUM(F6:F15)</f>
        <v>14556.666445608378</v>
      </c>
      <c r="G5" s="18"/>
      <c r="H5" s="17"/>
      <c r="I5" s="17"/>
      <c r="J5" s="17">
        <f>SUM(J6:J15)</f>
        <v>210.33782896599314</v>
      </c>
      <c r="K5" s="17"/>
      <c r="L5" s="17"/>
      <c r="M5" s="17"/>
      <c r="N5" s="17">
        <f>SUM(N6:N15)</f>
        <v>3331.2662806992603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474.06290000000001</v>
      </c>
      <c r="C8" s="33"/>
      <c r="D8" s="37">
        <f>IF( ISERROR(IND_metaal_Gas_kWH/1000),0,IND_metaal_Gas_kWH/1000)*0.902</f>
        <v>0</v>
      </c>
      <c r="E8" s="33">
        <f>C30*'E Balans VL '!I18/100/3.6*1000000</f>
        <v>11.86413520239571</v>
      </c>
      <c r="F8" s="33">
        <f>C30*'E Balans VL '!L18/100/3.6*1000000+C30*'E Balans VL '!N18/100/3.6*1000000</f>
        <v>148.57367097013741</v>
      </c>
      <c r="G8" s="34"/>
      <c r="H8" s="33"/>
      <c r="I8" s="33"/>
      <c r="J8" s="40">
        <f>C30*'E Balans VL '!D18/100/3.6*1000000+C30*'E Balans VL '!E18/100/3.6*1000000</f>
        <v>0</v>
      </c>
      <c r="K8" s="33"/>
      <c r="L8" s="33"/>
      <c r="M8" s="33"/>
      <c r="N8" s="33">
        <f>C30*'E Balans VL '!Y18/100/3.6*1000000</f>
        <v>11.909690348508532</v>
      </c>
      <c r="O8" s="33"/>
      <c r="P8" s="33"/>
      <c r="R8" s="32"/>
    </row>
    <row r="9" spans="1:18">
      <c r="A9" s="6" t="s">
        <v>32</v>
      </c>
      <c r="B9" s="37">
        <f t="shared" si="0"/>
        <v>2890.3809999999999</v>
      </c>
      <c r="C9" s="33"/>
      <c r="D9" s="37">
        <f>IF( ISERROR(IND_andere_gas_kWh/1000),0,IND_andere_gas_kWh/1000)*0.902</f>
        <v>234.43426214214765</v>
      </c>
      <c r="E9" s="33">
        <f>C31*'E Balans VL '!I19/100/3.6*1000000</f>
        <v>794.7362258625966</v>
      </c>
      <c r="F9" s="33">
        <f>C31*'E Balans VL '!L19/100/3.6*1000000+C31*'E Balans VL '!N19/100/3.6*1000000</f>
        <v>2278.1231904056744</v>
      </c>
      <c r="G9" s="34"/>
      <c r="H9" s="33"/>
      <c r="I9" s="33"/>
      <c r="J9" s="40">
        <f>C31*'E Balans VL '!D19/100/3.6*1000000+C31*'E Balans VL '!E19/100/3.6*1000000</f>
        <v>0</v>
      </c>
      <c r="K9" s="33"/>
      <c r="L9" s="33"/>
      <c r="M9" s="33"/>
      <c r="N9" s="33">
        <f>C31*'E Balans VL '!Y19/100/3.6*1000000</f>
        <v>232.85091474940648</v>
      </c>
      <c r="O9" s="33"/>
      <c r="P9" s="33"/>
      <c r="R9" s="32"/>
    </row>
    <row r="10" spans="1:18">
      <c r="A10" s="6" t="s">
        <v>40</v>
      </c>
      <c r="B10" s="37">
        <f t="shared" si="0"/>
        <v>1139.826</v>
      </c>
      <c r="C10" s="33"/>
      <c r="D10" s="37">
        <f>IF( ISERROR(IND_voed_gas_kWh/1000),0,IND_voed_gas_kWh/1000)*0.902</f>
        <v>0</v>
      </c>
      <c r="E10" s="33">
        <f>C32*'E Balans VL '!I20/100/3.6*1000000</f>
        <v>11.619898136273594</v>
      </c>
      <c r="F10" s="33">
        <f>C32*'E Balans VL '!L20/100/3.6*1000000+C32*'E Balans VL '!N20/100/3.6*1000000</f>
        <v>2153.1241850765318</v>
      </c>
      <c r="G10" s="34"/>
      <c r="H10" s="33"/>
      <c r="I10" s="33"/>
      <c r="J10" s="40">
        <f>C32*'E Balans VL '!D20/100/3.6*1000000+C32*'E Balans VL '!E20/100/3.6*1000000</f>
        <v>27.279765707557054</v>
      </c>
      <c r="K10" s="33"/>
      <c r="L10" s="33"/>
      <c r="M10" s="33"/>
      <c r="N10" s="33">
        <f>C32*'E Balans VL '!Y20/100/3.6*1000000</f>
        <v>600.81959385572429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1566.57</v>
      </c>
      <c r="C13" s="33"/>
      <c r="D13" s="37">
        <f>IF( ISERROR(IND_papier_gas_kWh/1000),0,IND_papier_gas_kWh/1000)*0.902</f>
        <v>0</v>
      </c>
      <c r="E13" s="33">
        <f>C35*'E Balans VL '!I23/100/3.6*1000000</f>
        <v>3.2444722109288029</v>
      </c>
      <c r="F13" s="33">
        <f>C35*'E Balans VL '!L23/100/3.6*1000000+C35*'E Balans VL '!N23/100/3.6*1000000</f>
        <v>31.068441559147043</v>
      </c>
      <c r="G13" s="34"/>
      <c r="H13" s="33"/>
      <c r="I13" s="33"/>
      <c r="J13" s="40">
        <f>C35*'E Balans VL '!D23/100/3.6*1000000+C35*'E Balans VL '!E23/100/3.6*1000000</f>
        <v>0</v>
      </c>
      <c r="K13" s="33"/>
      <c r="L13" s="33"/>
      <c r="M13" s="33"/>
      <c r="N13" s="33">
        <f>C35*'E Balans VL '!Y23/100/3.6*1000000</f>
        <v>108.64954780149094</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43633.766000000003</v>
      </c>
      <c r="C15" s="33"/>
      <c r="D15" s="37">
        <f>IF( ISERROR(IND_rest_gas_kWh/1000),0,IND_rest_gas_kWh/1000)*0.902</f>
        <v>39963.714899047874</v>
      </c>
      <c r="E15" s="33">
        <f>C37*'E Balans VL '!I15/100/3.6*1000000</f>
        <v>2219.7853926418788</v>
      </c>
      <c r="F15" s="33">
        <f>C37*'E Balans VL '!L15/100/3.6*1000000+C37*'E Balans VL '!N15/100/3.6*1000000</f>
        <v>9945.7769575968869</v>
      </c>
      <c r="G15" s="34"/>
      <c r="H15" s="33"/>
      <c r="I15" s="33"/>
      <c r="J15" s="40">
        <f>C37*'E Balans VL '!D15/100/3.6*1000000+C37*'E Balans VL '!E15/100/3.6*1000000</f>
        <v>183.05806325843608</v>
      </c>
      <c r="K15" s="33"/>
      <c r="L15" s="33"/>
      <c r="M15" s="33"/>
      <c r="N15" s="33">
        <f>C37*'E Balans VL '!Y15/100/3.6*1000000</f>
        <v>2377.03653394413</v>
      </c>
      <c r="O15" s="33"/>
      <c r="P15" s="33"/>
      <c r="R15" s="32"/>
    </row>
    <row r="16" spans="1:18">
      <c r="A16" s="16" t="s">
        <v>480</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49704.605900000002</v>
      </c>
      <c r="C18" s="21">
        <f>C5+C16</f>
        <v>0</v>
      </c>
      <c r="D18" s="21">
        <f>MAX((D5+D16),0)</f>
        <v>40198.14916119002</v>
      </c>
      <c r="E18" s="21">
        <f>MAX((E5+E16),0)</f>
        <v>3041.2501240540737</v>
      </c>
      <c r="F18" s="21">
        <f>MAX((F5+F16),0)</f>
        <v>14556.666445608378</v>
      </c>
      <c r="G18" s="21"/>
      <c r="H18" s="21"/>
      <c r="I18" s="21"/>
      <c r="J18" s="21">
        <f>MAX((J5+J16),0)</f>
        <v>210.33782896599314</v>
      </c>
      <c r="K18" s="21"/>
      <c r="L18" s="21">
        <f>MAX((L5+L16),0)</f>
        <v>0</v>
      </c>
      <c r="M18" s="21"/>
      <c r="N18" s="21">
        <f>MAX((N5+N16),0)</f>
        <v>3331.2662806992603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0.20796938272562648</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10337.036207643532</v>
      </c>
      <c r="C22" s="23">
        <f ca="1">C18*C20</f>
        <v>0</v>
      </c>
      <c r="D22" s="23">
        <f>D18*D20</f>
        <v>8120.0261305603844</v>
      </c>
      <c r="E22" s="23">
        <f>E18*E20</f>
        <v>690.36377816027471</v>
      </c>
      <c r="F22" s="23">
        <f>F18*F20</f>
        <v>3886.6299409774374</v>
      </c>
      <c r="G22" s="23"/>
      <c r="H22" s="23"/>
      <c r="I22" s="23"/>
      <c r="J22" s="23">
        <f>J18*J20</f>
        <v>74.459591453961565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474.06290000000001</v>
      </c>
      <c r="C30" s="39">
        <f>IF(ISERROR(B30*3.6/1000000/'E Balans VL '!Z18*100),0,B30*3.6/1000000/'E Balans VL '!Z18*100)</f>
        <v>6.6353007679328627E-2</v>
      </c>
      <c r="D30" s="232" t="s">
        <v>651</v>
      </c>
    </row>
    <row r="31" spans="1:18">
      <c r="A31" s="6" t="s">
        <v>32</v>
      </c>
      <c r="B31" s="37">
        <f>IF( ISERROR(IND_ander_ele_kWh/1000),0,IND_ander_ele_kWh/1000)</f>
        <v>2890.3809999999999</v>
      </c>
      <c r="C31" s="39">
        <f>IF(ISERROR(B31*3.6/1000000/'E Balans VL '!Z19*100),0,B31*3.6/1000000/'E Balans VL '!Z19*100)</f>
        <v>0.12651150748358508</v>
      </c>
      <c r="D31" s="232" t="s">
        <v>651</v>
      </c>
    </row>
    <row r="32" spans="1:18">
      <c r="A32" s="167" t="s">
        <v>40</v>
      </c>
      <c r="B32" s="37">
        <f>IF( ISERROR(IND_voed_ele_kWh/1000),0,IND_voed_ele_kWh/1000)</f>
        <v>1139.826</v>
      </c>
      <c r="C32" s="39">
        <f>IF(ISERROR(B32*3.6/1000000/'E Balans VL '!Z20*100),0,B32*3.6/1000000/'E Balans VL '!Z20*100)</f>
        <v>0.28218306584559594</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1566.57</v>
      </c>
      <c r="C35" s="39">
        <f>IF(ISERROR(B35*3.6/1000000/'E Balans VL '!Z22*100),0,B35*3.6/1000000/'E Balans VL '!Z22*100)</f>
        <v>4.4452865337894901E-2</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43633.766000000003</v>
      </c>
      <c r="C37" s="39">
        <f>IF(ISERROR(B37*3.6/1000000/'E Balans VL '!Z15*100),0,B37*3.6/1000000/'E Balans VL '!Z15*100)</f>
        <v>0.32353690447313938</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1671.0132699999999</v>
      </c>
      <c r="C5" s="17">
        <f>'Eigen informatie GS &amp; warmtenet'!B60</f>
        <v>0</v>
      </c>
      <c r="D5" s="30">
        <f>IF(ISERROR(SUM(LB_lb_gas_kWh,LB_rest_gas_kWh)/1000),0,SUM(LB_lb_gas_kWh,LB_rest_gas_kWh)/1000)*0.902</f>
        <v>678.86602627070715</v>
      </c>
      <c r="E5" s="17">
        <f>B17*'E Balans VL '!I25/3.6*1000000/100</f>
        <v>35.832438886158606</v>
      </c>
      <c r="F5" s="17">
        <f>B17*('E Balans VL '!L25/3.6*1000000+'E Balans VL '!N25/3.6*1000000)/100</f>
        <v>5420.2315985391333</v>
      </c>
      <c r="G5" s="18"/>
      <c r="H5" s="17"/>
      <c r="I5" s="17"/>
      <c r="J5" s="17">
        <f>('E Balans VL '!D25+'E Balans VL '!E25)/3.6*1000000*landbouw!B17/100</f>
        <v>161.00301166226586</v>
      </c>
      <c r="K5" s="17"/>
      <c r="L5" s="17">
        <f>L6*(-1)</f>
        <v>0</v>
      </c>
      <c r="M5" s="17"/>
      <c r="N5" s="17">
        <f>N6*(-1)</f>
        <v>0</v>
      </c>
      <c r="O5" s="17"/>
      <c r="P5" s="17"/>
      <c r="R5" s="32"/>
    </row>
    <row r="6" spans="1:18">
      <c r="A6" s="16" t="s">
        <v>480</v>
      </c>
      <c r="B6" s="17" t="s">
        <v>204</v>
      </c>
      <c r="C6" s="17">
        <f>'lokale energieproductie'!O40+'lokale energieproductie'!O33</f>
        <v>0</v>
      </c>
      <c r="D6" s="300">
        <f>('lokale energieproductie'!P33+'lokale energieproductie'!P40)*(-1)</f>
        <v>0</v>
      </c>
      <c r="E6" s="243"/>
      <c r="F6" s="300">
        <f>('lokale energieproductie'!S33+'lokale energieproductie'!S869)*(-1)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1671.0132699999999</v>
      </c>
      <c r="C8" s="21">
        <f>C5+C6</f>
        <v>0</v>
      </c>
      <c r="D8" s="21">
        <f>MAX((D5+D6),0)</f>
        <v>678.86602627070715</v>
      </c>
      <c r="E8" s="21">
        <f>MAX((E5+E6),0)</f>
        <v>35.832438886158606</v>
      </c>
      <c r="F8" s="21">
        <f>MAX((F5+F6),0)</f>
        <v>5420.2315985391333</v>
      </c>
      <c r="G8" s="21"/>
      <c r="H8" s="21"/>
      <c r="I8" s="21"/>
      <c r="J8" s="21">
        <f>MAX((J5+J6),0)</f>
        <v>161.00301166226586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0.20796938272562648</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347.51959828823061</v>
      </c>
      <c r="C12" s="23">
        <f ca="1">C8*C10</f>
        <v>0</v>
      </c>
      <c r="D12" s="23">
        <f>D8*D10</f>
        <v>137.13093730668285</v>
      </c>
      <c r="E12" s="23">
        <f>E8*E10</f>
        <v>8.1339636271580034</v>
      </c>
      <c r="F12" s="23">
        <f>F8*F10</f>
        <v>1447.2018368099486</v>
      </c>
      <c r="G12" s="23"/>
      <c r="H12" s="23"/>
      <c r="I12" s="23"/>
      <c r="J12" s="23">
        <f>J8*J10</f>
        <v>56.995066128442112</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0.23758265538835593</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384.39152385409284</v>
      </c>
      <c r="C26" s="242">
        <f>B26*'GWP N2O_CH4'!B5</f>
        <v>8072.2220009359498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183.92280462598913</v>
      </c>
      <c r="C27" s="242">
        <f>B27*'GWP N2O_CH4'!B5</f>
        <v>3862.3788971457716</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5.6479903460989629</v>
      </c>
      <c r="C28" s="242">
        <f>B28*'GWP N2O_CH4'!B4</f>
        <v>1750.8770072906784</v>
      </c>
      <c r="D28" s="50"/>
    </row>
    <row r="29" spans="1:4">
      <c r="A29" s="41" t="s">
        <v>266</v>
      </c>
      <c r="B29" s="242">
        <f>B34*'ha_N2O bodem landbouw'!B4</f>
        <v>13.464647058196794</v>
      </c>
      <c r="C29" s="242">
        <f>B29*'GWP N2O_CH4'!B4</f>
        <v>4174.0405880410062</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3.0198831242873431E-3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1.6842550703591812E-4</v>
      </c>
      <c r="C5" s="428" t="s">
        <v>204</v>
      </c>
      <c r="D5" s="413">
        <f>SUM(D6:D11)</f>
        <v>2.273724469966738E-4</v>
      </c>
      <c r="E5" s="413">
        <f>SUM(E6:E11)</f>
        <v>2.5141409187037838E-3</v>
      </c>
      <c r="F5" s="426" t="s">
        <v>204</v>
      </c>
      <c r="G5" s="413">
        <f>SUM(G6:G11)</f>
        <v>1.1326888242740181</v>
      </c>
      <c r="H5" s="413">
        <f>SUM(H6:H11)</f>
        <v>0.14397514495661057</v>
      </c>
      <c r="I5" s="428" t="s">
        <v>204</v>
      </c>
      <c r="J5" s="428" t="s">
        <v>204</v>
      </c>
      <c r="K5" s="428" t="s">
        <v>204</v>
      </c>
      <c r="L5" s="428" t="s">
        <v>204</v>
      </c>
      <c r="M5" s="413">
        <f>SUM(M6:M11)</f>
        <v>7.0061724604059072E-2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4.3666987961535266E-5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6.6043121231208941E-5</v>
      </c>
      <c r="E6" s="819">
        <f>vkm_GW_PW*SUMIFS(TableVerdeelsleutelVkm[LPG],TableVerdeelsleutelVkm[Voertuigtype],"Lichte voertuigen")*SUMIFS(TableECFTransport[EnergieConsumptieFactor (PJ per km)],TableECFTransport[Index],CONCATENATE($A6,"_LPG_LPG"))</f>
        <v>6.4516134430891959E-4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0.1497976513973141</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4.0802043229941132E-2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9.9294206082763421E-3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3.0426985766188999E-6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0.11677941848437377</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2.6167368765469197E-6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6.7706174110674948E-3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1.2015247381317687E-5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2.7366289894227084E-5</v>
      </c>
      <c r="E8" s="416">
        <f>vkm_NGW_PW*SUMIFS(TableVerdeelsleutelVkm[LPG],TableVerdeelsleutelVkm[Voertuigtype],"Lichte voertuigen")*SUMIFS(TableECFTransport[EnergieConsumptieFactor (PJ per km)],TableECFTransport[Index],CONCATENATE($A8,"_LPG_LPG"))</f>
        <v>2.5423030942657403E-4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5.5020680912528222E-2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1.6293688230049289E-2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3.6869466484247887E-3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5.5975224959172252E-7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2.7602191946378505E-2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5.8104988199684081E-7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1.6003140828405209E-3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9.7035118291932898E-5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1.3396303587123777E-4</v>
      </c>
      <c r="E10" s="416">
        <f>vkm_SW_PW*SUMIFS(TableVerdeelsleutelVkm[LPG],TableVerdeelsleutelVkm[Voertuigtype],"Lichte voertuigen")*SUMIFS(TableECFTransport[EnergieConsumptieFactor (PJ per km)],TableECFTransport[Index],CONCATENATE($A10,"_LPG_LPG"))</f>
        <v>1.6147492649682903E-3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0.34060189768576621</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8.6865499984796479E-2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2.2396774918803194E-2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1.2105702574921665E-5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0.44288698384765729</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1.071572506511561E-5</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2.5677650934646738E-2</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46.784863065532811</v>
      </c>
      <c r="C14" s="21"/>
      <c r="D14" s="21">
        <f t="shared" ref="D14:M14" si="0">((D5)*10^9/3600)+D12</f>
        <v>63.159013054631608</v>
      </c>
      <c r="E14" s="21">
        <f t="shared" si="0"/>
        <v>698.37247741771773</v>
      </c>
      <c r="F14" s="21"/>
      <c r="G14" s="21">
        <f t="shared" si="0"/>
        <v>314635.78452056058</v>
      </c>
      <c r="H14" s="21">
        <f t="shared" si="0"/>
        <v>39993.095821280709</v>
      </c>
      <c r="I14" s="21"/>
      <c r="J14" s="21"/>
      <c r="K14" s="21"/>
      <c r="L14" s="21"/>
      <c r="M14" s="21">
        <f t="shared" si="0"/>
        <v>19461.590167794187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0.20796938272562648</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9.7298190926418204</v>
      </c>
      <c r="C18" s="23"/>
      <c r="D18" s="23">
        <f t="shared" ref="D18:M18" si="1">D14*D16</f>
        <v>12.758120637035585</v>
      </c>
      <c r="E18" s="23">
        <f t="shared" si="1"/>
        <v>158.53055237382193</v>
      </c>
      <c r="F18" s="23"/>
      <c r="G18" s="23">
        <f t="shared" si="1"/>
        <v>84007.754466989674</v>
      </c>
      <c r="H18" s="23">
        <f t="shared" si="1"/>
        <v>9958.2808594988965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1.4516970845676192E-5</v>
      </c>
      <c r="C50" s="311">
        <f t="shared" ref="C50:P50" si="2">SUM(C51:C52)</f>
        <v>0</v>
      </c>
      <c r="D50" s="311">
        <f t="shared" si="2"/>
        <v>0</v>
      </c>
      <c r="E50" s="311">
        <f t="shared" si="2"/>
        <v>0</v>
      </c>
      <c r="F50" s="311">
        <f t="shared" si="2"/>
        <v>0</v>
      </c>
      <c r="G50" s="311">
        <f t="shared" si="2"/>
        <v>2.7507744796126127E-3</v>
      </c>
      <c r="H50" s="311">
        <f t="shared" si="2"/>
        <v>0</v>
      </c>
      <c r="I50" s="311">
        <f t="shared" si="2"/>
        <v>0</v>
      </c>
      <c r="J50" s="311">
        <f t="shared" si="2"/>
        <v>0</v>
      </c>
      <c r="K50" s="311">
        <f t="shared" si="2"/>
        <v>0</v>
      </c>
      <c r="L50" s="311">
        <f t="shared" si="2"/>
        <v>0</v>
      </c>
      <c r="M50" s="311">
        <f t="shared" si="2"/>
        <v>1.5835668436728242E-4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1.4516970845676192E-5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2.7507744796126127E-3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1.5835668436728242E-4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4.0324919015767193</v>
      </c>
      <c r="C54" s="21">
        <f t="shared" ref="C54:P54" si="3">(C50)*10^9/3600</f>
        <v>0</v>
      </c>
      <c r="D54" s="21">
        <f t="shared" si="3"/>
        <v>0</v>
      </c>
      <c r="E54" s="21">
        <f t="shared" si="3"/>
        <v>0</v>
      </c>
      <c r="F54" s="21">
        <f t="shared" si="3"/>
        <v>0</v>
      </c>
      <c r="G54" s="21">
        <f t="shared" si="3"/>
        <v>764.10402211461462</v>
      </c>
      <c r="H54" s="21">
        <f t="shared" si="3"/>
        <v>0</v>
      </c>
      <c r="I54" s="21">
        <f t="shared" si="3"/>
        <v>0</v>
      </c>
      <c r="J54" s="21">
        <f t="shared" si="3"/>
        <v>0</v>
      </c>
      <c r="K54" s="21">
        <f t="shared" si="3"/>
        <v>0</v>
      </c>
      <c r="L54" s="21">
        <f t="shared" si="3"/>
        <v>0</v>
      </c>
      <c r="M54" s="21">
        <f t="shared" si="3"/>
        <v>43.987967879800678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0.20796938272562648</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0.83863485161699802</v>
      </c>
      <c r="C58" s="23">
        <f t="shared" ref="C58:P58" ca="1" si="4">C54*C56</f>
        <v>0</v>
      </c>
      <c r="D58" s="23">
        <f t="shared" si="4"/>
        <v>0</v>
      </c>
      <c r="E58" s="23">
        <f t="shared" si="4"/>
        <v>0</v>
      </c>
      <c r="F58" s="23">
        <f t="shared" si="4"/>
        <v>0</v>
      </c>
      <c r="G58" s="23">
        <f t="shared" si="4"/>
        <v>204.01577390460213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6302.5487881248209</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N30</f>
        <v>900</v>
      </c>
      <c r="C8" s="535">
        <f>B49</f>
        <v>1058.8235294117646</v>
      </c>
      <c r="D8" s="974"/>
      <c r="E8" s="974">
        <f>E49</f>
        <v>0</v>
      </c>
      <c r="F8" s="975"/>
      <c r="G8" s="536"/>
      <c r="H8" s="974">
        <f>I49</f>
        <v>0</v>
      </c>
      <c r="I8" s="974">
        <f>G49+F49</f>
        <v>0</v>
      </c>
      <c r="J8" s="974">
        <f>H49+D49+C49</f>
        <v>0</v>
      </c>
      <c r="K8" s="974"/>
      <c r="L8" s="974"/>
      <c r="M8" s="974"/>
      <c r="N8" s="537"/>
      <c r="O8" s="538">
        <f>C8*$C$12+D8*$D$12+E8*$E$12+F8*$F$12+G8*$G$12+H8*$H$12+I8*$I$12+J8*$J$12</f>
        <v>213.88235294117646</v>
      </c>
      <c r="P8" s="1218"/>
      <c r="Q8" s="1219"/>
      <c r="S8" s="938"/>
      <c r="T8" s="1193"/>
      <c r="U8" s="1193"/>
    </row>
    <row r="9" spans="1:21" s="524" customFormat="1" ht="17.45" customHeight="1" thickBot="1">
      <c r="A9" s="539" t="s">
        <v>237</v>
      </c>
      <c r="B9" s="540">
        <f>N37+'Eigen informatie GS &amp; warmtenet'!B12</f>
        <v>0</v>
      </c>
      <c r="C9" s="541">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7202.5487881248209</v>
      </c>
      <c r="C10" s="548">
        <f t="shared" ref="C10:L10" si="0">SUM(C8:C9)</f>
        <v>1058.8235294117646</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213.88235294117646</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O30</f>
        <v>1285.7142857142858</v>
      </c>
      <c r="C17" s="560">
        <f>B50</f>
        <v>1512.6050420168069</v>
      </c>
      <c r="D17" s="561"/>
      <c r="E17" s="561">
        <f>E50</f>
        <v>0</v>
      </c>
      <c r="F17" s="980"/>
      <c r="G17" s="562"/>
      <c r="H17" s="560">
        <f>I50</f>
        <v>0</v>
      </c>
      <c r="I17" s="561">
        <f>G50+F50</f>
        <v>0</v>
      </c>
      <c r="J17" s="561">
        <f>H50+D50+C50</f>
        <v>0</v>
      </c>
      <c r="K17" s="561"/>
      <c r="L17" s="561"/>
      <c r="M17" s="561"/>
      <c r="N17" s="981"/>
      <c r="O17" s="563">
        <f>C17*$C$22+E17*$E$22+H17*$H$22+I17*$I$22+J17*$J$22+D17*$D$22+F17*$F$22+G17*$G$22+K17*$K$22+L17*$L$22</f>
        <v>305.54621848739504</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1285.7142857142858</v>
      </c>
      <c r="C20" s="547">
        <f>SUM(C17:C19)</f>
        <v>1512.6050420168069</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305.54621848739504</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44048</v>
      </c>
      <c r="C28" s="725">
        <v>9810</v>
      </c>
      <c r="D28" s="618"/>
      <c r="E28" s="617"/>
      <c r="F28" s="617"/>
      <c r="G28" s="617" t="s">
        <v>904</v>
      </c>
      <c r="H28" s="617" t="s">
        <v>905</v>
      </c>
      <c r="I28" s="617"/>
      <c r="J28" s="724"/>
      <c r="K28" s="724"/>
      <c r="L28" s="617" t="s">
        <v>906</v>
      </c>
      <c r="M28" s="617">
        <v>120</v>
      </c>
      <c r="N28" s="617">
        <v>540</v>
      </c>
      <c r="O28" s="617">
        <v>771.42857142857144</v>
      </c>
      <c r="P28" s="617">
        <v>1542.8571428571429</v>
      </c>
      <c r="Q28" s="617">
        <v>0</v>
      </c>
      <c r="R28" s="617">
        <v>0</v>
      </c>
      <c r="S28" s="617">
        <v>0</v>
      </c>
      <c r="T28" s="617">
        <v>0</v>
      </c>
      <c r="U28" s="617">
        <v>0</v>
      </c>
      <c r="V28" s="617">
        <v>0</v>
      </c>
      <c r="W28" s="617">
        <v>0</v>
      </c>
      <c r="X28" s="617"/>
      <c r="Y28" s="617">
        <v>1100</v>
      </c>
      <c r="Z28" s="617" t="s">
        <v>51</v>
      </c>
      <c r="AA28" s="619" t="s">
        <v>149</v>
      </c>
    </row>
    <row r="29" spans="1:27" s="571" customFormat="1" ht="51" hidden="1">
      <c r="A29" s="570"/>
      <c r="B29" s="725">
        <v>44048</v>
      </c>
      <c r="C29" s="725">
        <v>9810</v>
      </c>
      <c r="D29" s="618"/>
      <c r="E29" s="617"/>
      <c r="F29" s="617"/>
      <c r="G29" s="617" t="s">
        <v>904</v>
      </c>
      <c r="H29" s="617" t="s">
        <v>905</v>
      </c>
      <c r="I29" s="617"/>
      <c r="J29" s="724"/>
      <c r="K29" s="724"/>
      <c r="L29" s="617" t="s">
        <v>906</v>
      </c>
      <c r="M29" s="617">
        <v>80</v>
      </c>
      <c r="N29" s="617">
        <v>360</v>
      </c>
      <c r="O29" s="617">
        <v>514.28571428571433</v>
      </c>
      <c r="P29" s="617">
        <v>1028.5714285714287</v>
      </c>
      <c r="Q29" s="617">
        <v>0</v>
      </c>
      <c r="R29" s="617">
        <v>0</v>
      </c>
      <c r="S29" s="617">
        <v>0</v>
      </c>
      <c r="T29" s="617">
        <v>0</v>
      </c>
      <c r="U29" s="617">
        <v>0</v>
      </c>
      <c r="V29" s="617">
        <v>0</v>
      </c>
      <c r="W29" s="617">
        <v>0</v>
      </c>
      <c r="X29" s="617"/>
      <c r="Y29" s="617">
        <v>1500</v>
      </c>
      <c r="Z29" s="617" t="s">
        <v>50</v>
      </c>
      <c r="AA29" s="619" t="s">
        <v>149</v>
      </c>
    </row>
    <row r="30" spans="1:27" s="555" customFormat="1" hidden="1">
      <c r="A30" s="573" t="s">
        <v>269</v>
      </c>
      <c r="B30" s="574"/>
      <c r="C30" s="574"/>
      <c r="D30" s="574"/>
      <c r="E30" s="574"/>
      <c r="F30" s="574"/>
      <c r="G30" s="574"/>
      <c r="H30" s="574"/>
      <c r="I30" s="574"/>
      <c r="J30" s="574"/>
      <c r="K30" s="574"/>
      <c r="L30" s="575"/>
      <c r="M30" s="575">
        <f>SUM(M28:M29)</f>
        <v>200</v>
      </c>
      <c r="N30" s="575">
        <f>SUM(N28:N29)</f>
        <v>900</v>
      </c>
      <c r="O30" s="575">
        <f>SUM(O28:O29)</f>
        <v>1285.7142857142858</v>
      </c>
      <c r="P30" s="575">
        <f>SUM(P28:P29)</f>
        <v>2571.4285714285716</v>
      </c>
      <c r="Q30" s="575">
        <f>SUM(Q28:Q29)</f>
        <v>0</v>
      </c>
      <c r="R30" s="575">
        <f>SUM(R28:R29)</f>
        <v>0</v>
      </c>
      <c r="S30" s="575">
        <f>SUM(S28:S29)</f>
        <v>0</v>
      </c>
      <c r="T30" s="575">
        <f>SUM(T28:T29)</f>
        <v>0</v>
      </c>
      <c r="U30" s="575">
        <f>SUM(U28:U29)</f>
        <v>0</v>
      </c>
      <c r="V30" s="575">
        <f>SUM(V28:V29)</f>
        <v>0</v>
      </c>
      <c r="W30" s="575">
        <f>SUM(W28:W29)</f>
        <v>0</v>
      </c>
      <c r="X30" s="575"/>
      <c r="Y30" s="576"/>
      <c r="Z30" s="576"/>
      <c r="AA30" s="577"/>
    </row>
    <row r="31" spans="1:27" s="555" customFormat="1">
      <c r="A31" s="573" t="s">
        <v>276</v>
      </c>
      <c r="B31" s="574"/>
      <c r="C31" s="574"/>
      <c r="D31" s="574"/>
      <c r="E31" s="574"/>
      <c r="F31" s="574"/>
      <c r="G31" s="574"/>
      <c r="H31" s="574"/>
      <c r="I31" s="574"/>
      <c r="J31" s="574"/>
      <c r="K31" s="574"/>
      <c r="L31" s="575"/>
      <c r="M31" s="575">
        <f>SUMIF($AA$28:$AA$29,"industrie",M28:M29)</f>
        <v>0</v>
      </c>
      <c r="N31" s="575">
        <f>SUMIF($AA$28:$AA$29,"industrie",N28:N29)</f>
        <v>0</v>
      </c>
      <c r="O31" s="575">
        <f>SUMIF($AA$28:$AA$29,"industrie",O28:O29)</f>
        <v>0</v>
      </c>
      <c r="P31" s="575">
        <f>SUMIF($AA$28:$AA$29,"industrie",P28:P29)</f>
        <v>0</v>
      </c>
      <c r="Q31" s="575">
        <f>SUMIF($AA$28:$AA$29,"industrie",Q28:Q29)</f>
        <v>0</v>
      </c>
      <c r="R31" s="575">
        <f>SUMIF($AA$28:$AA$29,"industrie",R28:R29)</f>
        <v>0</v>
      </c>
      <c r="S31" s="575">
        <f>SUMIF($AA$28:$AA$29,"industrie",S28:S29)</f>
        <v>0</v>
      </c>
      <c r="T31" s="575">
        <f>SUMIF($AA$28:$AA$29,"industrie",T28:T29)</f>
        <v>0</v>
      </c>
      <c r="U31" s="575">
        <f>SUMIF($AA$28:$AA$29,"industrie",U28:U29)</f>
        <v>0</v>
      </c>
      <c r="V31" s="575">
        <f>SUMIF($AA$28:$AA$29,"industrie",V28:V29)</f>
        <v>0</v>
      </c>
      <c r="W31" s="575">
        <f>SUMIF($AA$28:$AA$29,"industrie",W28:W29)</f>
        <v>0</v>
      </c>
      <c r="X31" s="575"/>
      <c r="Y31" s="576"/>
      <c r="Z31" s="576"/>
      <c r="AA31" s="577"/>
    </row>
    <row r="32" spans="1:27" s="555" customFormat="1">
      <c r="A32" s="573" t="s">
        <v>277</v>
      </c>
      <c r="B32" s="574"/>
      <c r="C32" s="574"/>
      <c r="D32" s="574"/>
      <c r="E32" s="574"/>
      <c r="F32" s="574"/>
      <c r="G32" s="574"/>
      <c r="H32" s="574"/>
      <c r="I32" s="574"/>
      <c r="J32" s="574"/>
      <c r="K32" s="574"/>
      <c r="L32" s="575"/>
      <c r="M32" s="575">
        <f ca="1">SUMIF($AA$28:AD29,"tertiair",M28:M29)</f>
        <v>200</v>
      </c>
      <c r="N32" s="575">
        <f ca="1">SUMIF($AA$28:AE29,"tertiair",N28:N29)</f>
        <v>900</v>
      </c>
      <c r="O32" s="575">
        <f ca="1">SUMIF($AA$28:AF29,"tertiair",O28:O29)</f>
        <v>1285.7142857142858</v>
      </c>
      <c r="P32" s="575">
        <f ca="1">SUMIF($AA$28:AG29,"tertiair",P28:P29)</f>
        <v>2571.4285714285716</v>
      </c>
      <c r="Q32" s="575">
        <f ca="1">SUMIF($AA$28:AH29,"tertiair",Q28:Q29)</f>
        <v>0</v>
      </c>
      <c r="R32" s="575">
        <f ca="1">SUMIF($AA$28:AI29,"tertiair",R28:R29)</f>
        <v>0</v>
      </c>
      <c r="S32" s="575">
        <f ca="1">SUMIF($AA$28:AJ29,"tertiair",S28:S29)</f>
        <v>0</v>
      </c>
      <c r="T32" s="575">
        <f ca="1">SUMIF($AA$28:AK29,"tertiair",T28:T29)</f>
        <v>0</v>
      </c>
      <c r="U32" s="575">
        <f ca="1">SUMIF($AA$28:AL29,"tertiair",U28:U29)</f>
        <v>0</v>
      </c>
      <c r="V32" s="575">
        <f ca="1">SUMIF($AA$28:AM29,"tertiair",V28:V29)</f>
        <v>0</v>
      </c>
      <c r="W32" s="575">
        <f ca="1">SUMIF($AA$28:AN29,"tertiair",W28:W29)</f>
        <v>0</v>
      </c>
      <c r="X32" s="575"/>
      <c r="Y32" s="576"/>
      <c r="Z32" s="576"/>
      <c r="AA32" s="577"/>
    </row>
    <row r="33" spans="1:28" s="555" customFormat="1" ht="15.75" thickBot="1">
      <c r="A33" s="578" t="s">
        <v>278</v>
      </c>
      <c r="B33" s="579"/>
      <c r="C33" s="579"/>
      <c r="D33" s="579"/>
      <c r="E33" s="579"/>
      <c r="F33" s="579"/>
      <c r="G33" s="579"/>
      <c r="H33" s="579"/>
      <c r="I33" s="579"/>
      <c r="J33" s="579"/>
      <c r="K33" s="579"/>
      <c r="L33" s="580"/>
      <c r="M33" s="580">
        <f>SUMIF($AA$28:$AA$29,"landbouw",M28:M29)</f>
        <v>0</v>
      </c>
      <c r="N33" s="580">
        <f>SUMIF($AA$28:$AA$29,"landbouw",N28:N29)</f>
        <v>0</v>
      </c>
      <c r="O33" s="580">
        <f>SUMIF($AA$28:$AA$29,"landbouw",O28:O29)</f>
        <v>0</v>
      </c>
      <c r="P33" s="580">
        <f>SUMIF($AA$28:$AA$29,"landbouw",P28:P29)</f>
        <v>0</v>
      </c>
      <c r="Q33" s="580">
        <f>SUMIF($AA$28:$AA$29,"landbouw",Q28:Q29)</f>
        <v>0</v>
      </c>
      <c r="R33" s="580">
        <f>SUMIF($AA$28:$AA$29,"landbouw",R28:R29)</f>
        <v>0</v>
      </c>
      <c r="S33" s="580">
        <f>SUMIF($AA$28:$AA$29,"landbouw",S28:S29)</f>
        <v>0</v>
      </c>
      <c r="T33" s="580">
        <f>SUMIF($AA$28:$AA$29,"landbouw",T28:T29)</f>
        <v>0</v>
      </c>
      <c r="U33" s="580">
        <f>SUMIF($AA$28:$AA$29,"landbouw",U28:U29)</f>
        <v>0</v>
      </c>
      <c r="V33" s="580">
        <f>SUMIF($AA$28:$AA$29,"landbouw",V28:V29)</f>
        <v>0</v>
      </c>
      <c r="W33" s="580">
        <f>SUMIF($AA$28:$AA$29,"landbouw",W28:W29)</f>
        <v>0</v>
      </c>
      <c r="X33" s="580"/>
      <c r="Y33" s="581"/>
      <c r="Z33" s="581"/>
      <c r="AA33" s="582"/>
    </row>
    <row r="34" spans="1:28" s="524" customFormat="1" ht="15.75" thickBot="1">
      <c r="A34" s="583"/>
      <c r="B34" s="584"/>
      <c r="C34" s="584"/>
      <c r="D34" s="584"/>
      <c r="E34" s="584"/>
      <c r="F34" s="584"/>
      <c r="G34" s="584"/>
      <c r="H34" s="584"/>
      <c r="I34" s="584"/>
      <c r="J34" s="584"/>
      <c r="K34" s="584"/>
      <c r="L34" s="567"/>
      <c r="M34" s="567"/>
      <c r="N34" s="567"/>
      <c r="O34" s="568"/>
      <c r="P34" s="568"/>
    </row>
    <row r="35" spans="1:28" s="524" customFormat="1" ht="45">
      <c r="A35" s="585" t="s">
        <v>270</v>
      </c>
      <c r="B35" s="614" t="s">
        <v>89</v>
      </c>
      <c r="C35" s="614" t="s">
        <v>90</v>
      </c>
      <c r="D35" s="614"/>
      <c r="E35" s="614"/>
      <c r="F35" s="614"/>
      <c r="G35" s="614" t="s">
        <v>91</v>
      </c>
      <c r="H35" s="614" t="s">
        <v>92</v>
      </c>
      <c r="I35" s="614"/>
      <c r="J35" s="614"/>
      <c r="K35" s="614"/>
      <c r="L35" s="614" t="s">
        <v>93</v>
      </c>
      <c r="M35" s="615" t="s">
        <v>287</v>
      </c>
      <c r="N35" s="615" t="s">
        <v>94</v>
      </c>
      <c r="O35" s="615" t="s">
        <v>95</v>
      </c>
      <c r="P35" s="615" t="s">
        <v>529</v>
      </c>
      <c r="Q35" s="615" t="s">
        <v>96</v>
      </c>
      <c r="R35" s="615" t="s">
        <v>97</v>
      </c>
      <c r="S35" s="615" t="s">
        <v>98</v>
      </c>
      <c r="T35" s="615" t="s">
        <v>99</v>
      </c>
      <c r="U35" s="615" t="s">
        <v>100</v>
      </c>
      <c r="V35" s="615" t="s">
        <v>101</v>
      </c>
      <c r="W35" s="614" t="s">
        <v>102</v>
      </c>
      <c r="X35" s="614" t="s">
        <v>903</v>
      </c>
      <c r="Y35" s="614" t="s">
        <v>288</v>
      </c>
      <c r="Z35" s="614" t="s">
        <v>103</v>
      </c>
      <c r="AA35" s="616" t="s">
        <v>289</v>
      </c>
    </row>
    <row r="36" spans="1:28" s="586" customFormat="1" ht="12.75" hidden="1">
      <c r="A36" s="572"/>
      <c r="B36" s="725"/>
      <c r="C36" s="725"/>
      <c r="D36" s="620"/>
      <c r="E36" s="620"/>
      <c r="F36" s="620"/>
      <c r="G36" s="620"/>
      <c r="H36" s="620"/>
      <c r="I36" s="620"/>
      <c r="J36" s="724"/>
      <c r="K36" s="724"/>
      <c r="L36" s="620"/>
      <c r="M36" s="620"/>
      <c r="N36" s="620"/>
      <c r="O36" s="620"/>
      <c r="P36" s="620"/>
      <c r="Q36" s="620"/>
      <c r="R36" s="620"/>
      <c r="S36" s="620"/>
      <c r="T36" s="620"/>
      <c r="U36" s="620"/>
      <c r="V36" s="620"/>
      <c r="W36" s="620"/>
      <c r="X36" s="620"/>
      <c r="Y36" s="620"/>
      <c r="Z36" s="620"/>
      <c r="AA36" s="621"/>
    </row>
    <row r="37" spans="1:28" s="555" customFormat="1" hidden="1">
      <c r="A37" s="573" t="s">
        <v>269</v>
      </c>
      <c r="B37" s="574"/>
      <c r="C37" s="574"/>
      <c r="D37" s="574"/>
      <c r="E37" s="574"/>
      <c r="F37" s="574"/>
      <c r="G37" s="574"/>
      <c r="H37" s="574"/>
      <c r="I37" s="574"/>
      <c r="J37" s="574"/>
      <c r="K37" s="574"/>
      <c r="L37" s="575"/>
      <c r="M37" s="575">
        <f>SUM(M36:M36)</f>
        <v>0</v>
      </c>
      <c r="N37" s="575">
        <f>SUM(N36:N36)</f>
        <v>0</v>
      </c>
      <c r="O37" s="575">
        <f>SUM(O36:O36)</f>
        <v>0</v>
      </c>
      <c r="P37" s="575">
        <f>SUM(P36:P36)</f>
        <v>0</v>
      </c>
      <c r="Q37" s="575">
        <f>SUM(Q36:Q36)</f>
        <v>0</v>
      </c>
      <c r="R37" s="575">
        <f>SUM(R36:R36)</f>
        <v>0</v>
      </c>
      <c r="S37" s="575">
        <f>SUM(S36:S36)</f>
        <v>0</v>
      </c>
      <c r="T37" s="575">
        <f>SUM(T36:T36)</f>
        <v>0</v>
      </c>
      <c r="U37" s="575">
        <f>SUM(U36:U36)</f>
        <v>0</v>
      </c>
      <c r="V37" s="575">
        <f>SUM(V36:V36)</f>
        <v>0</v>
      </c>
      <c r="W37" s="575">
        <f>SUM(W36:W36)</f>
        <v>0</v>
      </c>
      <c r="X37" s="575"/>
      <c r="Y37" s="576"/>
      <c r="Z37" s="576"/>
      <c r="AA37" s="577"/>
    </row>
    <row r="38" spans="1:28" s="555" customFormat="1">
      <c r="A38" s="573" t="s">
        <v>276</v>
      </c>
      <c r="B38" s="574"/>
      <c r="C38" s="574"/>
      <c r="D38" s="574"/>
      <c r="E38" s="574"/>
      <c r="F38" s="574"/>
      <c r="G38" s="574"/>
      <c r="H38" s="574"/>
      <c r="I38" s="574"/>
      <c r="J38" s="574"/>
      <c r="K38" s="574"/>
      <c r="L38" s="575"/>
      <c r="M38" s="575">
        <f>SUMIF($AA$36:$AA$36,"industrie",M36:M36)</f>
        <v>0</v>
      </c>
      <c r="N38" s="575">
        <f>SUMIF($AA$36:$AA$36,"industrie",N36:N36)</f>
        <v>0</v>
      </c>
      <c r="O38" s="575">
        <f>SUMIF($AA$36:$AA$36,"industrie",O36:O36)</f>
        <v>0</v>
      </c>
      <c r="P38" s="575">
        <f>SUMIF($AA$36:$AA$36,"industrie",P36:P36)</f>
        <v>0</v>
      </c>
      <c r="Q38" s="575">
        <f>SUMIF($AA$36:$AA$36,"industrie",Q36:Q36)</f>
        <v>0</v>
      </c>
      <c r="R38" s="575">
        <f>SUMIF($AA$36:$AA$36,"industrie",R36:R36)</f>
        <v>0</v>
      </c>
      <c r="S38" s="575">
        <f>SUMIF($AA$36:$AA$36,"industrie",S36:S36)</f>
        <v>0</v>
      </c>
      <c r="T38" s="575">
        <f>SUMIF($AA$36:$AA$36,"industrie",T36:T36)</f>
        <v>0</v>
      </c>
      <c r="U38" s="575">
        <f>SUMIF($AA$36:$AA$36,"industrie",U36:U36)</f>
        <v>0</v>
      </c>
      <c r="V38" s="575">
        <f>SUMIF($AA$36:$AA$36,"industrie",V36:V36)</f>
        <v>0</v>
      </c>
      <c r="W38" s="575">
        <f>SUMIF($AA$36:$AA$36,"industrie",W36:W36)</f>
        <v>0</v>
      </c>
      <c r="X38" s="575"/>
      <c r="Y38" s="576"/>
      <c r="Z38" s="576"/>
      <c r="AA38" s="577"/>
    </row>
    <row r="39" spans="1:28" s="555" customFormat="1">
      <c r="A39" s="573" t="s">
        <v>277</v>
      </c>
      <c r="B39" s="574"/>
      <c r="C39" s="574"/>
      <c r="D39" s="574"/>
      <c r="E39" s="574"/>
      <c r="F39" s="574"/>
      <c r="G39" s="574"/>
      <c r="H39" s="574"/>
      <c r="I39" s="574"/>
      <c r="J39" s="574"/>
      <c r="K39" s="574"/>
      <c r="L39" s="575"/>
      <c r="M39" s="575">
        <f>SUMIF($AA$36:$AA$37,"tertiair",M36:M37)</f>
        <v>0</v>
      </c>
      <c r="N39" s="575">
        <f>SUMIF($AA$36:$AA$37,"tertiair",N36:N37)</f>
        <v>0</v>
      </c>
      <c r="O39" s="575">
        <f>SUMIF($AA$36:$AA$37,"tertiair",O36:O37)</f>
        <v>0</v>
      </c>
      <c r="P39" s="575">
        <f>SUMIF($AA$36:$AA$37,"tertiair",P36:P37)</f>
        <v>0</v>
      </c>
      <c r="Q39" s="575">
        <f>SUMIF($AA$36:$AA$37,"tertiair",Q36:Q37)</f>
        <v>0</v>
      </c>
      <c r="R39" s="575">
        <f>SUMIF($AA$36:$AA$37,"tertiair",R36:R37)</f>
        <v>0</v>
      </c>
      <c r="S39" s="575">
        <f>SUMIF($AA$36:$AA$37,"tertiair",S36:S37)</f>
        <v>0</v>
      </c>
      <c r="T39" s="575">
        <f>SUMIF($AA$36:$AA$37,"tertiair",T36:T37)</f>
        <v>0</v>
      </c>
      <c r="U39" s="575">
        <f>SUMIF($AA$36:$AA$37,"tertiair",U36:U37)</f>
        <v>0</v>
      </c>
      <c r="V39" s="575">
        <f>SUMIF($AA$36:$AA$37,"tertiair",V36:V37)</f>
        <v>0</v>
      </c>
      <c r="W39" s="575">
        <f>SUMIF($AA$36:$AA$37,"tertiair",W36:W37)</f>
        <v>0</v>
      </c>
      <c r="X39" s="575"/>
      <c r="Y39" s="576"/>
      <c r="Z39" s="576"/>
      <c r="AA39" s="577"/>
    </row>
    <row r="40" spans="1:28" s="555" customFormat="1" ht="15.75" thickBot="1">
      <c r="A40" s="578" t="s">
        <v>278</v>
      </c>
      <c r="B40" s="579"/>
      <c r="C40" s="579"/>
      <c r="D40" s="579"/>
      <c r="E40" s="579"/>
      <c r="F40" s="579"/>
      <c r="G40" s="579"/>
      <c r="H40" s="579"/>
      <c r="I40" s="579"/>
      <c r="J40" s="579"/>
      <c r="K40" s="579"/>
      <c r="L40" s="580"/>
      <c r="M40" s="580">
        <f>SUMIF($AA$36:$AA$38,"landbouw",M36:M38)</f>
        <v>0</v>
      </c>
      <c r="N40" s="580">
        <f>SUMIF($AA$36:$AA$38,"landbouw",N36:N38)</f>
        <v>0</v>
      </c>
      <c r="O40" s="580">
        <f>SUMIF($AA$36:$AA$38,"landbouw",O36:O38)</f>
        <v>0</v>
      </c>
      <c r="P40" s="580">
        <f>SUMIF($AA$36:$AA$38,"landbouw",P36:P38)</f>
        <v>0</v>
      </c>
      <c r="Q40" s="580">
        <f>SUMIF($AA$36:$AA$38,"landbouw",Q36:Q38)</f>
        <v>0</v>
      </c>
      <c r="R40" s="580">
        <f>SUMIF($AA$36:$AA$38,"landbouw",R36:R38)</f>
        <v>0</v>
      </c>
      <c r="S40" s="580">
        <f>SUMIF($AA$36:$AA$38,"landbouw",S36:S38)</f>
        <v>0</v>
      </c>
      <c r="T40" s="580">
        <f>SUMIF($AA$36:$AA$38,"landbouw",T36:T38)</f>
        <v>0</v>
      </c>
      <c r="U40" s="580">
        <f>SUMIF($AA$36:$AA$38,"landbouw",U36:U38)</f>
        <v>0</v>
      </c>
      <c r="V40" s="580">
        <f>SUMIF($AA$36:$AA$38,"landbouw",V36:V38)</f>
        <v>0</v>
      </c>
      <c r="W40" s="580">
        <f>SUMIF($AA$36:$AA$38,"landbouw",W36:W38)</f>
        <v>0</v>
      </c>
      <c r="X40" s="580"/>
      <c r="Y40" s="581"/>
      <c r="Z40" s="581"/>
      <c r="AA40" s="582"/>
    </row>
    <row r="41" spans="1:28" s="587" customForma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row>
    <row r="42" spans="1:28" s="587" customFormat="1" ht="15.75" thickBot="1">
      <c r="A42" s="583"/>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row>
    <row r="43" spans="1:28">
      <c r="A43" s="588" t="s">
        <v>271</v>
      </c>
      <c r="B43" s="589"/>
      <c r="C43" s="589"/>
      <c r="D43" s="589"/>
      <c r="E43" s="589"/>
      <c r="F43" s="589"/>
      <c r="G43" s="589"/>
      <c r="H43" s="589"/>
      <c r="I43" s="590"/>
      <c r="J43" s="591"/>
      <c r="K43" s="591"/>
      <c r="L43" s="592"/>
      <c r="M43" s="592"/>
      <c r="N43" s="592"/>
      <c r="O43" s="592"/>
      <c r="P43" s="592"/>
    </row>
    <row r="44" spans="1:28">
      <c r="A44" s="594"/>
      <c r="B44" s="584"/>
      <c r="C44" s="584"/>
      <c r="D44" s="584"/>
      <c r="E44" s="584"/>
      <c r="F44" s="584"/>
      <c r="G44" s="584"/>
      <c r="H44" s="584"/>
      <c r="I44" s="595"/>
      <c r="J44" s="584"/>
      <c r="K44" s="584"/>
      <c r="L44" s="592"/>
      <c r="M44" s="592"/>
      <c r="N44" s="592"/>
      <c r="O44" s="592"/>
      <c r="P44" s="592"/>
    </row>
    <row r="45" spans="1:28">
      <c r="A45" s="596"/>
      <c r="B45" s="597" t="s">
        <v>272</v>
      </c>
      <c r="C45" s="597" t="s">
        <v>273</v>
      </c>
      <c r="D45" s="597"/>
      <c r="E45" s="597"/>
      <c r="F45" s="597"/>
      <c r="G45" s="597"/>
      <c r="H45" s="597"/>
      <c r="I45" s="598"/>
      <c r="J45" s="597"/>
      <c r="K45" s="597"/>
      <c r="L45" s="597"/>
      <c r="M45" s="597"/>
      <c r="N45" s="597"/>
      <c r="O45" s="597"/>
      <c r="P45" s="592"/>
    </row>
    <row r="46" spans="1:28">
      <c r="A46" s="594" t="s">
        <v>269</v>
      </c>
      <c r="B46" s="599">
        <f>IF(ISERROR(O30/(O30+N30)),0,O30/(O30+N30))</f>
        <v>0.58823529411764708</v>
      </c>
      <c r="C46" s="600">
        <f>IF(ISERROR(N30/(O30+N30)),0,N30/(N30+O30))</f>
        <v>0.41176470588235292</v>
      </c>
      <c r="D46" s="567"/>
      <c r="E46" s="567"/>
      <c r="F46" s="567"/>
      <c r="G46" s="567"/>
      <c r="H46" s="567"/>
      <c r="I46" s="601"/>
      <c r="J46" s="567"/>
      <c r="K46" s="567"/>
      <c r="L46" s="602"/>
      <c r="M46" s="602"/>
      <c r="N46" s="602"/>
      <c r="O46" s="602"/>
      <c r="P46" s="592"/>
    </row>
    <row r="47" spans="1:28">
      <c r="A47" s="594"/>
      <c r="B47" s="603"/>
      <c r="C47" s="603"/>
      <c r="D47" s="603"/>
      <c r="E47" s="603"/>
      <c r="F47" s="603"/>
      <c r="G47" s="603"/>
      <c r="H47" s="603"/>
      <c r="I47" s="604"/>
      <c r="J47" s="603"/>
      <c r="K47" s="603"/>
      <c r="L47" s="605"/>
      <c r="M47" s="605"/>
      <c r="N47" s="605"/>
      <c r="O47" s="605"/>
      <c r="P47" s="592"/>
    </row>
    <row r="48" spans="1:28" ht="30">
      <c r="A48" s="606"/>
      <c r="B48" s="607" t="s">
        <v>529</v>
      </c>
      <c r="C48" s="607" t="s">
        <v>96</v>
      </c>
      <c r="D48" s="607" t="s">
        <v>97</v>
      </c>
      <c r="E48" s="607" t="s">
        <v>98</v>
      </c>
      <c r="F48" s="607" t="s">
        <v>99</v>
      </c>
      <c r="G48" s="607" t="s">
        <v>100</v>
      </c>
      <c r="H48" s="607" t="s">
        <v>101</v>
      </c>
      <c r="I48" s="608" t="s">
        <v>102</v>
      </c>
      <c r="J48" s="597"/>
      <c r="K48" s="597"/>
      <c r="L48" s="605"/>
      <c r="M48" s="605"/>
      <c r="N48" s="605"/>
      <c r="O48" s="592"/>
      <c r="P48" s="592"/>
    </row>
    <row r="49" spans="1:16">
      <c r="A49" s="596" t="s">
        <v>274</v>
      </c>
      <c r="B49" s="609">
        <f t="shared" ref="B49:I49" si="2">$C$46*P30</f>
        <v>1058.8235294117646</v>
      </c>
      <c r="C49" s="609">
        <f t="shared" si="2"/>
        <v>0</v>
      </c>
      <c r="D49" s="609">
        <f t="shared" si="2"/>
        <v>0</v>
      </c>
      <c r="E49" s="609">
        <f t="shared" si="2"/>
        <v>0</v>
      </c>
      <c r="F49" s="609">
        <f t="shared" si="2"/>
        <v>0</v>
      </c>
      <c r="G49" s="609">
        <f t="shared" si="2"/>
        <v>0</v>
      </c>
      <c r="H49" s="609">
        <f t="shared" si="2"/>
        <v>0</v>
      </c>
      <c r="I49" s="610">
        <f t="shared" si="2"/>
        <v>0</v>
      </c>
      <c r="J49" s="567"/>
      <c r="K49" s="567"/>
      <c r="L49" s="605"/>
      <c r="M49" s="605"/>
      <c r="N49" s="605"/>
      <c r="O49" s="592"/>
      <c r="P49" s="592"/>
    </row>
    <row r="50" spans="1:16" ht="15.75" thickBot="1">
      <c r="A50" s="611" t="s">
        <v>275</v>
      </c>
      <c r="B50" s="612">
        <f t="shared" ref="B50:I50" si="3">$B$46*P30</f>
        <v>1512.6050420168069</v>
      </c>
      <c r="C50" s="612">
        <f t="shared" si="3"/>
        <v>0</v>
      </c>
      <c r="D50" s="612">
        <f t="shared" si="3"/>
        <v>0</v>
      </c>
      <c r="E50" s="612">
        <f t="shared" si="3"/>
        <v>0</v>
      </c>
      <c r="F50" s="612">
        <f t="shared" si="3"/>
        <v>0</v>
      </c>
      <c r="G50" s="612">
        <f t="shared" si="3"/>
        <v>0</v>
      </c>
      <c r="H50" s="612">
        <f t="shared" si="3"/>
        <v>0</v>
      </c>
      <c r="I50" s="613">
        <f t="shared" si="3"/>
        <v>0</v>
      </c>
      <c r="J50" s="567"/>
      <c r="K50" s="567"/>
      <c r="L50" s="605"/>
      <c r="M50" s="605"/>
      <c r="N50" s="605"/>
      <c r="O50" s="592"/>
      <c r="P50" s="592"/>
    </row>
    <row r="51" spans="1:16">
      <c r="J51" s="553"/>
      <c r="K51" s="553"/>
      <c r="L51" s="553"/>
      <c r="M51" s="553"/>
      <c r="N51" s="553"/>
    </row>
    <row r="52" spans="1:16">
      <c r="J52" s="553"/>
      <c r="K52" s="553"/>
      <c r="L52" s="553"/>
      <c r="M52" s="553"/>
      <c r="N52"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29281.3321</v>
      </c>
      <c r="D10" s="943">
        <f ca="1">tertiair!C16</f>
        <v>1285.7142857142858</v>
      </c>
      <c r="E10" s="943">
        <f ca="1">tertiair!D16</f>
        <v>10031.292697937526</v>
      </c>
      <c r="F10" s="943">
        <f>tertiair!E16</f>
        <v>423.02530132306606</v>
      </c>
      <c r="G10" s="943">
        <f ca="1">tertiair!F16</f>
        <v>5806.5859757061698</v>
      </c>
      <c r="H10" s="943">
        <f>tertiair!G16</f>
        <v>0</v>
      </c>
      <c r="I10" s="943">
        <f>tertiair!H16</f>
        <v>0</v>
      </c>
      <c r="J10" s="943">
        <f>tertiair!I16</f>
        <v>0</v>
      </c>
      <c r="K10" s="943">
        <f>tertiair!J16</f>
        <v>0</v>
      </c>
      <c r="L10" s="943">
        <f>tertiair!K16</f>
        <v>0</v>
      </c>
      <c r="M10" s="943">
        <f ca="1">tertiair!L16</f>
        <v>0</v>
      </c>
      <c r="N10" s="943">
        <f>tertiair!M16</f>
        <v>0</v>
      </c>
      <c r="O10" s="943">
        <f ca="1">tertiair!N16</f>
        <v>1546.2878781837151</v>
      </c>
      <c r="P10" s="943">
        <f>tertiair!O16</f>
        <v>1.5633333333333335</v>
      </c>
      <c r="Q10" s="944">
        <f>tertiair!P16</f>
        <v>19.066666666666666</v>
      </c>
      <c r="R10" s="629">
        <f ca="1">SUM(C10:Q10)</f>
        <v>48394.868238864758</v>
      </c>
      <c r="S10" s="67"/>
    </row>
    <row r="11" spans="1:19" s="438" customFormat="1">
      <c r="A11" s="737" t="s">
        <v>214</v>
      </c>
      <c r="B11" s="742"/>
      <c r="C11" s="943">
        <f>huishoudens!B8</f>
        <v>24360.042546014894</v>
      </c>
      <c r="D11" s="943">
        <f>huishoudens!C8</f>
        <v>0</v>
      </c>
      <c r="E11" s="943">
        <f>huishoudens!D8</f>
        <v>17835.448725551913</v>
      </c>
      <c r="F11" s="943">
        <f>huishoudens!E8</f>
        <v>1582.5682858991163</v>
      </c>
      <c r="G11" s="943">
        <f>huishoudens!F8</f>
        <v>49925.092115214233</v>
      </c>
      <c r="H11" s="943">
        <f>huishoudens!G8</f>
        <v>0</v>
      </c>
      <c r="I11" s="943">
        <f>huishoudens!H8</f>
        <v>0</v>
      </c>
      <c r="J11" s="943">
        <f>huishoudens!I8</f>
        <v>0</v>
      </c>
      <c r="K11" s="943">
        <f>huishoudens!J8</f>
        <v>1164.2512621359188</v>
      </c>
      <c r="L11" s="943">
        <f>huishoudens!K8</f>
        <v>0</v>
      </c>
      <c r="M11" s="943">
        <f>huishoudens!L8</f>
        <v>0</v>
      </c>
      <c r="N11" s="943">
        <f>huishoudens!M8</f>
        <v>0</v>
      </c>
      <c r="O11" s="943">
        <f>huishoudens!N8</f>
        <v>5756.7614093101865</v>
      </c>
      <c r="P11" s="943">
        <f>huishoudens!O8</f>
        <v>226.68333333333334</v>
      </c>
      <c r="Q11" s="944">
        <f>huishoudens!P8</f>
        <v>915.2</v>
      </c>
      <c r="R11" s="629">
        <f>SUM(C11:Q11)</f>
        <v>101766.04767745959</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49704.605900000002</v>
      </c>
      <c r="D13" s="943">
        <f>industrie!C18</f>
        <v>0</v>
      </c>
      <c r="E13" s="943">
        <f>industrie!D18</f>
        <v>40198.14916119002</v>
      </c>
      <c r="F13" s="943">
        <f>industrie!E18</f>
        <v>3041.2501240540737</v>
      </c>
      <c r="G13" s="943">
        <f>industrie!F18</f>
        <v>14556.666445608378</v>
      </c>
      <c r="H13" s="943">
        <f>industrie!G18</f>
        <v>0</v>
      </c>
      <c r="I13" s="943">
        <f>industrie!H18</f>
        <v>0</v>
      </c>
      <c r="J13" s="943">
        <f>industrie!I18</f>
        <v>0</v>
      </c>
      <c r="K13" s="943">
        <f>industrie!J18</f>
        <v>210.33782896599314</v>
      </c>
      <c r="L13" s="943">
        <f>industrie!K18</f>
        <v>0</v>
      </c>
      <c r="M13" s="943">
        <f>industrie!L18</f>
        <v>0</v>
      </c>
      <c r="N13" s="943">
        <f>industrie!M18</f>
        <v>0</v>
      </c>
      <c r="O13" s="943">
        <f>industrie!N18</f>
        <v>3331.2662806992603</v>
      </c>
      <c r="P13" s="943">
        <f>industrie!O18</f>
        <v>0</v>
      </c>
      <c r="Q13" s="944">
        <f>industrie!P18</f>
        <v>0</v>
      </c>
      <c r="R13" s="629">
        <f>SUM(C13:Q13)</f>
        <v>111042.27574051773</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103345.98054601491</v>
      </c>
      <c r="D16" s="661">
        <f t="shared" ref="D16:R16" ca="1" si="0">SUM(D9:D15)</f>
        <v>1285.7142857142858</v>
      </c>
      <c r="E16" s="661">
        <f t="shared" ca="1" si="0"/>
        <v>68064.890584679466</v>
      </c>
      <c r="F16" s="661">
        <f t="shared" si="0"/>
        <v>5046.8437112762558</v>
      </c>
      <c r="G16" s="661">
        <f t="shared" ca="1" si="0"/>
        <v>70288.344536528777</v>
      </c>
      <c r="H16" s="661">
        <f t="shared" si="0"/>
        <v>0</v>
      </c>
      <c r="I16" s="661">
        <f t="shared" si="0"/>
        <v>0</v>
      </c>
      <c r="J16" s="661">
        <f t="shared" si="0"/>
        <v>0</v>
      </c>
      <c r="K16" s="661">
        <f t="shared" si="0"/>
        <v>1374.5890911019119</v>
      </c>
      <c r="L16" s="661">
        <f t="shared" si="0"/>
        <v>0</v>
      </c>
      <c r="M16" s="661">
        <f t="shared" ca="1" si="0"/>
        <v>0</v>
      </c>
      <c r="N16" s="661">
        <f t="shared" si="0"/>
        <v>0</v>
      </c>
      <c r="O16" s="661">
        <f t="shared" ca="1" si="0"/>
        <v>10634.315568193162</v>
      </c>
      <c r="P16" s="661">
        <f t="shared" si="0"/>
        <v>228.24666666666667</v>
      </c>
      <c r="Q16" s="661">
        <f t="shared" si="0"/>
        <v>934.26666666666677</v>
      </c>
      <c r="R16" s="661">
        <f t="shared" ca="1" si="0"/>
        <v>261203.19165684207</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4.0324919015767193</v>
      </c>
      <c r="D19" s="943">
        <f>transport!C54</f>
        <v>0</v>
      </c>
      <c r="E19" s="943">
        <f>transport!D54</f>
        <v>0</v>
      </c>
      <c r="F19" s="943">
        <f>transport!E54</f>
        <v>0</v>
      </c>
      <c r="G19" s="943">
        <f>transport!F54</f>
        <v>0</v>
      </c>
      <c r="H19" s="943">
        <f>transport!G54</f>
        <v>764.10402211461462</v>
      </c>
      <c r="I19" s="943">
        <f>transport!H54</f>
        <v>0</v>
      </c>
      <c r="J19" s="943">
        <f>transport!I54</f>
        <v>0</v>
      </c>
      <c r="K19" s="943">
        <f>transport!J54</f>
        <v>0</v>
      </c>
      <c r="L19" s="943">
        <f>transport!K54</f>
        <v>0</v>
      </c>
      <c r="M19" s="943">
        <f>transport!L54</f>
        <v>0</v>
      </c>
      <c r="N19" s="943">
        <f>transport!M54</f>
        <v>43.987967879800678</v>
      </c>
      <c r="O19" s="943">
        <f>transport!N54</f>
        <v>0</v>
      </c>
      <c r="P19" s="943">
        <f>transport!O54</f>
        <v>0</v>
      </c>
      <c r="Q19" s="944">
        <f>transport!P54</f>
        <v>0</v>
      </c>
      <c r="R19" s="629">
        <f>SUM(C19:Q19)</f>
        <v>812.12448189599195</v>
      </c>
      <c r="S19" s="67"/>
    </row>
    <row r="20" spans="1:19" s="438" customFormat="1">
      <c r="A20" s="737" t="s">
        <v>296</v>
      </c>
      <c r="B20" s="742"/>
      <c r="C20" s="943">
        <f>transport!B14</f>
        <v>46.784863065532811</v>
      </c>
      <c r="D20" s="943">
        <f>transport!C14</f>
        <v>0</v>
      </c>
      <c r="E20" s="943">
        <f>transport!D14</f>
        <v>63.159013054631608</v>
      </c>
      <c r="F20" s="943">
        <f>transport!E14</f>
        <v>698.37247741771773</v>
      </c>
      <c r="G20" s="943">
        <f>transport!F14</f>
        <v>0</v>
      </c>
      <c r="H20" s="943">
        <f>transport!G14</f>
        <v>314635.78452056058</v>
      </c>
      <c r="I20" s="943">
        <f>transport!H14</f>
        <v>39993.095821280709</v>
      </c>
      <c r="J20" s="943">
        <f>transport!I14</f>
        <v>0</v>
      </c>
      <c r="K20" s="943">
        <f>transport!J14</f>
        <v>0</v>
      </c>
      <c r="L20" s="943">
        <f>transport!K14</f>
        <v>0</v>
      </c>
      <c r="M20" s="943">
        <f>transport!L14</f>
        <v>0</v>
      </c>
      <c r="N20" s="943">
        <f>transport!M14</f>
        <v>19461.590167794187</v>
      </c>
      <c r="O20" s="943">
        <f>transport!N14</f>
        <v>0</v>
      </c>
      <c r="P20" s="943">
        <f>transport!O14</f>
        <v>0</v>
      </c>
      <c r="Q20" s="944">
        <f>transport!P14</f>
        <v>0</v>
      </c>
      <c r="R20" s="629">
        <f>SUM(C20:Q20)</f>
        <v>374898.78686317342</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50.81735496710953</v>
      </c>
      <c r="D22" s="740">
        <f t="shared" ref="D22:R22" si="1">SUM(D18:D21)</f>
        <v>0</v>
      </c>
      <c r="E22" s="740">
        <f t="shared" si="1"/>
        <v>63.159013054631608</v>
      </c>
      <c r="F22" s="740">
        <f t="shared" si="1"/>
        <v>698.37247741771773</v>
      </c>
      <c r="G22" s="740">
        <f t="shared" si="1"/>
        <v>0</v>
      </c>
      <c r="H22" s="740">
        <f t="shared" si="1"/>
        <v>315399.88854267518</v>
      </c>
      <c r="I22" s="740">
        <f t="shared" si="1"/>
        <v>39993.095821280709</v>
      </c>
      <c r="J22" s="740">
        <f t="shared" si="1"/>
        <v>0</v>
      </c>
      <c r="K22" s="740">
        <f t="shared" si="1"/>
        <v>0</v>
      </c>
      <c r="L22" s="740">
        <f t="shared" si="1"/>
        <v>0</v>
      </c>
      <c r="M22" s="740">
        <f t="shared" si="1"/>
        <v>0</v>
      </c>
      <c r="N22" s="740">
        <f t="shared" si="1"/>
        <v>19505.57813567399</v>
      </c>
      <c r="O22" s="740">
        <f t="shared" si="1"/>
        <v>0</v>
      </c>
      <c r="P22" s="740">
        <f t="shared" si="1"/>
        <v>0</v>
      </c>
      <c r="Q22" s="740">
        <f t="shared" si="1"/>
        <v>0</v>
      </c>
      <c r="R22" s="740">
        <f t="shared" si="1"/>
        <v>375710.91134506941</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1671.0132699999999</v>
      </c>
      <c r="D24" s="943">
        <f>+landbouw!C8</f>
        <v>0</v>
      </c>
      <c r="E24" s="943">
        <f>+landbouw!D8</f>
        <v>678.86602627070715</v>
      </c>
      <c r="F24" s="943">
        <f>+landbouw!E8</f>
        <v>35.832438886158606</v>
      </c>
      <c r="G24" s="943">
        <f>+landbouw!F8</f>
        <v>5420.2315985391333</v>
      </c>
      <c r="H24" s="943">
        <f>+landbouw!G8</f>
        <v>0</v>
      </c>
      <c r="I24" s="943">
        <f>+landbouw!H8</f>
        <v>0</v>
      </c>
      <c r="J24" s="943">
        <f>+landbouw!I8</f>
        <v>0</v>
      </c>
      <c r="K24" s="943">
        <f>+landbouw!J8</f>
        <v>161.00301166226586</v>
      </c>
      <c r="L24" s="943">
        <f>+landbouw!K8</f>
        <v>0</v>
      </c>
      <c r="M24" s="943">
        <f>+landbouw!L8</f>
        <v>0</v>
      </c>
      <c r="N24" s="943">
        <f>+landbouw!M8</f>
        <v>0</v>
      </c>
      <c r="O24" s="943">
        <f>+landbouw!N8</f>
        <v>0</v>
      </c>
      <c r="P24" s="943">
        <f>+landbouw!O8</f>
        <v>0</v>
      </c>
      <c r="Q24" s="944">
        <f>+landbouw!P8</f>
        <v>0</v>
      </c>
      <c r="R24" s="629">
        <f>SUM(C24:Q24)</f>
        <v>7966.9463453582648</v>
      </c>
      <c r="S24" s="67"/>
    </row>
    <row r="25" spans="1:19" s="438" customFormat="1" ht="15" thickBot="1">
      <c r="A25" s="759" t="s">
        <v>802</v>
      </c>
      <c r="B25" s="946"/>
      <c r="C25" s="947">
        <f>IF(Onbekend_ele_kWh="---",0,Onbekend_ele_kWh)/1000+IF(REST_rest_ele_kWh="---",0,REST_rest_ele_kWh)/1000</f>
        <v>673.98910000000001</v>
      </c>
      <c r="D25" s="947"/>
      <c r="E25" s="947">
        <f>IF(onbekend_gas_kWh="---",0,onbekend_gas_kWh)/1000+IF(REST_rest_gas_kWh="---",0,REST_rest_gas_kWh)/1000</f>
        <v>845.25077917984697</v>
      </c>
      <c r="F25" s="947"/>
      <c r="G25" s="947"/>
      <c r="H25" s="947"/>
      <c r="I25" s="947"/>
      <c r="J25" s="947"/>
      <c r="K25" s="947"/>
      <c r="L25" s="947"/>
      <c r="M25" s="947"/>
      <c r="N25" s="947"/>
      <c r="O25" s="947"/>
      <c r="P25" s="947"/>
      <c r="Q25" s="948"/>
      <c r="R25" s="629">
        <f>SUM(C25:Q25)</f>
        <v>1519.2398791798469</v>
      </c>
      <c r="S25" s="67"/>
    </row>
    <row r="26" spans="1:19" s="438" customFormat="1" ht="15.75" thickBot="1">
      <c r="A26" s="634" t="s">
        <v>803</v>
      </c>
      <c r="B26" s="745"/>
      <c r="C26" s="740">
        <f>SUM(C24:C25)</f>
        <v>2345.0023700000002</v>
      </c>
      <c r="D26" s="740">
        <f t="shared" ref="D26:R26" si="2">SUM(D24:D25)</f>
        <v>0</v>
      </c>
      <c r="E26" s="740">
        <f t="shared" si="2"/>
        <v>1524.1168054505542</v>
      </c>
      <c r="F26" s="740">
        <f t="shared" si="2"/>
        <v>35.832438886158606</v>
      </c>
      <c r="G26" s="740">
        <f t="shared" si="2"/>
        <v>5420.2315985391333</v>
      </c>
      <c r="H26" s="740">
        <f t="shared" si="2"/>
        <v>0</v>
      </c>
      <c r="I26" s="740">
        <f t="shared" si="2"/>
        <v>0</v>
      </c>
      <c r="J26" s="740">
        <f t="shared" si="2"/>
        <v>0</v>
      </c>
      <c r="K26" s="740">
        <f t="shared" si="2"/>
        <v>161.00301166226586</v>
      </c>
      <c r="L26" s="740">
        <f t="shared" si="2"/>
        <v>0</v>
      </c>
      <c r="M26" s="740">
        <f t="shared" si="2"/>
        <v>0</v>
      </c>
      <c r="N26" s="740">
        <f t="shared" si="2"/>
        <v>0</v>
      </c>
      <c r="O26" s="740">
        <f t="shared" si="2"/>
        <v>0</v>
      </c>
      <c r="P26" s="740">
        <f t="shared" si="2"/>
        <v>0</v>
      </c>
      <c r="Q26" s="740">
        <f t="shared" si="2"/>
        <v>0</v>
      </c>
      <c r="R26" s="740">
        <f t="shared" si="2"/>
        <v>9486.1862245381126</v>
      </c>
      <c r="S26" s="67"/>
    </row>
    <row r="27" spans="1:19" s="438" customFormat="1" ht="17.25" thickTop="1" thickBot="1">
      <c r="A27" s="635" t="s">
        <v>109</v>
      </c>
      <c r="B27" s="733"/>
      <c r="C27" s="636">
        <f ca="1">C22+C16+C26</f>
        <v>105741.80027098201</v>
      </c>
      <c r="D27" s="636">
        <f t="shared" ref="D27:R27" ca="1" si="3">D22+D16+D26</f>
        <v>1285.7142857142858</v>
      </c>
      <c r="E27" s="636">
        <f t="shared" ca="1" si="3"/>
        <v>69652.166403184645</v>
      </c>
      <c r="F27" s="636">
        <f t="shared" si="3"/>
        <v>5781.0486275801322</v>
      </c>
      <c r="G27" s="636">
        <f t="shared" ca="1" si="3"/>
        <v>75708.576135067909</v>
      </c>
      <c r="H27" s="636">
        <f t="shared" si="3"/>
        <v>315399.88854267518</v>
      </c>
      <c r="I27" s="636">
        <f t="shared" si="3"/>
        <v>39993.095821280709</v>
      </c>
      <c r="J27" s="636">
        <f t="shared" si="3"/>
        <v>0</v>
      </c>
      <c r="K27" s="636">
        <f t="shared" si="3"/>
        <v>1535.5921027641778</v>
      </c>
      <c r="L27" s="636">
        <f t="shared" si="3"/>
        <v>0</v>
      </c>
      <c r="M27" s="636">
        <f t="shared" ca="1" si="3"/>
        <v>0</v>
      </c>
      <c r="N27" s="636">
        <f t="shared" si="3"/>
        <v>19505.57813567399</v>
      </c>
      <c r="O27" s="636">
        <f t="shared" ca="1" si="3"/>
        <v>10634.315568193162</v>
      </c>
      <c r="P27" s="636">
        <f t="shared" si="3"/>
        <v>228.24666666666667</v>
      </c>
      <c r="Q27" s="636">
        <f t="shared" si="3"/>
        <v>934.26666666666677</v>
      </c>
      <c r="R27" s="636">
        <f t="shared" ca="1" si="3"/>
        <v>646400.28922644956</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6089.6205622210719</v>
      </c>
      <c r="D40" s="943">
        <f ca="1">tertiair!C20</f>
        <v>305.54621848739504</v>
      </c>
      <c r="E40" s="943">
        <f ca="1">tertiair!D20</f>
        <v>2026.3211249833805</v>
      </c>
      <c r="F40" s="943">
        <f>tertiair!E20</f>
        <v>96.026743400336002</v>
      </c>
      <c r="G40" s="943">
        <f ca="1">tertiair!F20</f>
        <v>1550.3584555135474</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10067.873104605731</v>
      </c>
    </row>
    <row r="41" spans="1:18">
      <c r="A41" s="750" t="s">
        <v>214</v>
      </c>
      <c r="B41" s="757"/>
      <c r="C41" s="943">
        <f ca="1">huishoudens!B12</f>
        <v>5066.1430114647164</v>
      </c>
      <c r="D41" s="943">
        <f ca="1">huishoudens!C12</f>
        <v>0</v>
      </c>
      <c r="E41" s="943">
        <f>huishoudens!D12</f>
        <v>3602.7606425614867</v>
      </c>
      <c r="F41" s="943">
        <f>huishoudens!E12</f>
        <v>359.2430008990994</v>
      </c>
      <c r="G41" s="943">
        <f>huishoudens!F12</f>
        <v>13329.999594762201</v>
      </c>
      <c r="H41" s="943">
        <f>huishoudens!G12</f>
        <v>0</v>
      </c>
      <c r="I41" s="943">
        <f>huishoudens!H12</f>
        <v>0</v>
      </c>
      <c r="J41" s="943">
        <f>huishoudens!I12</f>
        <v>0</v>
      </c>
      <c r="K41" s="943">
        <f>huishoudens!J12</f>
        <v>412.14494679611522</v>
      </c>
      <c r="L41" s="943">
        <f>huishoudens!K12</f>
        <v>0</v>
      </c>
      <c r="M41" s="943">
        <f>huishoudens!L12</f>
        <v>0</v>
      </c>
      <c r="N41" s="943">
        <f>huishoudens!M12</f>
        <v>0</v>
      </c>
      <c r="O41" s="943">
        <f>huishoudens!N12</f>
        <v>0</v>
      </c>
      <c r="P41" s="943">
        <f>huishoudens!O12</f>
        <v>0</v>
      </c>
      <c r="Q41" s="703">
        <f>huishoudens!P12</f>
        <v>0</v>
      </c>
      <c r="R41" s="778">
        <f t="shared" ca="1" si="4"/>
        <v>22770.291196483617</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10337.036207643532</v>
      </c>
      <c r="D43" s="943">
        <f ca="1">industrie!C22</f>
        <v>0</v>
      </c>
      <c r="E43" s="943">
        <f>industrie!D22</f>
        <v>8120.0261305603844</v>
      </c>
      <c r="F43" s="943">
        <f>industrie!E22</f>
        <v>690.36377816027471</v>
      </c>
      <c r="G43" s="943">
        <f>industrie!F22</f>
        <v>3886.6299409774374</v>
      </c>
      <c r="H43" s="943">
        <f>industrie!G22</f>
        <v>0</v>
      </c>
      <c r="I43" s="943">
        <f>industrie!H22</f>
        <v>0</v>
      </c>
      <c r="J43" s="943">
        <f>industrie!I22</f>
        <v>0</v>
      </c>
      <c r="K43" s="943">
        <f>industrie!J22</f>
        <v>74.459591453961565</v>
      </c>
      <c r="L43" s="943">
        <f>industrie!K22</f>
        <v>0</v>
      </c>
      <c r="M43" s="943">
        <f>industrie!L22</f>
        <v>0</v>
      </c>
      <c r="N43" s="943">
        <f>industrie!M22</f>
        <v>0</v>
      </c>
      <c r="O43" s="943">
        <f>industrie!N22</f>
        <v>0</v>
      </c>
      <c r="P43" s="943">
        <f>industrie!O22</f>
        <v>0</v>
      </c>
      <c r="Q43" s="703">
        <f>industrie!P22</f>
        <v>0</v>
      </c>
      <c r="R43" s="777">
        <f t="shared" ca="1" si="4"/>
        <v>23108.515648795586</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21492.799781329319</v>
      </c>
      <c r="D46" s="661">
        <f t="shared" ref="D46:Q46" ca="1" si="5">SUM(D39:D45)</f>
        <v>305.54621848739504</v>
      </c>
      <c r="E46" s="661">
        <f t="shared" ca="1" si="5"/>
        <v>13749.107898105252</v>
      </c>
      <c r="F46" s="661">
        <f t="shared" si="5"/>
        <v>1145.6335224597101</v>
      </c>
      <c r="G46" s="661">
        <f t="shared" ca="1" si="5"/>
        <v>18766.987991253187</v>
      </c>
      <c r="H46" s="661">
        <f t="shared" si="5"/>
        <v>0</v>
      </c>
      <c r="I46" s="661">
        <f t="shared" si="5"/>
        <v>0</v>
      </c>
      <c r="J46" s="661">
        <f t="shared" si="5"/>
        <v>0</v>
      </c>
      <c r="K46" s="661">
        <f t="shared" si="5"/>
        <v>486.60453825007676</v>
      </c>
      <c r="L46" s="661">
        <f t="shared" si="5"/>
        <v>0</v>
      </c>
      <c r="M46" s="661">
        <f t="shared" ca="1" si="5"/>
        <v>0</v>
      </c>
      <c r="N46" s="661">
        <f t="shared" si="5"/>
        <v>0</v>
      </c>
      <c r="O46" s="661">
        <f t="shared" ca="1" si="5"/>
        <v>0</v>
      </c>
      <c r="P46" s="661">
        <f t="shared" si="5"/>
        <v>0</v>
      </c>
      <c r="Q46" s="661">
        <f t="shared" si="5"/>
        <v>0</v>
      </c>
      <c r="R46" s="661">
        <f ca="1">SUM(R39:R45)</f>
        <v>55946.679949884929</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0.83863485161699802</v>
      </c>
      <c r="D49" s="943">
        <f ca="1">transport!C58</f>
        <v>0</v>
      </c>
      <c r="E49" s="943">
        <f>transport!D58</f>
        <v>0</v>
      </c>
      <c r="F49" s="943">
        <f>transport!E58</f>
        <v>0</v>
      </c>
      <c r="G49" s="943">
        <f>transport!F58</f>
        <v>0</v>
      </c>
      <c r="H49" s="943">
        <f>transport!G58</f>
        <v>204.01577390460213</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204.85440875621913</v>
      </c>
    </row>
    <row r="50" spans="1:18">
      <c r="A50" s="753" t="s">
        <v>296</v>
      </c>
      <c r="B50" s="763"/>
      <c r="C50" s="632">
        <f ca="1">transport!B18</f>
        <v>9.7298190926418204</v>
      </c>
      <c r="D50" s="632">
        <f>transport!C18</f>
        <v>0</v>
      </c>
      <c r="E50" s="632">
        <f>transport!D18</f>
        <v>12.758120637035585</v>
      </c>
      <c r="F50" s="632">
        <f>transport!E18</f>
        <v>158.53055237382193</v>
      </c>
      <c r="G50" s="632">
        <f>transport!F18</f>
        <v>0</v>
      </c>
      <c r="H50" s="632">
        <f>transport!G18</f>
        <v>84007.754466989674</v>
      </c>
      <c r="I50" s="632">
        <f>transport!H18</f>
        <v>9958.2808594988965</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94147.053818592074</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10.568453944258819</v>
      </c>
      <c r="D52" s="661">
        <f t="shared" ref="D52:Q52" ca="1" si="6">SUM(D48:D51)</f>
        <v>0</v>
      </c>
      <c r="E52" s="661">
        <f t="shared" si="6"/>
        <v>12.758120637035585</v>
      </c>
      <c r="F52" s="661">
        <f t="shared" si="6"/>
        <v>158.53055237382193</v>
      </c>
      <c r="G52" s="661">
        <f t="shared" si="6"/>
        <v>0</v>
      </c>
      <c r="H52" s="661">
        <f t="shared" si="6"/>
        <v>84211.770240894271</v>
      </c>
      <c r="I52" s="661">
        <f t="shared" si="6"/>
        <v>9958.2808594988965</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94351.908227348293</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347.51959828823061</v>
      </c>
      <c r="D54" s="632">
        <f ca="1">+landbouw!C12</f>
        <v>0</v>
      </c>
      <c r="E54" s="632">
        <f>+landbouw!D12</f>
        <v>137.13093730668285</v>
      </c>
      <c r="F54" s="632">
        <f>+landbouw!E12</f>
        <v>8.1339636271580034</v>
      </c>
      <c r="G54" s="632">
        <f>+landbouw!F12</f>
        <v>1447.2018368099486</v>
      </c>
      <c r="H54" s="632">
        <f>+landbouw!G12</f>
        <v>0</v>
      </c>
      <c r="I54" s="632">
        <f>+landbouw!H12</f>
        <v>0</v>
      </c>
      <c r="J54" s="632">
        <f>+landbouw!I12</f>
        <v>0</v>
      </c>
      <c r="K54" s="632">
        <f>+landbouw!J12</f>
        <v>56.995066128442112</v>
      </c>
      <c r="L54" s="632">
        <f>+landbouw!K12</f>
        <v>0</v>
      </c>
      <c r="M54" s="632">
        <f>+landbouw!L12</f>
        <v>0</v>
      </c>
      <c r="N54" s="632">
        <f>+landbouw!M12</f>
        <v>0</v>
      </c>
      <c r="O54" s="632">
        <f>+landbouw!N12</f>
        <v>0</v>
      </c>
      <c r="P54" s="632">
        <f>+landbouw!O12</f>
        <v>0</v>
      </c>
      <c r="Q54" s="633">
        <f>+landbouw!P12</f>
        <v>0</v>
      </c>
      <c r="R54" s="660">
        <f ca="1">SUM(C54:Q54)</f>
        <v>1996.9814021604623</v>
      </c>
    </row>
    <row r="55" spans="1:18" ht="15" thickBot="1">
      <c r="A55" s="753" t="s">
        <v>802</v>
      </c>
      <c r="B55" s="763"/>
      <c r="C55" s="632">
        <f ca="1">C25*'EF ele_warmte'!B12</f>
        <v>140.16909709080053</v>
      </c>
      <c r="D55" s="632"/>
      <c r="E55" s="632">
        <f>E25*EF_CO2_aardgas</f>
        <v>170.74065739432911</v>
      </c>
      <c r="F55" s="632"/>
      <c r="G55" s="632"/>
      <c r="H55" s="632"/>
      <c r="I55" s="632"/>
      <c r="J55" s="632"/>
      <c r="K55" s="632"/>
      <c r="L55" s="632"/>
      <c r="M55" s="632"/>
      <c r="N55" s="632"/>
      <c r="O55" s="632"/>
      <c r="P55" s="632"/>
      <c r="Q55" s="633"/>
      <c r="R55" s="660">
        <f ca="1">SUM(C55:Q55)</f>
        <v>310.90975448512961</v>
      </c>
    </row>
    <row r="56" spans="1:18" ht="15.75" thickBot="1">
      <c r="A56" s="751" t="s">
        <v>803</v>
      </c>
      <c r="B56" s="764"/>
      <c r="C56" s="661">
        <f ca="1">SUM(C54:C55)</f>
        <v>487.68869537903117</v>
      </c>
      <c r="D56" s="661">
        <f t="shared" ref="D56:Q56" ca="1" si="7">SUM(D54:D55)</f>
        <v>0</v>
      </c>
      <c r="E56" s="661">
        <f t="shared" si="7"/>
        <v>307.87159470101199</v>
      </c>
      <c r="F56" s="661">
        <f t="shared" si="7"/>
        <v>8.1339636271580034</v>
      </c>
      <c r="G56" s="661">
        <f t="shared" si="7"/>
        <v>1447.2018368099486</v>
      </c>
      <c r="H56" s="661">
        <f t="shared" si="7"/>
        <v>0</v>
      </c>
      <c r="I56" s="661">
        <f t="shared" si="7"/>
        <v>0</v>
      </c>
      <c r="J56" s="661">
        <f t="shared" si="7"/>
        <v>0</v>
      </c>
      <c r="K56" s="661">
        <f t="shared" si="7"/>
        <v>56.995066128442112</v>
      </c>
      <c r="L56" s="661">
        <f t="shared" si="7"/>
        <v>0</v>
      </c>
      <c r="M56" s="661">
        <f t="shared" si="7"/>
        <v>0</v>
      </c>
      <c r="N56" s="661">
        <f t="shared" si="7"/>
        <v>0</v>
      </c>
      <c r="O56" s="661">
        <f t="shared" si="7"/>
        <v>0</v>
      </c>
      <c r="P56" s="661">
        <f t="shared" si="7"/>
        <v>0</v>
      </c>
      <c r="Q56" s="662">
        <f t="shared" si="7"/>
        <v>0</v>
      </c>
      <c r="R56" s="663">
        <f ca="1">SUM(R54:R55)</f>
        <v>2307.8911566455918</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21991.056930652609</v>
      </c>
      <c r="D61" s="669">
        <f t="shared" ref="D61:Q61" ca="1" si="8">D46+D52+D56</f>
        <v>305.54621848739504</v>
      </c>
      <c r="E61" s="669">
        <f t="shared" ca="1" si="8"/>
        <v>14069.7376134433</v>
      </c>
      <c r="F61" s="669">
        <f t="shared" si="8"/>
        <v>1312.2980384606901</v>
      </c>
      <c r="G61" s="669">
        <f t="shared" ca="1" si="8"/>
        <v>20214.189828063136</v>
      </c>
      <c r="H61" s="669">
        <f t="shared" si="8"/>
        <v>84211.770240894271</v>
      </c>
      <c r="I61" s="669">
        <f t="shared" si="8"/>
        <v>9958.2808594988965</v>
      </c>
      <c r="J61" s="669">
        <f t="shared" si="8"/>
        <v>0</v>
      </c>
      <c r="K61" s="669">
        <f t="shared" si="8"/>
        <v>543.59960437851885</v>
      </c>
      <c r="L61" s="669">
        <f t="shared" si="8"/>
        <v>0</v>
      </c>
      <c r="M61" s="669">
        <f t="shared" ca="1" si="8"/>
        <v>0</v>
      </c>
      <c r="N61" s="669">
        <f t="shared" si="8"/>
        <v>0</v>
      </c>
      <c r="O61" s="669">
        <f t="shared" ca="1" si="8"/>
        <v>0</v>
      </c>
      <c r="P61" s="669">
        <f t="shared" si="8"/>
        <v>0</v>
      </c>
      <c r="Q61" s="669">
        <f t="shared" si="8"/>
        <v>0</v>
      </c>
      <c r="R61" s="669">
        <f ca="1">R46+R52+R56</f>
        <v>152606.47933387881</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0.20796938272562646</v>
      </c>
      <c r="D63" s="710">
        <f t="shared" ca="1" si="9"/>
        <v>0.23764705882352946</v>
      </c>
      <c r="E63" s="954">
        <f t="shared" ca="1" si="9"/>
        <v>0.20200000000000001</v>
      </c>
      <c r="F63" s="710">
        <f t="shared" si="9"/>
        <v>0.22700000000000001</v>
      </c>
      <c r="G63" s="710">
        <f t="shared" ca="1" si="9"/>
        <v>0.26700000000000007</v>
      </c>
      <c r="H63" s="710">
        <f t="shared" si="9"/>
        <v>0.26700000000000002</v>
      </c>
      <c r="I63" s="710">
        <f t="shared" si="9"/>
        <v>0.249</v>
      </c>
      <c r="J63" s="710">
        <f t="shared" si="9"/>
        <v>0</v>
      </c>
      <c r="K63" s="710">
        <f t="shared" si="9"/>
        <v>0.35399999999999993</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6302.5487881248209</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900</v>
      </c>
      <c r="D76" s="964">
        <f>'lokale energieproductie'!C8</f>
        <v>1058.8235294117646</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213.88235294117646</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6302.5487881248209</v>
      </c>
      <c r="C78" s="684">
        <f>SUM(C72:C77)</f>
        <v>900</v>
      </c>
      <c r="D78" s="685">
        <f t="shared" ref="D78:H78" si="10">SUM(D76:D77)</f>
        <v>1058.8235294117646</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213.88235294117646</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1285.7142857142858</v>
      </c>
      <c r="D87" s="706">
        <f>'lokale energieproductie'!C17</f>
        <v>1512.6050420168069</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305.54621848739504</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1285.7142857142858</v>
      </c>
      <c r="D90" s="684">
        <f t="shared" ref="D90:H90" si="12">SUM(D87:D89)</f>
        <v>1512.6050420168069</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305.54621848739504</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24360.042546014894</v>
      </c>
      <c r="C4" s="442">
        <f>huishoudens!C8</f>
        <v>0</v>
      </c>
      <c r="D4" s="442">
        <f>huishoudens!D8</f>
        <v>17835.448725551913</v>
      </c>
      <c r="E4" s="442">
        <f>huishoudens!E8</f>
        <v>1582.5682858991163</v>
      </c>
      <c r="F4" s="442">
        <f>huishoudens!F8</f>
        <v>49925.092115214233</v>
      </c>
      <c r="G4" s="442">
        <f>huishoudens!G8</f>
        <v>0</v>
      </c>
      <c r="H4" s="442">
        <f>huishoudens!H8</f>
        <v>0</v>
      </c>
      <c r="I4" s="442">
        <f>huishoudens!I8</f>
        <v>0</v>
      </c>
      <c r="J4" s="442">
        <f>huishoudens!J8</f>
        <v>1164.2512621359188</v>
      </c>
      <c r="K4" s="442">
        <f>huishoudens!K8</f>
        <v>0</v>
      </c>
      <c r="L4" s="442">
        <f>huishoudens!L8</f>
        <v>0</v>
      </c>
      <c r="M4" s="442">
        <f>huishoudens!M8</f>
        <v>0</v>
      </c>
      <c r="N4" s="442">
        <f>huishoudens!N8</f>
        <v>5756.7614093101865</v>
      </c>
      <c r="O4" s="442">
        <f>huishoudens!O8</f>
        <v>226.68333333333334</v>
      </c>
      <c r="P4" s="443">
        <f>huishoudens!P8</f>
        <v>915.2</v>
      </c>
      <c r="Q4" s="444">
        <f>SUM(B4:P4)</f>
        <v>101766.04767745959</v>
      </c>
    </row>
    <row r="5" spans="1:17">
      <c r="A5" s="441" t="s">
        <v>149</v>
      </c>
      <c r="B5" s="442">
        <f ca="1">tertiair!B16</f>
        <v>28283.612099999998</v>
      </c>
      <c r="C5" s="442">
        <f ca="1">tertiair!C16</f>
        <v>1285.7142857142858</v>
      </c>
      <c r="D5" s="442">
        <f ca="1">tertiair!D16</f>
        <v>10031.292697937526</v>
      </c>
      <c r="E5" s="442">
        <f>tertiair!E16</f>
        <v>423.02530132306606</v>
      </c>
      <c r="F5" s="442">
        <f ca="1">tertiair!F16</f>
        <v>5806.5859757061698</v>
      </c>
      <c r="G5" s="442">
        <f>tertiair!G16</f>
        <v>0</v>
      </c>
      <c r="H5" s="442">
        <f>tertiair!H16</f>
        <v>0</v>
      </c>
      <c r="I5" s="442">
        <f>tertiair!I16</f>
        <v>0</v>
      </c>
      <c r="J5" s="442">
        <f>tertiair!J16</f>
        <v>0</v>
      </c>
      <c r="K5" s="442">
        <f>tertiair!K16</f>
        <v>0</v>
      </c>
      <c r="L5" s="442">
        <f ca="1">tertiair!L16</f>
        <v>0</v>
      </c>
      <c r="M5" s="442">
        <f>tertiair!M16</f>
        <v>0</v>
      </c>
      <c r="N5" s="442">
        <f ca="1">tertiair!N16</f>
        <v>1546.2878781837151</v>
      </c>
      <c r="O5" s="442">
        <f>tertiair!O16</f>
        <v>1.5633333333333335</v>
      </c>
      <c r="P5" s="443">
        <f>tertiair!P16</f>
        <v>19.066666666666666</v>
      </c>
      <c r="Q5" s="441">
        <f t="shared" ref="Q5:Q14" ca="1" si="0">SUM(B5:P5)</f>
        <v>47397.148238864756</v>
      </c>
    </row>
    <row r="6" spans="1:17">
      <c r="A6" s="441" t="s">
        <v>187</v>
      </c>
      <c r="B6" s="442">
        <f>'openbare verlichting'!B8</f>
        <v>997.72</v>
      </c>
      <c r="C6" s="442"/>
      <c r="D6" s="442"/>
      <c r="E6" s="442"/>
      <c r="F6" s="442"/>
      <c r="G6" s="442"/>
      <c r="H6" s="442"/>
      <c r="I6" s="442"/>
      <c r="J6" s="442"/>
      <c r="K6" s="442"/>
      <c r="L6" s="442"/>
      <c r="M6" s="442"/>
      <c r="N6" s="442"/>
      <c r="O6" s="442"/>
      <c r="P6" s="443"/>
      <c r="Q6" s="441">
        <f t="shared" si="0"/>
        <v>997.72</v>
      </c>
    </row>
    <row r="7" spans="1:17">
      <c r="A7" s="441" t="s">
        <v>105</v>
      </c>
      <c r="B7" s="442">
        <f>landbouw!B8</f>
        <v>1671.0132699999999</v>
      </c>
      <c r="C7" s="442">
        <f>landbouw!C8</f>
        <v>0</v>
      </c>
      <c r="D7" s="442">
        <f>landbouw!D8</f>
        <v>678.86602627070715</v>
      </c>
      <c r="E7" s="442">
        <f>landbouw!E8</f>
        <v>35.832438886158606</v>
      </c>
      <c r="F7" s="442">
        <f>landbouw!F8</f>
        <v>5420.2315985391333</v>
      </c>
      <c r="G7" s="442">
        <f>landbouw!G8</f>
        <v>0</v>
      </c>
      <c r="H7" s="442">
        <f>landbouw!H8</f>
        <v>0</v>
      </c>
      <c r="I7" s="442">
        <f>landbouw!I8</f>
        <v>0</v>
      </c>
      <c r="J7" s="442">
        <f>landbouw!J8</f>
        <v>161.00301166226586</v>
      </c>
      <c r="K7" s="442">
        <f>landbouw!K8</f>
        <v>0</v>
      </c>
      <c r="L7" s="442">
        <f>landbouw!L8</f>
        <v>0</v>
      </c>
      <c r="M7" s="442">
        <f>landbouw!M8</f>
        <v>0</v>
      </c>
      <c r="N7" s="442">
        <f>landbouw!N8</f>
        <v>0</v>
      </c>
      <c r="O7" s="442">
        <f>landbouw!O8</f>
        <v>0</v>
      </c>
      <c r="P7" s="443">
        <f>landbouw!P8</f>
        <v>0</v>
      </c>
      <c r="Q7" s="441">
        <f t="shared" si="0"/>
        <v>7966.9463453582648</v>
      </c>
    </row>
    <row r="8" spans="1:17">
      <c r="A8" s="441" t="s">
        <v>612</v>
      </c>
      <c r="B8" s="442">
        <f>industrie!B18</f>
        <v>49704.605900000002</v>
      </c>
      <c r="C8" s="442">
        <f>industrie!C18</f>
        <v>0</v>
      </c>
      <c r="D8" s="442">
        <f>industrie!D18</f>
        <v>40198.14916119002</v>
      </c>
      <c r="E8" s="442">
        <f>industrie!E18</f>
        <v>3041.2501240540737</v>
      </c>
      <c r="F8" s="442">
        <f>industrie!F18</f>
        <v>14556.666445608378</v>
      </c>
      <c r="G8" s="442">
        <f>industrie!G18</f>
        <v>0</v>
      </c>
      <c r="H8" s="442">
        <f>industrie!H18</f>
        <v>0</v>
      </c>
      <c r="I8" s="442">
        <f>industrie!I18</f>
        <v>0</v>
      </c>
      <c r="J8" s="442">
        <f>industrie!J18</f>
        <v>210.33782896599314</v>
      </c>
      <c r="K8" s="442">
        <f>industrie!K18</f>
        <v>0</v>
      </c>
      <c r="L8" s="442">
        <f>industrie!L18</f>
        <v>0</v>
      </c>
      <c r="M8" s="442">
        <f>industrie!M18</f>
        <v>0</v>
      </c>
      <c r="N8" s="442">
        <f>industrie!N18</f>
        <v>3331.2662806992603</v>
      </c>
      <c r="O8" s="442">
        <f>industrie!O18</f>
        <v>0</v>
      </c>
      <c r="P8" s="443">
        <f>industrie!P18</f>
        <v>0</v>
      </c>
      <c r="Q8" s="441">
        <f t="shared" si="0"/>
        <v>111042.27574051773</v>
      </c>
    </row>
    <row r="9" spans="1:17" s="447" customFormat="1">
      <c r="A9" s="445" t="s">
        <v>556</v>
      </c>
      <c r="B9" s="446">
        <f>transport!B14</f>
        <v>46.784863065532811</v>
      </c>
      <c r="C9" s="446">
        <f>transport!C14</f>
        <v>0</v>
      </c>
      <c r="D9" s="446">
        <f>transport!D14</f>
        <v>63.159013054631608</v>
      </c>
      <c r="E9" s="446">
        <f>transport!E14</f>
        <v>698.37247741771773</v>
      </c>
      <c r="F9" s="446">
        <f>transport!F14</f>
        <v>0</v>
      </c>
      <c r="G9" s="446">
        <f>transport!G14</f>
        <v>314635.78452056058</v>
      </c>
      <c r="H9" s="446">
        <f>transport!H14</f>
        <v>39993.095821280709</v>
      </c>
      <c r="I9" s="446">
        <f>transport!I14</f>
        <v>0</v>
      </c>
      <c r="J9" s="446">
        <f>transport!J14</f>
        <v>0</v>
      </c>
      <c r="K9" s="446">
        <f>transport!K14</f>
        <v>0</v>
      </c>
      <c r="L9" s="446">
        <f>transport!L14</f>
        <v>0</v>
      </c>
      <c r="M9" s="446">
        <f>transport!M14</f>
        <v>19461.590167794187</v>
      </c>
      <c r="N9" s="446">
        <f>transport!N14</f>
        <v>0</v>
      </c>
      <c r="O9" s="446">
        <f>transport!O14</f>
        <v>0</v>
      </c>
      <c r="P9" s="446">
        <f>transport!P14</f>
        <v>0</v>
      </c>
      <c r="Q9" s="445">
        <f>SUM(B9:P9)</f>
        <v>374898.78686317342</v>
      </c>
    </row>
    <row r="10" spans="1:17">
      <c r="A10" s="441" t="s">
        <v>546</v>
      </c>
      <c r="B10" s="442">
        <f>transport!B54</f>
        <v>4.0324919015767193</v>
      </c>
      <c r="C10" s="442">
        <f>transport!C54</f>
        <v>0</v>
      </c>
      <c r="D10" s="442">
        <f>transport!D54</f>
        <v>0</v>
      </c>
      <c r="E10" s="442">
        <f>transport!E54</f>
        <v>0</v>
      </c>
      <c r="F10" s="442">
        <f>transport!F54</f>
        <v>0</v>
      </c>
      <c r="G10" s="442">
        <f>transport!G54</f>
        <v>764.10402211461462</v>
      </c>
      <c r="H10" s="442">
        <f>transport!H54</f>
        <v>0</v>
      </c>
      <c r="I10" s="442">
        <f>transport!I54</f>
        <v>0</v>
      </c>
      <c r="J10" s="442">
        <f>transport!J54</f>
        <v>0</v>
      </c>
      <c r="K10" s="442">
        <f>transport!K54</f>
        <v>0</v>
      </c>
      <c r="L10" s="442">
        <f>transport!L54</f>
        <v>0</v>
      </c>
      <c r="M10" s="442">
        <f>transport!M54</f>
        <v>43.987967879800678</v>
      </c>
      <c r="N10" s="442">
        <f>transport!N54</f>
        <v>0</v>
      </c>
      <c r="O10" s="442">
        <f>transport!O54</f>
        <v>0</v>
      </c>
      <c r="P10" s="443">
        <f>transport!P54</f>
        <v>0</v>
      </c>
      <c r="Q10" s="441">
        <f t="shared" si="0"/>
        <v>812.12448189599195</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673.98910000000001</v>
      </c>
      <c r="C14" s="449"/>
      <c r="D14" s="449">
        <f>'SEAP template'!E25</f>
        <v>845.25077917984697</v>
      </c>
      <c r="E14" s="449"/>
      <c r="F14" s="449"/>
      <c r="G14" s="449"/>
      <c r="H14" s="449"/>
      <c r="I14" s="449"/>
      <c r="J14" s="449"/>
      <c r="K14" s="449"/>
      <c r="L14" s="449"/>
      <c r="M14" s="449"/>
      <c r="N14" s="449"/>
      <c r="O14" s="449"/>
      <c r="P14" s="450"/>
      <c r="Q14" s="441">
        <f t="shared" si="0"/>
        <v>1519.2398791798469</v>
      </c>
    </row>
    <row r="15" spans="1:17" s="451" customFormat="1">
      <c r="A15" s="969" t="s">
        <v>550</v>
      </c>
      <c r="B15" s="909">
        <f ca="1">SUM(B4:B14)</f>
        <v>105741.80027098203</v>
      </c>
      <c r="C15" s="909">
        <f t="shared" ref="C15:Q15" ca="1" si="1">SUM(C4:C14)</f>
        <v>1285.7142857142858</v>
      </c>
      <c r="D15" s="909">
        <f t="shared" ca="1" si="1"/>
        <v>69652.16640318463</v>
      </c>
      <c r="E15" s="909">
        <f t="shared" si="1"/>
        <v>5781.0486275801331</v>
      </c>
      <c r="F15" s="909">
        <f t="shared" ca="1" si="1"/>
        <v>75708.576135067909</v>
      </c>
      <c r="G15" s="909">
        <f t="shared" si="1"/>
        <v>315399.88854267518</v>
      </c>
      <c r="H15" s="909">
        <f t="shared" si="1"/>
        <v>39993.095821280709</v>
      </c>
      <c r="I15" s="909">
        <f t="shared" si="1"/>
        <v>0</v>
      </c>
      <c r="J15" s="909">
        <f t="shared" si="1"/>
        <v>1535.5921027641778</v>
      </c>
      <c r="K15" s="909">
        <f t="shared" si="1"/>
        <v>0</v>
      </c>
      <c r="L15" s="909">
        <f t="shared" ca="1" si="1"/>
        <v>0</v>
      </c>
      <c r="M15" s="909">
        <f t="shared" si="1"/>
        <v>19505.57813567399</v>
      </c>
      <c r="N15" s="909">
        <f t="shared" ca="1" si="1"/>
        <v>10634.315568193162</v>
      </c>
      <c r="O15" s="909">
        <f t="shared" si="1"/>
        <v>228.24666666666667</v>
      </c>
      <c r="P15" s="909">
        <f t="shared" si="1"/>
        <v>934.26666666666677</v>
      </c>
      <c r="Q15" s="909">
        <f t="shared" ca="1" si="1"/>
        <v>646400.28922644956</v>
      </c>
    </row>
    <row r="17" spans="1:17">
      <c r="A17" s="452" t="s">
        <v>551</v>
      </c>
      <c r="B17" s="715">
        <f ca="1">huishoudens!B10</f>
        <v>0.20796938272562648</v>
      </c>
      <c r="C17" s="715">
        <f ca="1">huishoudens!C10</f>
        <v>0.23764705882352946</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5066.1430114647164</v>
      </c>
      <c r="C22" s="442">
        <f t="shared" ref="C22:C32" ca="1" si="3">C4*$C$17</f>
        <v>0</v>
      </c>
      <c r="D22" s="442">
        <f t="shared" ref="D22:D32" si="4">D4*$D$17</f>
        <v>3602.7606425614867</v>
      </c>
      <c r="E22" s="442">
        <f t="shared" ref="E22:E32" si="5">E4*$E$17</f>
        <v>359.2430008990994</v>
      </c>
      <c r="F22" s="442">
        <f t="shared" ref="F22:F32" si="6">F4*$F$17</f>
        <v>13329.999594762201</v>
      </c>
      <c r="G22" s="442">
        <f t="shared" ref="G22:G32" si="7">G4*$G$17</f>
        <v>0</v>
      </c>
      <c r="H22" s="442">
        <f t="shared" ref="H22:H32" si="8">H4*$H$17</f>
        <v>0</v>
      </c>
      <c r="I22" s="442">
        <f t="shared" ref="I22:I32" si="9">I4*$I$17</f>
        <v>0</v>
      </c>
      <c r="J22" s="442">
        <f t="shared" ref="J22:J32" si="10">J4*$J$17</f>
        <v>412.14494679611522</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22770.291196483617</v>
      </c>
    </row>
    <row r="23" spans="1:17">
      <c r="A23" s="441" t="s">
        <v>149</v>
      </c>
      <c r="B23" s="442">
        <f t="shared" ca="1" si="2"/>
        <v>5882.1253496880599</v>
      </c>
      <c r="C23" s="442">
        <f t="shared" ca="1" si="3"/>
        <v>305.54621848739504</v>
      </c>
      <c r="D23" s="442">
        <f t="shared" ca="1" si="4"/>
        <v>2026.3211249833805</v>
      </c>
      <c r="E23" s="442">
        <f t="shared" si="5"/>
        <v>96.026743400336002</v>
      </c>
      <c r="F23" s="442">
        <f t="shared" ca="1" si="6"/>
        <v>1550.3584555135474</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9860.37789207272</v>
      </c>
    </row>
    <row r="24" spans="1:17">
      <c r="A24" s="441" t="s">
        <v>187</v>
      </c>
      <c r="B24" s="442">
        <f t="shared" ca="1" si="2"/>
        <v>207.49521253301205</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207.49521253301205</v>
      </c>
    </row>
    <row r="25" spans="1:17">
      <c r="A25" s="441" t="s">
        <v>105</v>
      </c>
      <c r="B25" s="442">
        <f t="shared" ca="1" si="2"/>
        <v>347.51959828823061</v>
      </c>
      <c r="C25" s="442">
        <f t="shared" ca="1" si="3"/>
        <v>0</v>
      </c>
      <c r="D25" s="442">
        <f t="shared" si="4"/>
        <v>137.13093730668285</v>
      </c>
      <c r="E25" s="442">
        <f t="shared" si="5"/>
        <v>8.1339636271580034</v>
      </c>
      <c r="F25" s="442">
        <f t="shared" si="6"/>
        <v>1447.2018368099486</v>
      </c>
      <c r="G25" s="442">
        <f t="shared" si="7"/>
        <v>0</v>
      </c>
      <c r="H25" s="442">
        <f t="shared" si="8"/>
        <v>0</v>
      </c>
      <c r="I25" s="442">
        <f t="shared" si="9"/>
        <v>0</v>
      </c>
      <c r="J25" s="442">
        <f t="shared" si="10"/>
        <v>56.995066128442112</v>
      </c>
      <c r="K25" s="442">
        <f t="shared" si="11"/>
        <v>0</v>
      </c>
      <c r="L25" s="442">
        <f t="shared" si="12"/>
        <v>0</v>
      </c>
      <c r="M25" s="442">
        <f t="shared" si="13"/>
        <v>0</v>
      </c>
      <c r="N25" s="442">
        <f t="shared" si="14"/>
        <v>0</v>
      </c>
      <c r="O25" s="442">
        <f t="shared" si="15"/>
        <v>0</v>
      </c>
      <c r="P25" s="443">
        <f t="shared" si="16"/>
        <v>0</v>
      </c>
      <c r="Q25" s="441">
        <f t="shared" ca="1" si="17"/>
        <v>1996.9814021604623</v>
      </c>
    </row>
    <row r="26" spans="1:17">
      <c r="A26" s="441" t="s">
        <v>612</v>
      </c>
      <c r="B26" s="442">
        <f t="shared" ca="1" si="2"/>
        <v>10337.036207643532</v>
      </c>
      <c r="C26" s="442">
        <f t="shared" ca="1" si="3"/>
        <v>0</v>
      </c>
      <c r="D26" s="442">
        <f t="shared" si="4"/>
        <v>8120.0261305603844</v>
      </c>
      <c r="E26" s="442">
        <f t="shared" si="5"/>
        <v>690.36377816027471</v>
      </c>
      <c r="F26" s="442">
        <f t="shared" si="6"/>
        <v>3886.6299409774374</v>
      </c>
      <c r="G26" s="442">
        <f t="shared" si="7"/>
        <v>0</v>
      </c>
      <c r="H26" s="442">
        <f t="shared" si="8"/>
        <v>0</v>
      </c>
      <c r="I26" s="442">
        <f t="shared" si="9"/>
        <v>0</v>
      </c>
      <c r="J26" s="442">
        <f t="shared" si="10"/>
        <v>74.459591453961565</v>
      </c>
      <c r="K26" s="442">
        <f t="shared" si="11"/>
        <v>0</v>
      </c>
      <c r="L26" s="442">
        <f t="shared" si="12"/>
        <v>0</v>
      </c>
      <c r="M26" s="442">
        <f t="shared" si="13"/>
        <v>0</v>
      </c>
      <c r="N26" s="442">
        <f t="shared" si="14"/>
        <v>0</v>
      </c>
      <c r="O26" s="442">
        <f t="shared" si="15"/>
        <v>0</v>
      </c>
      <c r="P26" s="443">
        <f t="shared" si="16"/>
        <v>0</v>
      </c>
      <c r="Q26" s="441">
        <f t="shared" ca="1" si="17"/>
        <v>23108.515648795586</v>
      </c>
    </row>
    <row r="27" spans="1:17" s="447" customFormat="1">
      <c r="A27" s="445" t="s">
        <v>556</v>
      </c>
      <c r="B27" s="709">
        <f t="shared" ca="1" si="2"/>
        <v>9.7298190926418204</v>
      </c>
      <c r="C27" s="446">
        <f t="shared" ca="1" si="3"/>
        <v>0</v>
      </c>
      <c r="D27" s="446">
        <f t="shared" si="4"/>
        <v>12.758120637035585</v>
      </c>
      <c r="E27" s="446">
        <f t="shared" si="5"/>
        <v>158.53055237382193</v>
      </c>
      <c r="F27" s="446">
        <f t="shared" si="6"/>
        <v>0</v>
      </c>
      <c r="G27" s="446">
        <f t="shared" si="7"/>
        <v>84007.754466989674</v>
      </c>
      <c r="H27" s="446">
        <f t="shared" si="8"/>
        <v>9958.2808594988965</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94147.053818592074</v>
      </c>
    </row>
    <row r="28" spans="1:17">
      <c r="A28" s="441" t="s">
        <v>546</v>
      </c>
      <c r="B28" s="442">
        <f t="shared" ca="1" si="2"/>
        <v>0.83863485161699802</v>
      </c>
      <c r="C28" s="442">
        <f t="shared" ca="1" si="3"/>
        <v>0</v>
      </c>
      <c r="D28" s="442">
        <f t="shared" si="4"/>
        <v>0</v>
      </c>
      <c r="E28" s="442">
        <f t="shared" si="5"/>
        <v>0</v>
      </c>
      <c r="F28" s="442">
        <f t="shared" si="6"/>
        <v>0</v>
      </c>
      <c r="G28" s="442">
        <f t="shared" si="7"/>
        <v>204.01577390460213</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204.85440875621913</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140.16909709080053</v>
      </c>
      <c r="C32" s="442">
        <f t="shared" ca="1" si="3"/>
        <v>0</v>
      </c>
      <c r="D32" s="442">
        <f t="shared" si="4"/>
        <v>170.74065739432911</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310.90975448512961</v>
      </c>
    </row>
    <row r="33" spans="1:17" s="451" customFormat="1">
      <c r="A33" s="969" t="s">
        <v>550</v>
      </c>
      <c r="B33" s="909">
        <f ca="1">SUM(B22:B32)</f>
        <v>21991.056930652612</v>
      </c>
      <c r="C33" s="909">
        <f t="shared" ref="C33:Q33" ca="1" si="18">SUM(C22:C32)</f>
        <v>305.54621848739504</v>
      </c>
      <c r="D33" s="909">
        <f t="shared" ca="1" si="18"/>
        <v>14069.7376134433</v>
      </c>
      <c r="E33" s="909">
        <f t="shared" si="18"/>
        <v>1312.2980384606899</v>
      </c>
      <c r="F33" s="909">
        <f t="shared" ca="1" si="18"/>
        <v>20214.189828063136</v>
      </c>
      <c r="G33" s="909">
        <f t="shared" si="18"/>
        <v>84211.770240894271</v>
      </c>
      <c r="H33" s="909">
        <f t="shared" si="18"/>
        <v>9958.2808594988965</v>
      </c>
      <c r="I33" s="909">
        <f t="shared" si="18"/>
        <v>0</v>
      </c>
      <c r="J33" s="909">
        <f t="shared" si="18"/>
        <v>543.59960437851885</v>
      </c>
      <c r="K33" s="909">
        <f t="shared" si="18"/>
        <v>0</v>
      </c>
      <c r="L33" s="909">
        <f t="shared" ca="1" si="18"/>
        <v>0</v>
      </c>
      <c r="M33" s="909">
        <f t="shared" si="18"/>
        <v>0</v>
      </c>
      <c r="N33" s="909">
        <f t="shared" ca="1" si="18"/>
        <v>0</v>
      </c>
      <c r="O33" s="909">
        <f t="shared" si="18"/>
        <v>0</v>
      </c>
      <c r="P33" s="909">
        <f t="shared" si="18"/>
        <v>0</v>
      </c>
      <c r="Q33" s="909">
        <f t="shared" ca="1" si="18"/>
        <v>152606.47933387881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6302.5487881248209</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900</v>
      </c>
      <c r="D8" s="986">
        <f>'SEAP template'!D76</f>
        <v>1058.8235294117646</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213.88235294117646</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6302.5487881248209</v>
      </c>
      <c r="C10" s="990">
        <f>SUM(C4:C9)</f>
        <v>900</v>
      </c>
      <c r="D10" s="990">
        <f t="shared" ref="D10:H10" si="0">SUM(D8:D9)</f>
        <v>1058.8235294117646</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213.88235294117646</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0.20796938272562648</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1285.7142857142858</v>
      </c>
      <c r="D17" s="987">
        <f>'SEAP template'!D87</f>
        <v>1512.6050420168069</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305.54621848739504</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1285.7142857142858</v>
      </c>
      <c r="D20" s="990">
        <f t="shared" ref="D20:H20" si="2">SUM(D17:D19)</f>
        <v>1512.6050420168069</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305.54621848739504</v>
      </c>
    </row>
    <row r="22" spans="1:16">
      <c r="A22" s="452" t="s">
        <v>826</v>
      </c>
      <c r="B22" s="715" t="s">
        <v>820</v>
      </c>
      <c r="C22" s="715">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0.20796938272562648</v>
      </c>
      <c r="C17" s="489">
        <f ca="1">'EF ele_warmte'!B22</f>
        <v>0.23764705882352946</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1</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19.066666666666666</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2022-07-26T11:43:03Z</dcterms:modified>
</cp:coreProperties>
</file>