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1015CE3-A287-46E3-A0DF-EB0EF0D7AA3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<sst xmlns="http://schemas.openxmlformats.org/spreadsheetml/2006/main" count="2436" uniqueCount="907">
  <si>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</si>
  <si>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</si>
  <si>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</si>
  <si>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</si>
  <si>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</si>
  <si>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</si>
  <si>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</si>
  <si>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</si>
  <si>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</si>
  <si>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</si>
  <si>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</si>
  <si>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</si>
  <si>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</si>
  <si>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</si>
  <si>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</si>
  <si>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</si>
  <si>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</si>
  <si>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</si>
  <si>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</si>
  <si>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</si>
  <si>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</si>
  <si>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</si>
  <si>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</si>
  <si>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</si>
  <si>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</si>
  <si>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</si>
  <si>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</si>
  <si>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</si>
  <si>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</si>
  <si>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</si>
  <si>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</si>
  <si>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</si>
  <si>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</si>
  <si>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</si>
  <si>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</si>
  <si>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</si>
  <si>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</si>
  <si>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</si>
  <si>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</si>
  <si>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</si>
  <si>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</si>
  <si>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</si>
  <si>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</si>
  <si>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</si>
  <si>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</si>
  <si>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</si>
  <si>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</si>
  <si>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</si>
  <si>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</si>
  <si>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</si>
  <si>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</si>
  <si>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</si>
  <si>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</si>
  <si>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</si>
  <si>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</si>
  <si>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</si>
  <si>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</si>
  <si>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</si>
  <si>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</si>
  <si>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</si>
  <si>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</si>
  <si>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</si>
  <si>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</si>
  <si>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</si>
  <si>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</si>
  <si>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</si>
  <si>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</si>
  <si>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</si>
  <si>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</si>
  <si>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</si>
  <si>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</si>
  <si>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</si>
  <si>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</si>
  <si>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</si>
  <si>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</si>
  <si>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</si>
  <si>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</si>
  <si>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</si>
  <si>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</si>
  <si>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</si>
  <si>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</si>
  <si>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</si>
  <si>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</si>
  <si>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</si>
  <si>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</si>
  <si>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</si>
  <si>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</si>
  <si>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</si>
  <si>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</si>
  <si>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</si>
  <si>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</si>
  <si>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</si>
  <si>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</si>
  <si>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</si>
  <si>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</si>
  <si>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</si>
  <si>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</si>
  <si>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</si>
  <si>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</si>
  <si>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</si>
  <si>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</si>
  <si>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</si>
  <si>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</si>
  <si>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</si>
  <si>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</si>
  <si>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</si>
  <si>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</si>
  <si>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</si>
  <si>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</si>
  <si>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</si>
  <si>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</si>
  <si>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</si>
  <si>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</si>
  <si>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</si>
  <si>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</si>
  <si>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</si>
  <si>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</si>
  <si>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</si>
  <si>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</si>
  <si>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</si>
  <si>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</si>
  <si>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</si>
  <si>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</si>
  <si>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</si>
  <si>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</si>
  <si>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</si>
  <si>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</si>
  <si>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</si>
  <si>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</si>
  <si>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</si>
  <si>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</si>
  <si>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</si>
  <si>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</si>
  <si>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</si>
  <si>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</si>
  <si>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</si>
  <si>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</si>
  <si>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</si>
  <si>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</si>
  <si>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</si>
  <si>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</si>
  <si>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</si>
  <si>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</si>
  <si>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</si>
  <si>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</si>
  <si>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</si>
  <si>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</si>
  <si>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</si>
  <si>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</si>
  <si>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</si>
  <si>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</si>
  <si>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</si>
  <si>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</si>
  <si>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</si>
  <si>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</si>
  <si>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</si>
  <si>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</si>
  <si>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</si>
  <si>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</si>
  <si>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</si>
  <si>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</si>
  <si>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</si>
  <si>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</si>
  <si>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</si>
  <si>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</si>
  <si>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</si>
  <si>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</si>
  <si>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</si>
  <si>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</si>
  <si>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</si>
  <si>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</si>
  <si>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</si>
  <si>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</si>
  <si>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</si>
  <si>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</si>
  <si>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</si>
  <si>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</si>
  <si>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</si>
  <si>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</si>
  <si>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</si>
  <si>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</si>
  <si>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</si>
  <si>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</si>
  <si>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</si>
  <si>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</si>
  <si>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</si>
  <si>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</si>
  <si>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</si>
  <si>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</si>
  <si>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</si>
  <si>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</si>
  <si>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</si>
  <si>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</si>
  <si>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</si>
  <si>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</si>
  <si>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</si>
  <si>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</si>
  <si>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</si>
  <si>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</si>
  <si>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</si>
  <si>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</si>
  <si>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</si>
  <si>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</si>
  <si>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</si>
  <si>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</si>
  <si>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</si>
  <si>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</si>
  <si>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</si>
  <si>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</si>
  <si>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</si>
  <si>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</si>
  <si>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</si>
  <si>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</si>
  <si>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</si>
  <si>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</si>
  <si>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</si>
  <si>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</si>
  <si>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</si>
  <si>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</si>
  <si>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</si>
  <si>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</si>
  <si>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</si>
  <si>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</si>
  <si>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</si>
  <si>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</si>
  <si>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</si>
  <si>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</si>
  <si>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</si>
  <si>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</si>
  <si>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</si>
  <si>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</si>
  <si>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</si>
  <si>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</si>
  <si>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</si>
  <si>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</si>
  <si>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</si>
  <si>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</si>
  <si>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</si>
  <si>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</si>
  <si>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</si>
  <si>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</si>
  <si>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</si>
  <si>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</si>
  <si>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</si>
  <si>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</si>
  <si>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</si>
  <si>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</si>
  <si>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</si>
  <si>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</si>
  <si>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</si>
  <si>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</si>
  <si>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</si>
  <si>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</si>
  <si>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</si>
  <si>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</si>
  <si>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</si>
  <si>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</si>
  <si>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</si>
  <si>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</si>
  <si>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</si>
  <si>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</si>
  <si>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</si>
  <si>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</si>
  <si>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</si>
  <si>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</si>
  <si>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</si>
  <si>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</si>
  <si>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</si>
  <si>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</si>
  <si>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</si>
  <si>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</si>
  <si>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</si>
  <si>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</si>
  <si>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</si>
  <si>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</si>
  <si>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</si>
  <si>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</si>
  <si>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</si>
  <si>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</si>
  <si>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</si>
  <si>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</si>
  <si>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</si>
  <si>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</si>
  <si>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</si>
  <si>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</si>
  <si>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</si>
  <si>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</si>
  <si>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</si>
  <si>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</si>
  <si>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</si>
  <si>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</si>
  <si>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</si>
  <si>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</si>
  <si>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</si>
  <si>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</si>
  <si>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</si>
  <si>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</si>
  <si>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</si>
  <si>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</si>
  <si>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</si>
  <si>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</si>
  <si>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</si>
  <si>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</si>
  <si>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</si>
  <si>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</si>
  <si>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</si>
  <si>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</si>
  <si>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</si>
  <si>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</si>
  <si>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</si>
  <si>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</si>
  <si>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</si>
  <si>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</si>
  <si>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</si>
  <si>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</si>
  <si>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</si>
  <si>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</si>
  <si>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</si>
  <si>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</si>
  <si>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</si>
  <si>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</si>
  <si>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</si>
  <si>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</si>
  <si>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</si>
  <si>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</si>
  <si>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</si>
  <si>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</si>
  <si>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</si>
  <si>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</si>
  <si>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</si>
  <si>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</si>
  <si>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</si>
  <si>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</si>
  <si>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</si>
  <si>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</si>
  <si>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</si>
  <si>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</si>
  <si>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</si>
  <si>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</si>
  <si>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</si>
  <si>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</si>
  <si>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</si>
  <si>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</si>
  <si>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</si>
  <si>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</si>
  <si>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</si>
  <si>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</si>
  <si>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</si>
  <si>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</si>
  <si>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</si>
  <si>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</si>
  <si>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</si>
  <si>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</si>
  <si>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</si>
  <si>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</si>
  <si>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</si>
  <si>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</si>
  <si>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</si>
  <si>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</si>
  <si>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</si>
  <si>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</si>
  <si>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</si>
  <si>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</si>
  <si>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</si>
  <si>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</si>
  <si>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</si>
  <si>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</si>
  <si>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</si>
  <si>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</si>
  <si>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</si>
  <si>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</si>
  <si>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</si>
  <si>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</si>
  <si>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</si>
  <si>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</si>
  <si>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</si>
  <si>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</si>
  <si>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</si>
  <si>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</si>
  <si>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</si>
  <si>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</si>
  <si>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</si>
  <si>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</si>
  <si>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</si>
  <si>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</si>
  <si>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</si>
  <si>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</si>
  <si>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</si>
  <si>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</si>
  <si>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</si>
  <si>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</si>
  <si>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</si>
  <si>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</si>
  <si>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</si>
  <si>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</si>
  <si>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</si>
  <si>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</si>
  <si>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</si>
  <si>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</si>
  <si>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</si>
  <si>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</si>
  <si>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</si>
  <si>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</si>
  <si>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</si>
  <si>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</si>
  <si>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</si>
  <si>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</si>
  <si>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</si>
  <si>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</si>
  <si>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</si>
  <si>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</si>
  <si>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</si>
  <si>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</si>
  <si>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</si>
  <si>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</si>
  <si>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</si>
  <si>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</si>
  <si>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</si>
  <si>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</si>
  <si>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</si>
  <si>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</si>
  <si>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</si>
  <si>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</si>
  <si>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</si>
  <si>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</si>
  <si>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</si>
  <si>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</si>
  <si>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</si>
  <si>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</si>
  <si>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</si>
  <si>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</si>
  <si>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</si>
  <si>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</si>
  <si>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</si>
  <si>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</si>
  <si>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</si>
  <si>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</si>
  <si>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</si>
  <si>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</si>
  <si>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</si>
  <si>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</si>
  <si>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</si>
  <si>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</si>
  <si>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</si>
  <si>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</si>
  <si>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</si>
  <si>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</si>
  <si>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</si>
  <si>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</si>
  <si>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</si>
  <si>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</si>
  <si>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</si>
  <si>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</si>
  <si>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</si>
  <si>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</si>
  <si>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</si>
  <si>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</si>
  <si>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</si>
  <si>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</si>
  <si>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</si>
  <si>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</si>
  <si>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</si>
  <si>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</si>
  <si>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</si>
  <si>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</si>
  <si>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</si>
  <si>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</si>
  <si>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</si>
  <si>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</si>
  <si>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</si>
  <si>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</si>
  <si>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</si>
  <si>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</si>
  <si>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</si>
  <si>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</si>
  <si>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</si>
  <si>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</si>
  <si>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</si>
  <si>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</si>
  <si>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</si>
  <si>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</si>
  <si>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</si>
  <si>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</si>
  <si>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</si>
  <si>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</si>
  <si>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</si>
  <si>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</si>
  <si>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</si>
  <si>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</si>
  <si>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</si>
  <si>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</si>
  <si>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</si>
  <si>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</si>
  <si>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</si>
  <si>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</si>
  <si>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</si>
  <si>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</si>
  <si>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</si>
  <si>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</si>
  <si>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</si>
  <si>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</si>
  <si>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</si>
  <si>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</si>
  <si>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</si>
  <si>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</si>
  <si>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</si>
  <si>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</si>
  <si>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</si>
  <si>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</si>
  <si>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</si>
  <si>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</si>
  <si>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</si>
  <si>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</si>
  <si>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</si>
  <si>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</si>
  <si>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</si>
  <si>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</si>
  <si>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</si>
  <si>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</si>
  <si>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</si>
  <si>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</si>
  <si>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</si>
  <si>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</si>
  <si>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</si>
  <si>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</si>
  <si>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</si>
  <si>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</si>
  <si>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</si>
  <si>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</si>
  <si>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</si>
  <si>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</si>
  <si>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</si>
  <si>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</si>
  <si>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</si>
  <si>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</si>
  <si>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</si>
  <si>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</si>
  <si>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</si>
  <si>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</si>
  <si>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</si>
  <si>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</si>
  <si>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</si>
  <si>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</si>
  <si>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</si>
  <si>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</si>
  <si>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</si>
  <si>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</si>
  <si>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</si>
  <si>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</si>
  <si>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</si>
  <si>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</si>
  <si>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</si>
  <si>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</si>
  <si>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</si>
  <si>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</si>
  <si>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</si>
  <si>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</si>
  <si>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</si>
  <si>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</si>
  <si>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</si>
  <si>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</si>
  <si>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</si>
  <si>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</si>
  <si>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</si>
  <si>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</si>
  <si>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</si>
  <si>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</si>
  <si>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</si>
  <si>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</si>
  <si>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</si>
  <si>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</si>
  <si>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</si>
  <si>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</si>
  <si>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</si>
  <si>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</si>
  <si>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</si>
  <si>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</si>
  <si>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</si>
  <si>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</si>
  <si>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</si>
  <si>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</si>
  <si>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</si>
  <si>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</si>
  <si>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</si>
  <si>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</si>
  <si>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</si>
  <si>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</si>
  <si>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</si>
  <si>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</si>
  <si>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</si>
  <si>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</si>
  <si>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</si>
  <si>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</si>
  <si>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</si>
  <si>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</si>
  <si>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</si>
  <si>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</si>
  <si>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</si>
  <si>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</si>
  <si>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</si>
  <si>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</si>
  <si>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</si>
  <si>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</si>
  <si>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</si>
  <si>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</si>
  <si>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</si>
  <si>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</si>
  <si>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</si>
  <si>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</si>
  <si>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</si>
  <si>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</si>
  <si>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</si>
  <si>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</si>
  <si>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</si>
  <si>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</si>
  <si>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</si>
  <si>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</si>
  <si>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</si>
  <si>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</si>
  <si>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</si>
  <si>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</si>
  <si>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</si>
  <si>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</si>
  <si>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</si>
  <si>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</si>
  <si>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</si>
  <si>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</si>
  <si>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</si>
  <si>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</si>
  <si>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</si>
  <si>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</si>
  <si>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</si>
  <si>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</si>
  <si>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</si>
  <si>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</si>
  <si>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</si>
  <si>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</si>
  <si>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</si>
  <si>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</si>
  <si>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</si>
  <si>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</si>
  <si>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</si>
  <si>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</si>
  <si>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</si>
  <si>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</si>
  <si>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</si>
  <si>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</si>
  <si>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</si>
  <si>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</si>
  <si>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</si>
  <si>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</si>
  <si>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</si>
  <si>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</si>
  <si>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</si>
  <si>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</si>
  <si>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</si>
  <si>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</si>
  <si>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</si>
  <si>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</si>
  <si>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</si>
  <si>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</si>
  <si>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</si>
  <si>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</si>
  <si>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</si>
  <si>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</si>
  <si>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</si>
  <si>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</si>
  <si>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</si>
  <si>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</si>
  <si>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</si>
  <si>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</si>
  <si>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</si>
  <si>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</si>
  <si>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</si>
  <si>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</si>
  <si>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</si>
  <si>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</si>
  <si>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</si>
  <si>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</si>
  <si>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</si>
  <si>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</si>
  <si>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</si>
  <si>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</si>
  <si>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</si>
  <si>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</si>
  <si>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</si>
  <si>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</si>
  <si>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</si>
  <si>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</si>
  <si>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</si>
  <si>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</si>
  <si>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</si>
  <si>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</si>
  <si>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</si>
  <si>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</si>
  <si>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</si>
  <si>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</si>
  <si>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</si>
  <si>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</si>
  <si>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</si>
  <si>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</si>
  <si>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</si>
  <si>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</si>
  <si>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</si>
  <si>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</si>
  <si>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</si>
  <si>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</si>
  <si>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</si>
  <si>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</si>
  <si>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</si>
  <si>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</si>
  <si>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</si>
  <si>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</si>
  <si>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</si>
  <si>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</si>
  <si>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</si>
  <si>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</si>
  <si>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</si>
  <si>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</si>
  <si>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</si>
  <si>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</si>
  <si>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</si>
  <si>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</si>
  <si>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</si>
  <si>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</si>
  <si>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</si>
  <si>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</si>
  <si>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</si>
  <si>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</si>
  <si>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</si>
  <si>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</si>
  <si>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</si>
  <si>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</si>
  <si>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</si>
  <si>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</si>
  <si>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</si>
  <si>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</si>
  <si>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</si>
  <si>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</si>
  <si>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</si>
  <si>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</si>
  <si>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</si>
  <si>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</si>
  <si>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</si>
  <si>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</si>
  <si>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</si>
  <si>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</si>
  <si>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</si>
  <si>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</si>
  <si>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</si>
  <si>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</si>
  <si>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</si>
  <si>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</si>
  <si>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</si>
  <si>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</si>
  <si>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</si>
  <si>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</si>
  <si>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</si>
  <si>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</si>
  <si>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</si>
  <si>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</si>
  <si>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</si>
  <si>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</si>
  <si>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</si>
  <si>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</si>
  <si>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</si>
  <si>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</si>
  <si>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</si>
  <si>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</si>
  <si>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</si>
  <si>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</si>
  <si>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</si>
  <si>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</si>
  <si>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</si>
  <si>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</si>
  <si>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</si>
  <si>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</si>
  <si>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</si>
  <si>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</si>
  <si>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</si>
  <si>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</si>
  <si>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</si>
  <si>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</si>
  <si>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</si>
  <si>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</si>
  <si>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</si>
  <si>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</si>
  <si>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</si>
  <si>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</si>
  <si>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</si>
  <si>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</si>
  <si>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</si>
  <si>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</si>
  <si>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</si>
  <si>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</si>
  <si>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</si>
  <si>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</si>
  <si>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</si>
  <si>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</si>
  <si>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</si>
  <si>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</si>
  <si>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</si>
  <si>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</si>
  <si>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</si>
  <si>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</si>
  <si>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</si>
  <si>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</si>
  <si>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</si>
  <si>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</si>
  <si>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</si>
  <si>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</si>
  <si>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</si>
  <si>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</si>
  <si>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</si>
  <si>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</si>
  <si>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</si>
  <si>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</si>
  <si>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</si>
  <si>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</si>
  <si>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</si>
  <si>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</si>
  <si>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</si>
  <si>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</si>
  <si>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</si>
  <si>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</si>
  <si>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</si>
  <si>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</si>
  <si>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</si>
  <si>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</si>
  <si>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</si>
  <si>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</si>
  <si>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</si>
  <si>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</si>
  <si>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</si>
  <si>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</si>
  <si>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</si>
  <si>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</si>
  <si>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</si>
  <si>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</si>
  <si>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</si>
  <si>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</si>
  <si>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</si>
  <si>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</si>
  <si>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</si>
  <si>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</si>
  <si>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</si>
  <si>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</si>
  <si>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</si>
  <si>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</si>
  <si>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</si>
  <si>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</si>
  <si>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</si>
  <si>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</si>
  <si>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</si>
  <si>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</si>
  <si>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</si>
  <si>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</si>
  <si>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</si>
  <si>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</si>
  <si>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</si>
  <si>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</si>
  <si>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</si>
  <si>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</si>
  <si>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</si>
  <si>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</si>
  <si>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</si>
  <si>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</si>
  <si>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</si>
  <si>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</si>
  <si>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</si>
  <si>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</si>
  <si>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</si>
  <si>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</si>
  <si>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</si>
  <si>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</si>
  <si>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</si>
  <si>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</si>
  <si>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</si>
  <si>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</si>
  <si>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</si>
  <si>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</si>
  <si>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</si>
  <si>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</si>
  <si>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</si>
  <si>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</si>
  <si>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</si>
  <si>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</si>
  <si>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</si>
  <si>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</si>
  <si>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</si>
  <si>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</si>
  <si>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</si>
  <si>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</si>
  <si>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</si>
  <si>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</si>
  <si>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</si>
  <si>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</si>
  <si>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</si>
  <si>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</si>
  <si>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35013</t>
  </si>
  <si>
    <t>OOSTENDE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</si>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</sst>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544379D2-39D7-49A5-AC22-450EC52C45A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620093.93569894833</c:v>
                </c:pt>
                <c:pt idx="1">
                  <c:v>357869.04192749056</c:v>
                </c:pt>
                <c:pt idx="2">
                  <c:v>4031.8910000000001</c:v>
                </c:pt>
                <c:pt idx="3">
                  <c:v>3198.5403706371621</c:v>
                </c:pt>
                <c:pt idx="4">
                  <c:v>179296.52168273326</c:v>
                </c:pt>
                <c:pt idx="5">
                  <c:v>223359.82367307096</c:v>
                </c:pt>
                <c:pt idx="6">
                  <c:v>11349.613584794628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620093.93569894833</c:v>
                </c:pt>
                <c:pt idx="1">
                  <c:v>357869.04192749056</c:v>
                </c:pt>
                <c:pt idx="2">
                  <c:v>4031.8910000000001</c:v>
                </c:pt>
                <c:pt idx="3">
                  <c:v>3198.5403706371621</c:v>
                </c:pt>
                <c:pt idx="4">
                  <c:v>179296.52168273326</c:v>
                </c:pt>
                <c:pt idx="5">
                  <c:v>223359.82367307096</c:v>
                </c:pt>
                <c:pt idx="6">
                  <c:v>11349.613584794628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131716.85813393156</c:v>
                </c:pt>
                <c:pt idx="2">
                  <c:v>74297.297931988403</c:v>
                </c:pt>
                <c:pt idx="3">
                  <c:v>866.38350136776671</c:v>
                </c:pt>
                <c:pt idx="4">
                  <c:v>798.31774827234119</c:v>
                </c:pt>
                <c:pt idx="5">
                  <c:v>38012.422133678985</c:v>
                </c:pt>
                <c:pt idx="6">
                  <c:v>56001.88263684413</c:v>
                </c:pt>
                <c:pt idx="7">
                  <c:v>2796.6838210326259</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131716.85813393156</c:v>
                </c:pt>
                <c:pt idx="2">
                  <c:v>74297.297931988403</c:v>
                </c:pt>
                <c:pt idx="3">
                  <c:v>866.38350136776671</c:v>
                </c:pt>
                <c:pt idx="4">
                  <c:v>798.31774827234119</c:v>
                </c:pt>
                <c:pt idx="5">
                  <c:v>38012.422133678985</c:v>
                </c:pt>
                <c:pt idx="6">
                  <c:v>56001.88263684413</c:v>
                </c:pt>
                <c:pt idx="7">
                  <c:v>2796.6838210326259</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35013</v>
      </c>
      <c r="B6" s="381"/>
      <c r="C6" s="382"/>
    </row>
    <row r="7" spans="1:7" s="379" customFormat="1" ht="15.75" customHeight="1">
      <c r="A7" s="383" t="str">
        <f>txtMunicipality</f>
        <v>OOSTENDE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0.21488266953837956</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0.21488266953837956</v>
      </c>
      <c r="C29" s="490">
        <f ca="1">'EF ele_warmte'!B22</f>
        <v>0.23764705882352946</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36026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805</v>
      </c>
      <c r="C14" s="322"/>
      <c r="D14" s="322"/>
      <c r="E14" s="322"/>
      <c r="F14" s="322"/>
    </row>
    <row r="15" spans="1:6">
      <c r="A15" s="1261" t="s">
        <v>177</v>
      </c>
      <c r="B15" s="1262">
        <v>5</v>
      </c>
      <c r="C15" s="322"/>
      <c r="D15" s="322"/>
      <c r="E15" s="322"/>
      <c r="F15" s="322"/>
    </row>
    <row r="16" spans="1:6">
      <c r="A16" s="1261" t="s">
        <v>6</v>
      </c>
      <c r="B16" s="1262">
        <v>220</v>
      </c>
      <c r="C16" s="322"/>
      <c r="D16" s="322"/>
      <c r="E16" s="322"/>
      <c r="F16" s="322"/>
    </row>
    <row r="17" spans="1:6">
      <c r="A17" s="1261" t="s">
        <v>7</v>
      </c>
      <c r="B17" s="1262">
        <v>331</v>
      </c>
      <c r="C17" s="322"/>
      <c r="D17" s="322"/>
      <c r="E17" s="322"/>
      <c r="F17" s="322"/>
    </row>
    <row r="18" spans="1:6">
      <c r="A18" s="1261" t="s">
        <v>8</v>
      </c>
      <c r="B18" s="1262">
        <v>386</v>
      </c>
      <c r="C18" s="322"/>
      <c r="D18" s="322"/>
      <c r="E18" s="322"/>
      <c r="F18" s="322"/>
    </row>
    <row r="19" spans="1:6">
      <c r="A19" s="1261" t="s">
        <v>9</v>
      </c>
      <c r="B19" s="1262">
        <v>317</v>
      </c>
      <c r="C19" s="322"/>
      <c r="D19" s="322"/>
      <c r="E19" s="322"/>
      <c r="F19" s="322"/>
    </row>
    <row r="20" spans="1:6">
      <c r="A20" s="1261" t="s">
        <v>10</v>
      </c>
      <c r="B20" s="1262">
        <v>178</v>
      </c>
      <c r="C20" s="322"/>
      <c r="D20" s="322"/>
      <c r="E20" s="322"/>
      <c r="F20" s="322"/>
    </row>
    <row r="21" spans="1:6">
      <c r="A21" s="1261" t="s">
        <v>11</v>
      </c>
      <c r="B21" s="1262">
        <v>321</v>
      </c>
      <c r="C21" s="322"/>
      <c r="D21" s="322"/>
      <c r="E21" s="322"/>
      <c r="F21" s="322"/>
    </row>
    <row r="22" spans="1:6">
      <c r="A22" s="1261" t="s">
        <v>12</v>
      </c>
      <c r="B22" s="1262">
        <v>1368</v>
      </c>
      <c r="C22" s="322"/>
      <c r="D22" s="322"/>
      <c r="E22" s="322"/>
      <c r="F22" s="322"/>
    </row>
    <row r="23" spans="1:6">
      <c r="A23" s="1261" t="s">
        <v>13</v>
      </c>
      <c r="B23" s="1262">
        <v>20</v>
      </c>
      <c r="C23" s="322"/>
      <c r="D23" s="322"/>
      <c r="E23" s="322"/>
      <c r="F23" s="322"/>
    </row>
    <row r="24" spans="1:6">
      <c r="A24" s="1261" t="s">
        <v>14</v>
      </c>
      <c r="B24" s="1262">
        <v>1</v>
      </c>
      <c r="C24" s="322"/>
      <c r="D24" s="322"/>
      <c r="E24" s="322"/>
      <c r="F24" s="322"/>
    </row>
    <row r="25" spans="1:6">
      <c r="A25" s="1261" t="s">
        <v>15</v>
      </c>
      <c r="B25" s="1262">
        <v>104</v>
      </c>
      <c r="C25" s="322"/>
      <c r="D25" s="322"/>
      <c r="E25" s="322"/>
      <c r="F25" s="322"/>
    </row>
    <row r="26" spans="1:6">
      <c r="A26" s="1261" t="s">
        <v>16</v>
      </c>
      <c r="B26" s="1262">
        <v>135</v>
      </c>
      <c r="C26" s="322"/>
      <c r="D26" s="322"/>
      <c r="E26" s="322"/>
      <c r="F26" s="322"/>
    </row>
    <row r="27" spans="1:6">
      <c r="A27" s="1261" t="s">
        <v>17</v>
      </c>
      <c r="B27" s="1262">
        <v>5</v>
      </c>
      <c r="C27" s="322"/>
      <c r="D27" s="322"/>
      <c r="E27" s="322"/>
      <c r="F27" s="322"/>
    </row>
    <row r="28" spans="1:6">
      <c r="A28" s="1261" t="s">
        <v>18</v>
      </c>
      <c r="B28" s="1263">
        <v>2</v>
      </c>
      <c r="C28" s="322"/>
      <c r="D28" s="322"/>
      <c r="E28" s="322"/>
      <c r="F28" s="322"/>
    </row>
    <row r="29" spans="1:6">
      <c r="A29" s="1261" t="s">
        <v>901</v>
      </c>
      <c r="B29" s="1263">
        <v>72</v>
      </c>
      <c r="C29" s="322"/>
      <c r="D29" s="322"/>
      <c r="E29" s="322"/>
      <c r="F29" s="322"/>
    </row>
    <row r="30" spans="1:6">
      <c r="A30" s="1256" t="s">
        <v>902</v>
      </c>
      <c r="B30" s="1264">
        <v>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4</v>
      </c>
      <c r="D36" s="1262">
        <v>9404999.2046448402</v>
      </c>
      <c r="E36" s="1262">
        <v>20</v>
      </c>
      <c r="F36" s="1262">
        <v>202544.3</v>
      </c>
    </row>
    <row r="37" spans="1:6">
      <c r="A37" s="1261" t="s">
        <v>24</v>
      </c>
      <c r="B37" s="1261" t="s">
        <v>27</v>
      </c>
      <c r="C37" s="1262">
        <v>0</v>
      </c>
      <c r="D37" s="1262">
        <v>0</v>
      </c>
      <c r="E37" s="1262">
        <v>0</v>
      </c>
      <c r="F37" s="1262">
        <v>0</v>
      </c>
    </row>
    <row r="38" spans="1:6">
      <c r="A38" s="1261" t="s">
        <v>24</v>
      </c>
      <c r="B38" s="1261" t="s">
        <v>28</v>
      </c>
      <c r="C38" s="1262">
        <v>2</v>
      </c>
      <c r="D38" s="1262">
        <v>264980.07695028</v>
      </c>
      <c r="E38" s="1262">
        <v>4</v>
      </c>
      <c r="F38" s="1262">
        <v>46286.06</v>
      </c>
    </row>
    <row r="39" spans="1:6">
      <c r="A39" s="1261" t="s">
        <v>29</v>
      </c>
      <c r="B39" s="1261" t="s">
        <v>30</v>
      </c>
      <c r="C39" s="1262">
        <v>25360</v>
      </c>
      <c r="D39" s="1262">
        <v>264032685.30548799</v>
      </c>
      <c r="E39" s="1262">
        <v>42756</v>
      </c>
      <c r="F39" s="1262">
        <v>136000000</v>
      </c>
    </row>
    <row r="40" spans="1:6">
      <c r="A40" s="1261" t="s">
        <v>29</v>
      </c>
      <c r="B40" s="1261" t="s">
        <v>28</v>
      </c>
      <c r="C40" s="1262">
        <v>1</v>
      </c>
      <c r="D40" s="1262">
        <v>23204.816624741401</v>
      </c>
      <c r="E40" s="1262">
        <v>3</v>
      </c>
      <c r="F40" s="1262">
        <v>26976</v>
      </c>
    </row>
    <row r="41" spans="1:6">
      <c r="A41" s="1261" t="s">
        <v>31</v>
      </c>
      <c r="B41" s="1261" t="s">
        <v>32</v>
      </c>
      <c r="C41" s="1262">
        <v>262</v>
      </c>
      <c r="D41" s="1262">
        <v>4025312.5470259199</v>
      </c>
      <c r="E41" s="1262">
        <v>575</v>
      </c>
      <c r="F41" s="1262">
        <v>8835246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14</v>
      </c>
      <c r="D44" s="1262">
        <v>8917902.6435531192</v>
      </c>
      <c r="E44" s="1262">
        <v>59</v>
      </c>
      <c r="F44" s="1262">
        <v>12409517</v>
      </c>
    </row>
    <row r="45" spans="1:6">
      <c r="A45" s="1261" t="s">
        <v>31</v>
      </c>
      <c r="B45" s="1261" t="s">
        <v>36</v>
      </c>
      <c r="C45" s="1262">
        <v>0</v>
      </c>
      <c r="D45" s="1262">
        <v>0</v>
      </c>
      <c r="E45" s="1262">
        <v>3</v>
      </c>
      <c r="F45" s="1262">
        <v>754389.3</v>
      </c>
    </row>
    <row r="46" spans="1:6">
      <c r="A46" s="1261" t="s">
        <v>31</v>
      </c>
      <c r="B46" s="1261" t="s">
        <v>37</v>
      </c>
      <c r="C46" s="1262">
        <v>0</v>
      </c>
      <c r="D46" s="1262">
        <v>0</v>
      </c>
      <c r="E46" s="1262">
        <v>0</v>
      </c>
      <c r="F46" s="1262">
        <v>0</v>
      </c>
    </row>
    <row r="47" spans="1:6">
      <c r="A47" s="1261" t="s">
        <v>31</v>
      </c>
      <c r="B47" s="1261" t="s">
        <v>38</v>
      </c>
      <c r="C47" s="1262">
        <v>14</v>
      </c>
      <c r="D47" s="1262">
        <v>653131.92356140295</v>
      </c>
      <c r="E47" s="1262">
        <v>17</v>
      </c>
      <c r="F47" s="1262">
        <v>1466605</v>
      </c>
    </row>
    <row r="48" spans="1:6">
      <c r="A48" s="1261" t="s">
        <v>31</v>
      </c>
      <c r="B48" s="1261" t="s">
        <v>28</v>
      </c>
      <c r="C48" s="1262">
        <v>40</v>
      </c>
      <c r="D48" s="1262">
        <v>38209572.093786202</v>
      </c>
      <c r="E48" s="1262">
        <v>57</v>
      </c>
      <c r="F48" s="1262">
        <v>24923303</v>
      </c>
    </row>
    <row r="49" spans="1:6">
      <c r="A49" s="1261" t="s">
        <v>31</v>
      </c>
      <c r="B49" s="1261" t="s">
        <v>39</v>
      </c>
      <c r="C49" s="1262">
        <v>3</v>
      </c>
      <c r="D49" s="1262">
        <v>226130.444675568</v>
      </c>
      <c r="E49" s="1262">
        <v>7</v>
      </c>
      <c r="F49" s="1262">
        <v>87854.26</v>
      </c>
    </row>
    <row r="50" spans="1:6">
      <c r="A50" s="1261" t="s">
        <v>31</v>
      </c>
      <c r="B50" s="1261" t="s">
        <v>40</v>
      </c>
      <c r="C50" s="1262">
        <v>50</v>
      </c>
      <c r="D50" s="1262">
        <v>12139523.706971399</v>
      </c>
      <c r="E50" s="1262">
        <v>81</v>
      </c>
      <c r="F50" s="1262">
        <v>14417419</v>
      </c>
    </row>
    <row r="51" spans="1:6">
      <c r="A51" s="1261" t="s">
        <v>41</v>
      </c>
      <c r="B51" s="1261" t="s">
        <v>42</v>
      </c>
      <c r="C51" s="1262">
        <v>11</v>
      </c>
      <c r="D51" s="1262">
        <v>250108.65721709601</v>
      </c>
      <c r="E51" s="1262">
        <v>62</v>
      </c>
      <c r="F51" s="1262">
        <v>315689</v>
      </c>
    </row>
    <row r="52" spans="1:6">
      <c r="A52" s="1261" t="s">
        <v>41</v>
      </c>
      <c r="B52" s="1261" t="s">
        <v>28</v>
      </c>
      <c r="C52" s="1262">
        <v>12</v>
      </c>
      <c r="D52" s="1262">
        <v>215203.077881501</v>
      </c>
      <c r="E52" s="1262">
        <v>16</v>
      </c>
      <c r="F52" s="1262">
        <v>321441.8</v>
      </c>
    </row>
    <row r="53" spans="1:6">
      <c r="A53" s="1261" t="s">
        <v>43</v>
      </c>
      <c r="B53" s="1261" t="s">
        <v>44</v>
      </c>
      <c r="C53" s="1262">
        <v>1775</v>
      </c>
      <c r="D53" s="1262">
        <v>32579790.437950399</v>
      </c>
      <c r="E53" s="1262">
        <v>4289</v>
      </c>
      <c r="F53" s="1262">
        <v>12381238</v>
      </c>
    </row>
    <row r="54" spans="1:6">
      <c r="A54" s="1261" t="s">
        <v>45</v>
      </c>
      <c r="B54" s="1261" t="s">
        <v>46</v>
      </c>
      <c r="C54" s="1262">
        <v>0</v>
      </c>
      <c r="D54" s="1262">
        <v>0</v>
      </c>
      <c r="E54" s="1262">
        <v>153</v>
      </c>
      <c r="F54" s="1262">
        <v>4031891</v>
      </c>
    </row>
    <row r="55" spans="1:6">
      <c r="A55" s="1261" t="s">
        <v>45</v>
      </c>
      <c r="B55" s="1261" t="s">
        <v>28</v>
      </c>
      <c r="C55" s="1262">
        <v>0</v>
      </c>
      <c r="D55" s="1262">
        <v>0</v>
      </c>
      <c r="E55" s="1262">
        <v>0</v>
      </c>
      <c r="F55" s="1262">
        <v>0</v>
      </c>
    </row>
    <row r="56" spans="1:6">
      <c r="A56" s="1261" t="s">
        <v>47</v>
      </c>
      <c r="B56" s="1261" t="s">
        <v>28</v>
      </c>
      <c r="C56" s="1262">
        <v>0</v>
      </c>
      <c r="D56" s="1262">
        <v>0</v>
      </c>
      <c r="E56" s="1262">
        <v>1</v>
      </c>
      <c r="F56" s="1262">
        <v>23228</v>
      </c>
    </row>
    <row r="57" spans="1:6">
      <c r="A57" s="1261" t="s">
        <v>48</v>
      </c>
      <c r="B57" s="1261" t="s">
        <v>49</v>
      </c>
      <c r="C57" s="1262">
        <v>279</v>
      </c>
      <c r="D57" s="1262">
        <v>22275911.003483601</v>
      </c>
      <c r="E57" s="1262">
        <v>659</v>
      </c>
      <c r="F57" s="1262">
        <v>25699481</v>
      </c>
    </row>
    <row r="58" spans="1:6">
      <c r="A58" s="1261" t="s">
        <v>48</v>
      </c>
      <c r="B58" s="1261" t="s">
        <v>50</v>
      </c>
      <c r="C58" s="1262">
        <v>192</v>
      </c>
      <c r="D58" s="1262">
        <v>23097268.5883427</v>
      </c>
      <c r="E58" s="1262">
        <v>296</v>
      </c>
      <c r="F58" s="1262">
        <v>11574664</v>
      </c>
    </row>
    <row r="59" spans="1:6">
      <c r="A59" s="1261" t="s">
        <v>48</v>
      </c>
      <c r="B59" s="1261" t="s">
        <v>51</v>
      </c>
      <c r="C59" s="1262">
        <v>625</v>
      </c>
      <c r="D59" s="1262">
        <v>20877376.994858898</v>
      </c>
      <c r="E59" s="1262">
        <v>1364</v>
      </c>
      <c r="F59" s="1262">
        <v>44814019</v>
      </c>
    </row>
    <row r="60" spans="1:6">
      <c r="A60" s="1261" t="s">
        <v>48</v>
      </c>
      <c r="B60" s="1261" t="s">
        <v>52</v>
      </c>
      <c r="C60" s="1262">
        <v>480</v>
      </c>
      <c r="D60" s="1262">
        <v>28084928.398849402</v>
      </c>
      <c r="E60" s="1262">
        <v>692</v>
      </c>
      <c r="F60" s="1262">
        <v>25560108</v>
      </c>
    </row>
    <row r="61" spans="1:6">
      <c r="A61" s="1261" t="s">
        <v>48</v>
      </c>
      <c r="B61" s="1261" t="s">
        <v>53</v>
      </c>
      <c r="C61" s="1262">
        <v>996</v>
      </c>
      <c r="D61" s="1262">
        <v>58699562.891436398</v>
      </c>
      <c r="E61" s="1262">
        <v>3041</v>
      </c>
      <c r="F61" s="1262">
        <v>39554072</v>
      </c>
    </row>
    <row r="62" spans="1:6">
      <c r="A62" s="1261" t="s">
        <v>48</v>
      </c>
      <c r="B62" s="1261" t="s">
        <v>54</v>
      </c>
      <c r="C62" s="1262">
        <v>44</v>
      </c>
      <c r="D62" s="1262">
        <v>6747646.2478899397</v>
      </c>
      <c r="E62" s="1262">
        <v>63</v>
      </c>
      <c r="F62" s="1262">
        <v>3711517</v>
      </c>
    </row>
    <row r="63" spans="1:6">
      <c r="A63" s="1261" t="s">
        <v>48</v>
      </c>
      <c r="B63" s="1261" t="s">
        <v>28</v>
      </c>
      <c r="C63" s="1262">
        <v>96</v>
      </c>
      <c r="D63" s="1262">
        <v>11995855.080411799</v>
      </c>
      <c r="E63" s="1262">
        <v>75</v>
      </c>
      <c r="F63" s="1262">
        <v>1906764</v>
      </c>
    </row>
    <row r="64" spans="1:6">
      <c r="A64" s="1261" t="s">
        <v>55</v>
      </c>
      <c r="B64" s="1261" t="s">
        <v>56</v>
      </c>
      <c r="C64" s="1262">
        <v>0</v>
      </c>
      <c r="D64" s="1262">
        <v>0</v>
      </c>
      <c r="E64" s="1262">
        <v>0</v>
      </c>
      <c r="F64" s="1262">
        <v>0</v>
      </c>
    </row>
    <row r="65" spans="1:6">
      <c r="A65" s="1261" t="s">
        <v>55</v>
      </c>
      <c r="B65" s="1261" t="s">
        <v>28</v>
      </c>
      <c r="C65" s="1262">
        <v>5</v>
      </c>
      <c r="D65" s="1262">
        <v>108968.331153477</v>
      </c>
      <c r="E65" s="1262">
        <v>6</v>
      </c>
      <c r="F65" s="1262">
        <v>176504.7</v>
      </c>
    </row>
    <row r="66" spans="1:6">
      <c r="A66" s="1261" t="s">
        <v>55</v>
      </c>
      <c r="B66" s="1261" t="s">
        <v>57</v>
      </c>
      <c r="C66" s="1262">
        <v>4</v>
      </c>
      <c r="D66" s="1262">
        <v>1014597.42876202</v>
      </c>
      <c r="E66" s="1262">
        <v>50</v>
      </c>
      <c r="F66" s="1262">
        <v>2679666</v>
      </c>
    </row>
    <row r="67" spans="1:6">
      <c r="A67" s="1261" t="s">
        <v>55</v>
      </c>
      <c r="B67" s="1261" t="s">
        <v>58</v>
      </c>
      <c r="C67" s="1262">
        <v>0</v>
      </c>
      <c r="D67" s="1262">
        <v>0</v>
      </c>
      <c r="E67" s="1262">
        <v>0</v>
      </c>
      <c r="F67" s="1262">
        <v>0</v>
      </c>
    </row>
    <row r="68" spans="1:6">
      <c r="A68" s="1256" t="s">
        <v>55</v>
      </c>
      <c r="B68" s="1256" t="s">
        <v>59</v>
      </c>
      <c r="C68" s="1264">
        <v>13</v>
      </c>
      <c r="D68" s="1264">
        <v>2078243.8086574599</v>
      </c>
      <c r="E68" s="1264">
        <v>56</v>
      </c>
      <c r="F68" s="1264">
        <v>5747958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136666584</v>
      </c>
      <c r="E73" s="440"/>
      <c r="F73" s="322"/>
    </row>
    <row r="74" spans="1:6">
      <c r="A74" s="1261" t="s">
        <v>63</v>
      </c>
      <c r="B74" s="1261" t="s">
        <v>670</v>
      </c>
      <c r="C74" s="1274" t="s">
        <v>672</v>
      </c>
      <c r="D74" s="1262">
        <v>15982581.963673612</v>
      </c>
      <c r="E74" s="440"/>
      <c r="F74" s="322"/>
    </row>
    <row r="75" spans="1:6">
      <c r="A75" s="1261" t="s">
        <v>64</v>
      </c>
      <c r="B75" s="1261" t="s">
        <v>669</v>
      </c>
      <c r="C75" s="1274" t="s">
        <v>673</v>
      </c>
      <c r="D75" s="1262">
        <v>46355505</v>
      </c>
      <c r="E75" s="440"/>
      <c r="F75" s="322"/>
    </row>
    <row r="76" spans="1:6">
      <c r="A76" s="1261" t="s">
        <v>64</v>
      </c>
      <c r="B76" s="1261" t="s">
        <v>670</v>
      </c>
      <c r="C76" s="1274" t="s">
        <v>674</v>
      </c>
      <c r="D76" s="1262">
        <v>5496620.963673613</v>
      </c>
      <c r="E76" s="440"/>
      <c r="F76" s="322"/>
    </row>
    <row r="77" spans="1:6">
      <c r="A77" s="1261" t="s">
        <v>65</v>
      </c>
      <c r="B77" s="1261" t="s">
        <v>669</v>
      </c>
      <c r="C77" s="1274" t="s">
        <v>675</v>
      </c>
      <c r="D77" s="1262">
        <v>43902049</v>
      </c>
      <c r="E77" s="440"/>
      <c r="F77" s="322"/>
    </row>
    <row r="78" spans="1:6">
      <c r="A78" s="1256" t="s">
        <v>65</v>
      </c>
      <c r="B78" s="1256" t="s">
        <v>670</v>
      </c>
      <c r="C78" s="1256" t="s">
        <v>676</v>
      </c>
      <c r="D78" s="1264">
        <v>2013145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2570064.0726527744</v>
      </c>
      <c r="C83" s="440"/>
      <c r="D83" s="322"/>
      <c r="E83" s="322"/>
      <c r="F83" s="322"/>
    </row>
    <row r="84" spans="1:6">
      <c r="A84" s="1256" t="s">
        <v>324</v>
      </c>
      <c r="B84" s="1264">
        <v>505145.20650603418</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4967.2028370960961</v>
      </c>
      <c r="C91" s="322"/>
      <c r="D91" s="322"/>
      <c r="E91" s="322"/>
      <c r="F91" s="322"/>
    </row>
    <row r="92" spans="1:6">
      <c r="A92" s="1256" t="s">
        <v>68</v>
      </c>
      <c r="B92" s="1257">
        <v>5453.8685263740535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18029</v>
      </c>
      <c r="C97" s="322"/>
      <c r="D97" s="322"/>
      <c r="E97" s="322"/>
      <c r="F97" s="322"/>
    </row>
    <row r="98" spans="1:6">
      <c r="A98" s="1261" t="s">
        <v>71</v>
      </c>
      <c r="B98" s="1262">
        <v>6</v>
      </c>
      <c r="C98" s="322"/>
      <c r="D98" s="322"/>
      <c r="E98" s="322"/>
      <c r="F98" s="322"/>
    </row>
    <row r="99" spans="1:6">
      <c r="A99" s="1261" t="s">
        <v>72</v>
      </c>
      <c r="B99" s="1262">
        <v>78</v>
      </c>
      <c r="C99" s="322"/>
      <c r="D99" s="322"/>
      <c r="E99" s="322"/>
      <c r="F99" s="322"/>
    </row>
    <row r="100" spans="1:6">
      <c r="A100" s="1261" t="s">
        <v>73</v>
      </c>
      <c r="B100" s="1262">
        <v>5998</v>
      </c>
      <c r="C100" s="322"/>
      <c r="D100" s="322"/>
      <c r="E100" s="322"/>
      <c r="F100" s="322"/>
    </row>
    <row r="101" spans="1:6">
      <c r="A101" s="1261" t="s">
        <v>74</v>
      </c>
      <c r="B101" s="1262">
        <v>100</v>
      </c>
      <c r="C101" s="322"/>
      <c r="D101" s="322"/>
      <c r="E101" s="322"/>
      <c r="F101" s="322"/>
    </row>
    <row r="102" spans="1:6">
      <c r="A102" s="1261" t="s">
        <v>75</v>
      </c>
      <c r="B102" s="1262">
        <v>847</v>
      </c>
      <c r="C102" s="322"/>
      <c r="D102" s="322"/>
      <c r="E102" s="322"/>
      <c r="F102" s="322"/>
    </row>
    <row r="103" spans="1:6">
      <c r="A103" s="1261" t="s">
        <v>76</v>
      </c>
      <c r="B103" s="1262">
        <v>301</v>
      </c>
      <c r="C103" s="322"/>
      <c r="D103" s="322"/>
      <c r="E103" s="322"/>
      <c r="F103" s="322"/>
    </row>
    <row r="104" spans="1:6">
      <c r="A104" s="1261" t="s">
        <v>77</v>
      </c>
      <c r="B104" s="1262">
        <v>6677</v>
      </c>
      <c r="C104" s="322"/>
      <c r="D104" s="322"/>
      <c r="E104" s="322"/>
      <c r="F104" s="322"/>
    </row>
    <row r="105" spans="1:6">
      <c r="A105" s="1256" t="s">
        <v>78</v>
      </c>
      <c r="B105" s="1264">
        <v>29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35</v>
      </c>
      <c r="C123" s="1262">
        <v>19</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170</v>
      </c>
      <c r="C129" s="322"/>
      <c r="D129" s="322"/>
      <c r="E129" s="322"/>
      <c r="F129" s="322"/>
    </row>
    <row r="130" spans="1:6">
      <c r="A130" s="1261" t="s">
        <v>284</v>
      </c>
      <c r="B130" s="1262">
        <v>5</v>
      </c>
      <c r="C130" s="322"/>
      <c r="D130" s="322"/>
      <c r="E130" s="322"/>
      <c r="F130" s="322"/>
    </row>
    <row r="131" spans="1:6">
      <c r="A131" s="1261" t="s">
        <v>285</v>
      </c>
      <c r="B131" s="1262">
        <v>13</v>
      </c>
      <c r="C131" s="322"/>
      <c r="D131" s="322"/>
      <c r="E131" s="322"/>
      <c r="F131" s="322"/>
    </row>
    <row r="132" spans="1:6">
      <c r="A132" s="1256" t="s">
        <v>286</v>
      </c>
      <c r="B132" s="1257">
        <v>11</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375868.39513040334</v>
      </c>
      <c r="C3" s="43" t="s">
        <v>163</v>
      </c>
      <c r="D3" s="43"/>
      <c r="E3" s="153"/>
      <c r="F3" s="43"/>
      <c r="G3" s="43"/>
      <c r="H3" s="43"/>
      <c r="I3" s="43"/>
      <c r="J3" s="43"/>
      <c r="K3" s="96"/>
    </row>
    <row r="4" spans="1:11">
      <c r="A4" s="349" t="s">
        <v>164</v>
      </c>
      <c r="B4" s="49">
        <f>IF(ISERROR('SEAP template'!B78+'SEAP template'!C78),0,'SEAP template'!B78+'SEAP template'!C78)</f>
        <v>10646.07136347015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53.470588235294116</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0.21488266953837956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76.386554621848759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321.42857142857144</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0.23764705882352946</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4031.8910000000001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4031.8910000000001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0.21488266953837956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866.38350136776671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136026.976</v>
      </c>
      <c r="C5" s="17">
        <f>IF(ISERROR('Eigen informatie GS &amp; warmtenet'!B57),0,'Eigen informatie GS &amp; warmtenet'!B57)</f>
        <v>0</v>
      </c>
      <c r="D5" s="30">
        <f>(SUM(HH_hh_gas_kWh,HH_rest_gas_kWh)/1000)*0.902</f>
        <v>238178.41289014567</v>
      </c>
      <c r="E5" s="17">
        <f>B32*B41</f>
        <v>5982.5983635300527</v>
      </c>
      <c r="F5" s="17">
        <f>B36*B45</f>
        <v>188732.31382737806</v>
      </c>
      <c r="G5" s="18"/>
      <c r="H5" s="17"/>
      <c r="I5" s="17"/>
      <c r="J5" s="17">
        <f>B35*B44+C35*C44</f>
        <v>4401.2304288247042</v>
      </c>
      <c r="K5" s="17"/>
      <c r="L5" s="17"/>
      <c r="M5" s="17"/>
      <c r="N5" s="17">
        <f>B34*B43+C34*C43</f>
        <v>40613.598018640543</v>
      </c>
      <c r="O5" s="17">
        <f>B52*B53*B54</f>
        <v>295.47000000000003</v>
      </c>
      <c r="P5" s="17">
        <f>B60*B61*B62/1000-B60*B61*B62/1000/B63</f>
        <v>896.13333333333333</v>
      </c>
    </row>
    <row r="6" spans="1:16">
      <c r="A6" s="16" t="s">
        <v>593</v>
      </c>
      <c r="B6" s="717">
        <f>kWh_PV_kleiner_dan_10kW</f>
        <v>4967.2028370960961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140994.17883709609</v>
      </c>
      <c r="C8" s="21">
        <f>C5</f>
        <v>0</v>
      </c>
      <c r="D8" s="21">
        <f>D5</f>
        <v>238178.41289014567</v>
      </c>
      <c r="E8" s="21">
        <f>E5</f>
        <v>5982.5983635300527</v>
      </c>
      <c r="F8" s="21">
        <f>F5</f>
        <v>188732.31382737806</v>
      </c>
      <c r="G8" s="21"/>
      <c r="H8" s="21"/>
      <c r="I8" s="21"/>
      <c r="J8" s="21">
        <f>J5</f>
        <v>4401.2304288247042</v>
      </c>
      <c r="K8" s="21"/>
      <c r="L8" s="21">
        <f>L5</f>
        <v>0</v>
      </c>
      <c r="M8" s="21">
        <f>M5</f>
        <v>0</v>
      </c>
      <c r="N8" s="21">
        <f>N5</f>
        <v>40613.598018640543</v>
      </c>
      <c r="O8" s="21">
        <f>O5</f>
        <v>295.47000000000003</v>
      </c>
      <c r="P8" s="21">
        <f>P5</f>
        <v>896.13333333333333</v>
      </c>
    </row>
    <row r="9" spans="1:16">
      <c r="B9" s="19"/>
      <c r="C9" s="19"/>
      <c r="D9" s="253"/>
      <c r="E9" s="19"/>
      <c r="F9" s="19"/>
      <c r="G9" s="19"/>
      <c r="H9" s="19"/>
      <c r="I9" s="19"/>
      <c r="J9" s="19"/>
      <c r="K9" s="19"/>
      <c r="L9" s="19"/>
      <c r="M9" s="19"/>
      <c r="N9" s="19"/>
      <c r="O9" s="19"/>
      <c r="P9" s="19"/>
    </row>
    <row r="10" spans="1:16">
      <c r="A10" s="24" t="s">
        <v>207</v>
      </c>
      <c r="B10" s="25">
        <f ca="1">'EF ele_warmte'!B12</f>
        <v>0.21488266953837956</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30297.205537886908</v>
      </c>
      <c r="C12" s="23">
        <f ca="1">C10*C8</f>
        <v>0</v>
      </c>
      <c r="D12" s="23">
        <f>D8*D10</f>
        <v>48112.039403809431</v>
      </c>
      <c r="E12" s="23">
        <f>E10*E8</f>
        <v>1358.0498285213221</v>
      </c>
      <c r="F12" s="23">
        <f>F10*F8</f>
        <v>50391.527791909946</v>
      </c>
      <c r="G12" s="23"/>
      <c r="H12" s="23"/>
      <c r="I12" s="23"/>
      <c r="J12" s="23">
        <f>J10*J8</f>
        <v>1558.0355718039452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36026</v>
      </c>
      <c r="C26" s="36"/>
      <c r="D26" s="224"/>
    </row>
    <row r="27" spans="1:5" s="15" customFormat="1">
      <c r="A27" s="226" t="s">
        <v>696</v>
      </c>
      <c r="B27" s="37">
        <f>SUM(HH_hh_gas_aantal,HH_rest_gas_aantal)</f>
        <v>25361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24092.95</v>
      </c>
      <c r="C31" s="34" t="s">
        <v>104</v>
      </c>
      <c r="D31" s="170"/>
    </row>
    <row r="32" spans="1:5">
      <c r="A32" s="167" t="s">
        <v>72</v>
      </c>
      <c r="B32" s="33">
        <f>IF((B21*($B$26-($B$27-0.05*$B$27)-$B$60))&lt;0,0,B21*($B$26-($B$27-0.05*$B$27)-$B$60))</f>
        <v>74.944165525023976</v>
      </c>
      <c r="C32" s="34" t="s">
        <v>104</v>
      </c>
      <c r="D32" s="170"/>
    </row>
    <row r="33" spans="1:6">
      <c r="A33" s="167" t="s">
        <v>73</v>
      </c>
      <c r="B33" s="33">
        <f>IF((B22*($B$26-($B$27-0.05*$B$27)-$B$60))&lt;0,0,B22*($B$26-($B$27-0.05*$B$27)-$B$60))</f>
        <v>2609.8280943381842</v>
      </c>
      <c r="C33" s="34" t="s">
        <v>104</v>
      </c>
      <c r="D33" s="170"/>
    </row>
    <row r="34" spans="1:6">
      <c r="A34" s="167" t="s">
        <v>74</v>
      </c>
      <c r="B34" s="33">
        <f>IF((B24*($B$26-($B$27-0.05*$B$27)-$B$60))&lt;0,0,B24*($B$26-($B$27-0.05*$B$27)-$B$60))</f>
        <v>518.03933104059718</v>
      </c>
      <c r="C34" s="33">
        <f>B26*C24</f>
        <v>7370.9081590249998</v>
      </c>
      <c r="D34" s="229"/>
    </row>
    <row r="35" spans="1:6">
      <c r="A35" s="167" t="s">
        <v>76</v>
      </c>
      <c r="B35" s="33">
        <f>IF((B19*($B$26-($B$27-0.05*$B$27)-$B$60))&lt;0,0,B19*($B$26-($B$27-0.05*$B$27)-$B$60))</f>
        <v>253.0916738917079</v>
      </c>
      <c r="C35" s="33">
        <f>B35/2</f>
        <v>126.54583694585395</v>
      </c>
      <c r="D35" s="229"/>
    </row>
    <row r="36" spans="1:6">
      <c r="A36" s="167" t="s">
        <v>77</v>
      </c>
      <c r="B36" s="33">
        <f>IF((B18*($B$26-($B$27-0.05*$B$27)-$B$60))&lt;0,0,B18*($B$26-($B$27-0.05*$B$27)-$B$60))</f>
        <v>8430.1467352044892</v>
      </c>
      <c r="C36" s="34" t="s">
        <v>104</v>
      </c>
      <c r="D36" s="170"/>
    </row>
    <row r="37" spans="1:6">
      <c r="A37" s="167" t="s">
        <v>78</v>
      </c>
      <c r="B37" s="33">
        <f>B60</f>
        <v>47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189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152820.62499999997</v>
      </c>
      <c r="C5" s="17">
        <f>IF(ISERROR('Eigen informatie GS &amp; warmtenet'!B58),0,'Eigen informatie GS &amp; warmtenet'!B58)</f>
        <v>0</v>
      </c>
      <c r="D5" s="30">
        <f>SUM(D6:D12)</f>
        <v>154944.25138315599</v>
      </c>
      <c r="E5" s="17">
        <f>SUM(E6:E12)</f>
        <v>2388.0001339473429</v>
      </c>
      <c r="F5" s="17">
        <f>SUM(F6:F12)</f>
        <v>36041.577712548213</v>
      </c>
      <c r="G5" s="18"/>
      <c r="H5" s="17"/>
      <c r="I5" s="17"/>
      <c r="J5" s="17">
        <f>SUM(J6:J12)</f>
        <v>0</v>
      </c>
      <c r="K5" s="17"/>
      <c r="L5" s="17"/>
      <c r="M5" s="17"/>
      <c r="N5" s="17">
        <f>SUM(N6:N12)</f>
        <v>11515.332935934301</v>
      </c>
      <c r="O5" s="17">
        <f>B38*B39*B40</f>
        <v>7.8166666666666664</v>
      </c>
      <c r="P5" s="17">
        <f>B46*B47*B48/1000-B46*B47*B48/1000/B49</f>
        <v>247.86666666666667</v>
      </c>
      <c r="R5" s="32"/>
    </row>
    <row r="6" spans="1:18">
      <c r="A6" s="32" t="s">
        <v>53</v>
      </c>
      <c r="B6" s="37">
        <f>B26</f>
        <v>39554.072</v>
      </c>
      <c r="C6" s="33"/>
      <c r="D6" s="37">
        <f>IF(ISERROR(TER_kantoor_gas_kWh/1000),0,TER_kantoor_gas_kWh/1000)*0.902</f>
        <v>52947.00572807563</v>
      </c>
      <c r="E6" s="33">
        <f>$C$26*'E Balans VL '!I12/100/3.6*1000000</f>
        <v>0.55470592009927255</v>
      </c>
      <c r="F6" s="33">
        <f>$C$26*('E Balans VL '!L12+'E Balans VL '!N12)/100/3.6*1000000</f>
        <v>5497.9511036844669</v>
      </c>
      <c r="G6" s="34"/>
      <c r="H6" s="33"/>
      <c r="I6" s="33"/>
      <c r="J6" s="33">
        <f>$C$26*('E Balans VL '!D12+'E Balans VL '!E12)/100/3.6*1000000</f>
        <v>0</v>
      </c>
      <c r="K6" s="33"/>
      <c r="L6" s="33"/>
      <c r="M6" s="33"/>
      <c r="N6" s="33">
        <f>$C$26*'E Balans VL '!Y12/100/3.6*1000000</f>
        <v>489.55215728541327</v>
      </c>
      <c r="O6" s="33"/>
      <c r="P6" s="33"/>
      <c r="R6" s="32"/>
    </row>
    <row r="7" spans="1:18">
      <c r="A7" s="32" t="s">
        <v>52</v>
      </c>
      <c r="B7" s="37">
        <f t="shared" ref="B7:B12" si="0">B27</f>
        <v>25560.108</v>
      </c>
      <c r="C7" s="33"/>
      <c r="D7" s="37">
        <f>IF(ISERROR(TER_horeca_gas_kWh/1000),0,TER_horeca_gas_kWh/1000)*0.902</f>
        <v>25332.605415762162</v>
      </c>
      <c r="E7" s="33">
        <f>$C$27*'E Balans VL '!I9/100/3.6*1000000</f>
        <v>364.8511157414045</v>
      </c>
      <c r="F7" s="33">
        <f>$C$27*('E Balans VL '!L9+'E Balans VL '!N9)/100/3.6*1000000</f>
        <v>3973.5690184142809</v>
      </c>
      <c r="G7" s="34"/>
      <c r="H7" s="33"/>
      <c r="I7" s="33"/>
      <c r="J7" s="33">
        <f>$C$27*('E Balans VL '!D9+'E Balans VL '!E9)/100/3.6*1000000</f>
        <v>0</v>
      </c>
      <c r="K7" s="33"/>
      <c r="L7" s="33"/>
      <c r="M7" s="33"/>
      <c r="N7" s="33">
        <f>$C$27*'E Balans VL '!Y9/100/3.6*1000000</f>
        <v>6.586437664653924</v>
      </c>
      <c r="O7" s="33"/>
      <c r="P7" s="33"/>
      <c r="R7" s="32"/>
    </row>
    <row r="8" spans="1:18">
      <c r="A8" s="6" t="s">
        <v>51</v>
      </c>
      <c r="B8" s="37">
        <f t="shared" si="0"/>
        <v>44814.019</v>
      </c>
      <c r="C8" s="33"/>
      <c r="D8" s="37">
        <f>IF(ISERROR(TER_handel_gas_kWh/1000),0,TER_handel_gas_kWh/1000)*0.902</f>
        <v>18831.394049362727</v>
      </c>
      <c r="E8" s="33">
        <f>$C$28*'E Balans VL '!I13/100/3.6*1000000</f>
        <v>1212.9018250191273</v>
      </c>
      <c r="F8" s="33">
        <f>$C$28*('E Balans VL '!L13+'E Balans VL '!N13)/100/3.6*1000000</f>
        <v>6958.7820867535802</v>
      </c>
      <c r="G8" s="34"/>
      <c r="H8" s="33"/>
      <c r="I8" s="33"/>
      <c r="J8" s="33">
        <f>$C$28*('E Balans VL '!D13+'E Balans VL '!E13)/100/3.6*1000000</f>
        <v>0</v>
      </c>
      <c r="K8" s="33"/>
      <c r="L8" s="33"/>
      <c r="M8" s="33"/>
      <c r="N8" s="33">
        <f>$C$28*'E Balans VL '!Y13/100/3.6*1000000</f>
        <v>363.11363003035552</v>
      </c>
      <c r="O8" s="33"/>
      <c r="P8" s="33"/>
      <c r="R8" s="32"/>
    </row>
    <row r="9" spans="1:18">
      <c r="A9" s="32" t="s">
        <v>50</v>
      </c>
      <c r="B9" s="37">
        <f t="shared" si="0"/>
        <v>11574.664000000001</v>
      </c>
      <c r="C9" s="33"/>
      <c r="D9" s="37">
        <f>IF(ISERROR(TER_gezond_gas_kWh/1000),0,TER_gezond_gas_kWh/1000)*0.902</f>
        <v>20833.736266685115</v>
      </c>
      <c r="E9" s="33">
        <f>$C$29*'E Balans VL '!I10/100/3.6*1000000</f>
        <v>0.72225301679838827</v>
      </c>
      <c r="F9" s="33">
        <f>$C$29*('E Balans VL '!L10+'E Balans VL '!N10)/100/3.6*1000000</f>
        <v>1498.4504612418823</v>
      </c>
      <c r="G9" s="34"/>
      <c r="H9" s="33"/>
      <c r="I9" s="33"/>
      <c r="J9" s="33">
        <f>$C$29*('E Balans VL '!D10+'E Balans VL '!E10)/100/3.6*1000000</f>
        <v>0</v>
      </c>
      <c r="K9" s="33"/>
      <c r="L9" s="33"/>
      <c r="M9" s="33"/>
      <c r="N9" s="33">
        <f>$C$29*'E Balans VL '!Y10/100/3.6*1000000</f>
        <v>94.900934087758486</v>
      </c>
      <c r="O9" s="33"/>
      <c r="P9" s="33"/>
      <c r="R9" s="32"/>
    </row>
    <row r="10" spans="1:18">
      <c r="A10" s="32" t="s">
        <v>49</v>
      </c>
      <c r="B10" s="37">
        <f t="shared" si="0"/>
        <v>25699.481</v>
      </c>
      <c r="C10" s="33"/>
      <c r="D10" s="37">
        <f>IF(ISERROR(TER_ander_gas_kWh/1000),0,TER_ander_gas_kWh/1000)*0.902</f>
        <v>20092.871725142209</v>
      </c>
      <c r="E10" s="33">
        <f>$C$30*'E Balans VL '!I14/100/3.6*1000000</f>
        <v>775.85533335932632</v>
      </c>
      <c r="F10" s="33">
        <f>$C$30*('E Balans VL '!L14+'E Balans VL '!N14)/100/3.6*1000000</f>
        <v>16271.571684611803</v>
      </c>
      <c r="G10" s="34"/>
      <c r="H10" s="33"/>
      <c r="I10" s="33"/>
      <c r="J10" s="33">
        <f>$C$30*('E Balans VL '!D14+'E Balans VL '!E14)/100/3.6*1000000</f>
        <v>0</v>
      </c>
      <c r="K10" s="33"/>
      <c r="L10" s="33"/>
      <c r="M10" s="33"/>
      <c r="N10" s="33">
        <f>$C$30*'E Balans VL '!Y14/100/3.6*1000000</f>
        <v>10402.192219223287</v>
      </c>
      <c r="O10" s="33"/>
      <c r="P10" s="33"/>
      <c r="R10" s="32"/>
    </row>
    <row r="11" spans="1:18">
      <c r="A11" s="32" t="s">
        <v>54</v>
      </c>
      <c r="B11" s="37">
        <f t="shared" si="0"/>
        <v>3711.5169999999998</v>
      </c>
      <c r="C11" s="33"/>
      <c r="D11" s="37">
        <f>IF(ISERROR(TER_onderwijs_gas_kWh/1000),0,TER_onderwijs_gas_kWh/1000)*0.902</f>
        <v>6086.3769155967257</v>
      </c>
      <c r="E11" s="33">
        <f>$C$31*'E Balans VL '!I11/100/3.6*1000000</f>
        <v>4.6741899368034012</v>
      </c>
      <c r="F11" s="33">
        <f>$C$31*('E Balans VL '!L11+'E Balans VL '!N11)/100/3.6*1000000</f>
        <v>1378.6597707946714</v>
      </c>
      <c r="G11" s="34"/>
      <c r="H11" s="33"/>
      <c r="I11" s="33"/>
      <c r="J11" s="33">
        <f>$C$31*('E Balans VL '!D11+'E Balans VL '!E11)/100/3.6*1000000</f>
        <v>0</v>
      </c>
      <c r="K11" s="33"/>
      <c r="L11" s="33"/>
      <c r="M11" s="33"/>
      <c r="N11" s="33">
        <f>$C$31*'E Balans VL '!Y11/100/3.6*1000000</f>
        <v>4.6999525902575199</v>
      </c>
      <c r="O11" s="33"/>
      <c r="P11" s="33"/>
      <c r="R11" s="32"/>
    </row>
    <row r="12" spans="1:18">
      <c r="A12" s="32" t="s">
        <v>249</v>
      </c>
      <c r="B12" s="37">
        <f t="shared" si="0"/>
        <v>1906.7639999999999</v>
      </c>
      <c r="C12" s="33"/>
      <c r="D12" s="37">
        <f>IF(ISERROR(TER_rest_gas_kWh/1000),0,TER_rest_gas_kWh/1000)*0.902</f>
        <v>10820.261282531443</v>
      </c>
      <c r="E12" s="33">
        <f>$C$32*'E Balans VL '!I8/100/3.6*1000000</f>
        <v>28.44071095378359</v>
      </c>
      <c r="F12" s="33">
        <f>$C$32*('E Balans VL '!L8+'E Balans VL '!N8)/100/3.6*1000000</f>
        <v>462.59358704752975</v>
      </c>
      <c r="G12" s="34"/>
      <c r="H12" s="33"/>
      <c r="I12" s="33"/>
      <c r="J12" s="33">
        <f>$C$32*('E Balans VL '!D8+'E Balans VL '!E8)/100/3.6*1000000</f>
        <v>0</v>
      </c>
      <c r="K12" s="33"/>
      <c r="L12" s="33"/>
      <c r="M12" s="33"/>
      <c r="N12" s="33">
        <f>$C$32*'E Balans VL '!Y8/100/3.6*1000000</f>
        <v>154.28760505257588</v>
      </c>
      <c r="O12" s="33"/>
      <c r="P12" s="33"/>
      <c r="R12" s="32"/>
    </row>
    <row r="13" spans="1:18">
      <c r="A13" s="16" t="s">
        <v>480</v>
      </c>
      <c r="B13" s="242">
        <f ca="1">'lokale energieproductie'!N38+'lokale energieproductie'!N31</f>
        <v>225</v>
      </c>
      <c r="C13" s="242">
        <f ca="1">'lokale energieproductie'!O38+'lokale energieproductie'!O31</f>
        <v>321.42857142857144</v>
      </c>
      <c r="D13" s="300">
        <f ca="1">('lokale energieproductie'!P31+'lokale energieproductie'!P38)*(-1)</f>
        <v>-642.85714285714289</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153045.62499999997</v>
      </c>
      <c r="C16" s="21">
        <f t="shared" ca="1" si="1"/>
        <v>321.42857142857144</v>
      </c>
      <c r="D16" s="21">
        <f t="shared" ca="1" si="1"/>
        <v>154301.39424029886</v>
      </c>
      <c r="E16" s="21">
        <f t="shared" si="1"/>
        <v>2388.0001339473429</v>
      </c>
      <c r="F16" s="21">
        <f t="shared" ca="1" si="1"/>
        <v>36041.577712548213</v>
      </c>
      <c r="G16" s="21">
        <f t="shared" si="1"/>
        <v>0</v>
      </c>
      <c r="H16" s="21">
        <f t="shared" si="1"/>
        <v>0</v>
      </c>
      <c r="I16" s="21">
        <f t="shared" si="1"/>
        <v>0</v>
      </c>
      <c r="J16" s="21">
        <f t="shared" si="1"/>
        <v>0</v>
      </c>
      <c r="K16" s="21">
        <f t="shared" si="1"/>
        <v>0</v>
      </c>
      <c r="L16" s="21">
        <f t="shared" ca="1" si="1"/>
        <v>0</v>
      </c>
      <c r="M16" s="21">
        <f t="shared" si="1"/>
        <v>0</v>
      </c>
      <c r="N16" s="21">
        <f t="shared" ca="1" si="1"/>
        <v>11515.332935934301</v>
      </c>
      <c r="O16" s="21">
        <f>O5</f>
        <v>7.8166666666666664</v>
      </c>
      <c r="P16" s="21">
        <f>P5</f>
        <v>247.86666666666667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0.21488266953837956</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32886.852461169758</v>
      </c>
      <c r="C20" s="23">
        <f t="shared" ref="C20:P20" ca="1" si="2">C16*C18</f>
        <v>76.386554621848759</v>
      </c>
      <c r="D20" s="23">
        <f t="shared" ca="1" si="2"/>
        <v>31168.881636540373</v>
      </c>
      <c r="E20" s="23">
        <f t="shared" si="2"/>
        <v>542.07603040604681</v>
      </c>
      <c r="F20" s="23">
        <f t="shared" ca="1" si="2"/>
        <v>9623.1012492503742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39554.072</v>
      </c>
      <c r="C26" s="39">
        <f>IF(ISERROR(B26*3.6/1000000/'E Balans VL '!Z12*100),0,B26*3.6/1000000/'E Balans VL '!Z12*100)</f>
        <v>1.0743627112421836</v>
      </c>
      <c r="D26" s="232" t="s">
        <v>651</v>
      </c>
      <c r="F26" s="6"/>
    </row>
    <row r="27" spans="1:18">
      <c r="A27" s="227" t="s">
        <v>52</v>
      </c>
      <c r="B27" s="33">
        <f>IF(ISERROR(TER_horeca_ele_kWh/1000),0,TER_horeca_ele_kWh/1000)</f>
        <v>25560.108</v>
      </c>
      <c r="C27" s="39">
        <f>IF(ISERROR(B27*3.6/1000000/'E Balans VL '!Z9*100),0,B27*3.6/1000000/'E Balans VL '!Z9*100)</f>
        <v>2.0539537571527742</v>
      </c>
      <c r="D27" s="232" t="s">
        <v>651</v>
      </c>
      <c r="F27" s="6"/>
    </row>
    <row r="28" spans="1:18">
      <c r="A28" s="167" t="s">
        <v>51</v>
      </c>
      <c r="B28" s="33">
        <f>IF(ISERROR(TER_handel_ele_kWh/1000),0,TER_handel_ele_kWh/1000)</f>
        <v>44814.019</v>
      </c>
      <c r="C28" s="39">
        <f>IF(ISERROR(B28*3.6/1000000/'E Balans VL '!Z13*100),0,B28*3.6/1000000/'E Balans VL '!Z13*100)</f>
        <v>1.323587782600357</v>
      </c>
      <c r="D28" s="232" t="s">
        <v>651</v>
      </c>
      <c r="F28" s="6"/>
    </row>
    <row r="29" spans="1:18">
      <c r="A29" s="227" t="s">
        <v>50</v>
      </c>
      <c r="B29" s="33">
        <f>IF(ISERROR(TER_gezond_ele_kWh/1000),0,TER_gezond_ele_kWh/1000)</f>
        <v>11574.664000000001</v>
      </c>
      <c r="C29" s="39">
        <f>IF(ISERROR(B29*3.6/1000000/'E Balans VL '!Z10*100),0,B29*3.6/1000000/'E Balans VL '!Z10*100)</f>
        <v>1.323747938787476</v>
      </c>
      <c r="D29" s="232" t="s">
        <v>651</v>
      </c>
      <c r="F29" s="6"/>
    </row>
    <row r="30" spans="1:18">
      <c r="A30" s="227" t="s">
        <v>49</v>
      </c>
      <c r="B30" s="33">
        <f>IF(ISERROR(TER_ander_ele_kWh/1000),0,TER_ander_ele_kWh/1000)</f>
        <v>25699.481</v>
      </c>
      <c r="C30" s="39">
        <f>IF(ISERROR(B30*3.6/1000000/'E Balans VL '!Z14*100),0,B30*3.6/1000000/'E Balans VL '!Z14*100)</f>
        <v>1.2009902948793294</v>
      </c>
      <c r="D30" s="232" t="s">
        <v>651</v>
      </c>
      <c r="F30" s="6"/>
    </row>
    <row r="31" spans="1:18">
      <c r="A31" s="227" t="s">
        <v>54</v>
      </c>
      <c r="B31" s="33">
        <f>IF(ISERROR(TER_onderwijs_ele_kWh/1000),0,TER_onderwijs_ele_kWh/1000)</f>
        <v>3711.5169999999998</v>
      </c>
      <c r="C31" s="39">
        <f>IF(ISERROR(B31*3.6/1000000/'E Balans VL '!Z11*100),0,B31*3.6/1000000/'E Balans VL '!Z11*100)</f>
        <v>0.9800949583109666</v>
      </c>
      <c r="D31" s="232" t="s">
        <v>651</v>
      </c>
    </row>
    <row r="32" spans="1:18">
      <c r="A32" s="227" t="s">
        <v>249</v>
      </c>
      <c r="B32" s="33">
        <f>IF(ISERROR(TER_rest_ele_kWh/1000),0,TER_rest_ele_kWh/1000)</f>
        <v>1906.7639999999999</v>
      </c>
      <c r="C32" s="39">
        <f>IF(ISERROR(B32*3.6/1000000/'E Balans VL '!Z8*100),0,B32*3.6/1000000/'E Balans VL '!Z8*100)</f>
        <v>1.6290448856583921E-2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62894.333560000006</v>
      </c>
      <c r="C5" s="17">
        <f>IF(ISERROR('Eigen informatie GS &amp; warmtenet'!B59),0,'Eigen informatie GS &amp; warmtenet'!B59)</f>
        <v>0</v>
      </c>
      <c r="D5" s="30">
        <f>SUM(D6:D15)</f>
        <v>57882.759170335397</v>
      </c>
      <c r="E5" s="17">
        <f>SUM(E6:E15)</f>
        <v>4160.3556365553932</v>
      </c>
      <c r="F5" s="17">
        <f>SUM(F6:F15)</f>
        <v>43824.873336644581</v>
      </c>
      <c r="G5" s="18"/>
      <c r="H5" s="17"/>
      <c r="I5" s="17"/>
      <c r="J5" s="17">
        <f>SUM(J6:J15)</f>
        <v>450.73609231344722</v>
      </c>
      <c r="K5" s="17"/>
      <c r="L5" s="17"/>
      <c r="M5" s="17"/>
      <c r="N5" s="17">
        <f>SUM(N6:N15)</f>
        <v>10083.463886884432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12409.517</v>
      </c>
      <c r="C8" s="33"/>
      <c r="D8" s="37">
        <f>IF( ISERROR(IND_metaal_Gas_kWH/1000),0,IND_metaal_Gas_kWH/1000)*0.902</f>
        <v>8043.9481844849142</v>
      </c>
      <c r="E8" s="33">
        <f>C30*'E Balans VL '!I18/100/3.6*1000000</f>
        <v>310.56677813097809</v>
      </c>
      <c r="F8" s="33">
        <f>C30*'E Balans VL '!L18/100/3.6*1000000+C30*'E Balans VL '!N18/100/3.6*1000000</f>
        <v>3889.2043559121098</v>
      </c>
      <c r="G8" s="34"/>
      <c r="H8" s="33"/>
      <c r="I8" s="33"/>
      <c r="J8" s="40">
        <f>C30*'E Balans VL '!D18/100/3.6*1000000+C30*'E Balans VL '!E18/100/3.6*1000000</f>
        <v>0</v>
      </c>
      <c r="K8" s="33"/>
      <c r="L8" s="33"/>
      <c r="M8" s="33"/>
      <c r="N8" s="33">
        <f>C30*'E Balans VL '!Y18/100/3.6*1000000</f>
        <v>311.75927254495673</v>
      </c>
      <c r="O8" s="33"/>
      <c r="P8" s="33"/>
      <c r="R8" s="32"/>
    </row>
    <row r="9" spans="1:18">
      <c r="A9" s="6" t="s">
        <v>32</v>
      </c>
      <c r="B9" s="37">
        <f t="shared" si="0"/>
        <v>8835.2459999999992</v>
      </c>
      <c r="C9" s="33"/>
      <c r="D9" s="37">
        <f>IF( ISERROR(IND_andere_gas_kWh/1000),0,IND_andere_gas_kWh/1000)*0.902</f>
        <v>3630.8319174173798</v>
      </c>
      <c r="E9" s="33">
        <f>C31*'E Balans VL '!I19/100/3.6*1000000</f>
        <v>2429.3302718941218</v>
      </c>
      <c r="F9" s="33">
        <f>C31*'E Balans VL '!L19/100/3.6*1000000+C31*'E Balans VL '!N19/100/3.6*1000000</f>
        <v>6963.7112911892846</v>
      </c>
      <c r="G9" s="34"/>
      <c r="H9" s="33"/>
      <c r="I9" s="33"/>
      <c r="J9" s="40">
        <f>C31*'E Balans VL '!D19/100/3.6*1000000+C31*'E Balans VL '!E19/100/3.6*1000000</f>
        <v>0</v>
      </c>
      <c r="K9" s="33"/>
      <c r="L9" s="33"/>
      <c r="M9" s="33"/>
      <c r="N9" s="33">
        <f>C31*'E Balans VL '!Y19/100/3.6*1000000</f>
        <v>711.77298533862302</v>
      </c>
      <c r="O9" s="33"/>
      <c r="P9" s="33"/>
      <c r="R9" s="32"/>
    </row>
    <row r="10" spans="1:18">
      <c r="A10" s="6" t="s">
        <v>40</v>
      </c>
      <c r="B10" s="37">
        <f t="shared" si="0"/>
        <v>14417.419</v>
      </c>
      <c r="C10" s="33"/>
      <c r="D10" s="37">
        <f>IF( ISERROR(IND_voed_gas_kWh/1000),0,IND_voed_gas_kWh/1000)*0.902</f>
        <v>10949.850383688203</v>
      </c>
      <c r="E10" s="33">
        <f>C32*'E Balans VL '!I20/100/3.6*1000000</f>
        <v>146.97764410355222</v>
      </c>
      <c r="F10" s="33">
        <f>C32*'E Balans VL '!L20/100/3.6*1000000+C32*'E Balans VL '!N20/100/3.6*1000000</f>
        <v>27234.414318748568</v>
      </c>
      <c r="G10" s="34"/>
      <c r="H10" s="33"/>
      <c r="I10" s="33"/>
      <c r="J10" s="40">
        <f>C32*'E Balans VL '!D20/100/3.6*1000000+C32*'E Balans VL '!E20/100/3.6*1000000</f>
        <v>345.05601067854349</v>
      </c>
      <c r="K10" s="33"/>
      <c r="L10" s="33"/>
      <c r="M10" s="33"/>
      <c r="N10" s="33">
        <f>C32*'E Balans VL '!Y20/100/3.6*1000000</f>
        <v>7599.6404960299242</v>
      </c>
      <c r="O10" s="33"/>
      <c r="P10" s="33"/>
      <c r="R10" s="32"/>
    </row>
    <row r="11" spans="1:18">
      <c r="A11" s="6" t="s">
        <v>39</v>
      </c>
      <c r="B11" s="37">
        <f t="shared" si="0"/>
        <v>87.854259999999996</v>
      </c>
      <c r="C11" s="33"/>
      <c r="D11" s="37">
        <f>IF( ISERROR(IND_textiel_gas_kWh/1000),0,IND_textiel_gas_kWh/1000)*0.902</f>
        <v>203.96966109736232</v>
      </c>
      <c r="E11" s="33">
        <f>C33*'E Balans VL '!I21/100/3.6*1000000</f>
        <v>0.23285676884165579</v>
      </c>
      <c r="F11" s="33">
        <f>C33*'E Balans VL '!L21/100/3.6*1000000+C33*'E Balans VL '!N21/100/3.6*1000000</f>
        <v>3.9236618800175602</v>
      </c>
      <c r="G11" s="34"/>
      <c r="H11" s="33"/>
      <c r="I11" s="33"/>
      <c r="J11" s="40">
        <f>C33*'E Balans VL '!D21/100/3.6*1000000+C33*'E Balans VL '!E21/100/3.6*1000000</f>
        <v>0</v>
      </c>
      <c r="K11" s="33"/>
      <c r="L11" s="33"/>
      <c r="M11" s="33"/>
      <c r="N11" s="33">
        <f>C33*'E Balans VL '!Y21/100/3.6*1000000</f>
        <v>0.82796359857535051</v>
      </c>
      <c r="O11" s="33"/>
      <c r="P11" s="33"/>
      <c r="R11" s="32"/>
    </row>
    <row r="12" spans="1:18">
      <c r="A12" s="6" t="s">
        <v>36</v>
      </c>
      <c r="B12" s="37">
        <f t="shared" si="0"/>
        <v>754.38930000000005</v>
      </c>
      <c r="C12" s="33"/>
      <c r="D12" s="37">
        <f>IF( ISERROR(IND_min_gas_kWh/1000),0,IND_min_gas_kWh/1000)*0.902</f>
        <v>0</v>
      </c>
      <c r="E12" s="33">
        <f>C34*'E Balans VL '!I22/100/3.6*1000000</f>
        <v>2.2847039394876192</v>
      </c>
      <c r="F12" s="33">
        <f>C34*'E Balans VL '!L22/100/3.6*1000000+C34*'E Balans VL '!N22/100/3.6*1000000</f>
        <v>23.575314200718438</v>
      </c>
      <c r="G12" s="34"/>
      <c r="H12" s="33"/>
      <c r="I12" s="33"/>
      <c r="J12" s="40">
        <f>C34*'E Balans VL '!D22/100/3.6*1000000+C34*'E Balans VL '!E22/100/3.6*1000000</f>
        <v>1.1185918661047507</v>
      </c>
      <c r="K12" s="33"/>
      <c r="L12" s="33"/>
      <c r="M12" s="33"/>
      <c r="N12" s="33">
        <f>C34*'E Balans VL '!Y22/100/3.6*1000000</f>
        <v>0</v>
      </c>
      <c r="O12" s="33"/>
      <c r="P12" s="33"/>
      <c r="R12" s="32"/>
    </row>
    <row r="13" spans="1:18">
      <c r="A13" s="6" t="s">
        <v>38</v>
      </c>
      <c r="B13" s="37">
        <f t="shared" si="0"/>
        <v>1466.605</v>
      </c>
      <c r="C13" s="33"/>
      <c r="D13" s="37">
        <f>IF( ISERROR(IND_papier_gas_kWh/1000),0,IND_papier_gas_kWh/1000)*0.902</f>
        <v>589.12499505238543</v>
      </c>
      <c r="E13" s="33">
        <f>C35*'E Balans VL '!I23/100/3.6*1000000</f>
        <v>3.0374379484537792</v>
      </c>
      <c r="F13" s="33">
        <f>C35*'E Balans VL '!L23/100/3.6*1000000+C35*'E Balans VL '!N23/100/3.6*1000000</f>
        <v>29.085921301220406</v>
      </c>
      <c r="G13" s="34"/>
      <c r="H13" s="33"/>
      <c r="I13" s="33"/>
      <c r="J13" s="40">
        <f>C35*'E Balans VL '!D23/100/3.6*1000000+C35*'E Balans VL '!E23/100/3.6*1000000</f>
        <v>0</v>
      </c>
      <c r="K13" s="33"/>
      <c r="L13" s="33"/>
      <c r="M13" s="33"/>
      <c r="N13" s="33">
        <f>C35*'E Balans VL '!Y23/100/3.6*1000000</f>
        <v>101.71646977371304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24923.303</v>
      </c>
      <c r="C15" s="33"/>
      <c r="D15" s="37">
        <f>IF( ISERROR(IND_rest_gas_kWh/1000),0,IND_rest_gas_kWh/1000)*0.902</f>
        <v>34465.034028595153</v>
      </c>
      <c r="E15" s="33">
        <f>C37*'E Balans VL '!I15/100/3.6*1000000</f>
        <v>1267.9259437699579</v>
      </c>
      <c r="F15" s="33">
        <f>C37*'E Balans VL '!L15/100/3.6*1000000+C37*'E Balans VL '!N15/100/3.6*1000000</f>
        <v>5680.9584734126629</v>
      </c>
      <c r="G15" s="34"/>
      <c r="H15" s="33"/>
      <c r="I15" s="33"/>
      <c r="J15" s="40">
        <f>C37*'E Balans VL '!D15/100/3.6*1000000+C37*'E Balans VL '!E15/100/3.6*1000000</f>
        <v>104.56148976879899</v>
      </c>
      <c r="K15" s="33"/>
      <c r="L15" s="33"/>
      <c r="M15" s="33"/>
      <c r="N15" s="33">
        <f>C37*'E Balans VL '!Y15/100/3.6*1000000</f>
        <v>1357.7466995986399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62894.333560000006</v>
      </c>
      <c r="C18" s="21">
        <f>C5+C16</f>
        <v>0</v>
      </c>
      <c r="D18" s="21">
        <f>MAX((D5+D16),0)</f>
        <v>57882.759170335397</v>
      </c>
      <c r="E18" s="21">
        <f>MAX((E5+E16),0)</f>
        <v>4160.3556365553932</v>
      </c>
      <c r="F18" s="21">
        <f>MAX((F5+F16),0)</f>
        <v>43824.873336644581</v>
      </c>
      <c r="G18" s="21"/>
      <c r="H18" s="21"/>
      <c r="I18" s="21"/>
      <c r="J18" s="21">
        <f>MAX((J5+J16),0)</f>
        <v>450.73609231344722</v>
      </c>
      <c r="K18" s="21"/>
      <c r="L18" s="21">
        <f>MAX((L5+L16),0)</f>
        <v>0</v>
      </c>
      <c r="M18" s="21"/>
      <c r="N18" s="21">
        <f>MAX((N5+N16),0)</f>
        <v>10083.463886884432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0.21488266953837956</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13514.902294210096</v>
      </c>
      <c r="C22" s="23">
        <f ca="1">C18*C20</f>
        <v>0</v>
      </c>
      <c r="D22" s="23">
        <f>D18*D20</f>
        <v>11692.31735240775</v>
      </c>
      <c r="E22" s="23">
        <f>E18*E20</f>
        <v>944.40072949807427</v>
      </c>
      <c r="F22" s="23">
        <f>F18*F20</f>
        <v>11701.241180884104</v>
      </c>
      <c r="G22" s="23"/>
      <c r="H22" s="23"/>
      <c r="I22" s="23"/>
      <c r="J22" s="23">
        <f>J18*J20</f>
        <v>159.5605766789603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12409.517</v>
      </c>
      <c r="C30" s="39">
        <f>IF(ISERROR(B30*3.6/1000000/'E Balans VL '!Z18*100),0,B30*3.6/1000000/'E Balans VL '!Z18*100)</f>
        <v>1.7369188282773431</v>
      </c>
      <c r="D30" s="232" t="s">
        <v>651</v>
      </c>
    </row>
    <row r="31" spans="1:18">
      <c r="A31" s="6" t="s">
        <v>32</v>
      </c>
      <c r="B31" s="37">
        <f>IF( ISERROR(IND_ander_ele_kWh/1000),0,IND_ander_ele_kWh/1000)</f>
        <v>8835.2459999999992</v>
      </c>
      <c r="C31" s="39">
        <f>IF(ISERROR(B31*3.6/1000000/'E Balans VL '!Z19*100),0,B31*3.6/1000000/'E Balans VL '!Z19*100)</f>
        <v>0.38671728413946643</v>
      </c>
      <c r="D31" s="232" t="s">
        <v>651</v>
      </c>
    </row>
    <row r="32" spans="1:18">
      <c r="A32" s="167" t="s">
        <v>40</v>
      </c>
      <c r="B32" s="37">
        <f>IF( ISERROR(IND_voed_ele_kWh/1000),0,IND_voed_ele_kWh/1000)</f>
        <v>14417.419</v>
      </c>
      <c r="C32" s="39">
        <f>IF(ISERROR(B32*3.6/1000000/'E Balans VL '!Z20*100),0,B32*3.6/1000000/'E Balans VL '!Z20*100)</f>
        <v>3.5692741655310076</v>
      </c>
      <c r="D32" s="232" t="s">
        <v>651</v>
      </c>
    </row>
    <row r="33" spans="1:5">
      <c r="A33" s="167" t="s">
        <v>39</v>
      </c>
      <c r="B33" s="37">
        <f>IF( ISERROR(IND_textiel_ele_kWh/1000),0,IND_textiel_ele_kWh/1000)</f>
        <v>87.854259999999996</v>
      </c>
      <c r="C33" s="39">
        <f>IF(ISERROR(B33*3.6/1000000/'E Balans VL '!Z21*100),0,B33*3.6/1000000/'E Balans VL '!Z21*100)</f>
        <v>9.8996275349523301E-3</v>
      </c>
      <c r="D33" s="232" t="s">
        <v>651</v>
      </c>
    </row>
    <row r="34" spans="1:5">
      <c r="A34" s="167" t="s">
        <v>36</v>
      </c>
      <c r="B34" s="37">
        <f>IF( ISERROR(IND_min_ele_kWh/1000),0,IND_min_ele_kWh/1000)</f>
        <v>754.38930000000005</v>
      </c>
      <c r="C34" s="39">
        <f>IF(ISERROR(B34*3.6/1000000/'E Balans VL '!Z22*100),0,B34*3.6/1000000/'E Balans VL '!Z22*100)</f>
        <v>2.1406490591067619E-2</v>
      </c>
      <c r="D34" s="232" t="s">
        <v>651</v>
      </c>
    </row>
    <row r="35" spans="1:5">
      <c r="A35" s="167" t="s">
        <v>38</v>
      </c>
      <c r="B35" s="37">
        <f>IF( ISERROR(IND_papier_ele_kWh/1000),0,IND_papier_ele_kWh/1000)</f>
        <v>1466.605</v>
      </c>
      <c r="C35" s="39">
        <f>IF(ISERROR(B35*3.6/1000000/'E Balans VL '!Z22*100),0,B35*3.6/1000000/'E Balans VL '!Z22*100)</f>
        <v>4.1616266473176018E-2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24923.303</v>
      </c>
      <c r="C37" s="39">
        <f>IF(ISERROR(B37*3.6/1000000/'E Balans VL '!Z15*100),0,B37*3.6/1000000/'E Balans VL '!Z15*100)</f>
        <v>0.18480202469496004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637.13080000000002</v>
      </c>
      <c r="C5" s="17">
        <f>'Eigen informatie GS &amp; warmtenet'!B60</f>
        <v>0</v>
      </c>
      <c r="D5" s="30">
        <f>IF(ISERROR(SUM(LB_lb_gas_kWh,LB_rest_gas_kWh)/1000),0,SUM(LB_lb_gas_kWh,LB_rest_gas_kWh)/1000)*0.902</f>
        <v>419.71118505893452</v>
      </c>
      <c r="E5" s="17">
        <f>B17*'E Balans VL '!I25/3.6*1000000/100</f>
        <v>13.662339410081016</v>
      </c>
      <c r="F5" s="17">
        <f>B17*('E Balans VL '!L25/3.6*1000000+'E Balans VL '!N25/3.6*1000000)/100</f>
        <v>2066.648156877005</v>
      </c>
      <c r="G5" s="18"/>
      <c r="H5" s="17"/>
      <c r="I5" s="17"/>
      <c r="J5" s="17">
        <f>('E Balans VL '!D25+'E Balans VL '!E25)/3.6*1000000*landbouw!B17/100</f>
        <v>61.387889291141754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637.13080000000002</v>
      </c>
      <c r="C8" s="21">
        <f>C5+C6</f>
        <v>0</v>
      </c>
      <c r="D8" s="21">
        <f>MAX((D5+D6),0)</f>
        <v>419.71118505893452</v>
      </c>
      <c r="E8" s="21">
        <f>MAX((E5+E6),0)</f>
        <v>13.662339410081016</v>
      </c>
      <c r="F8" s="21">
        <f>MAX((F5+F6),0)</f>
        <v>2066.648156877005</v>
      </c>
      <c r="G8" s="21"/>
      <c r="H8" s="21"/>
      <c r="I8" s="21"/>
      <c r="J8" s="21">
        <f>MAX((J5+J6),0)</f>
        <v>61.387889291141754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0.21488266953837956</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136.90836714912339</v>
      </c>
      <c r="C12" s="23">
        <f ca="1">C8*C10</f>
        <v>0</v>
      </c>
      <c r="D12" s="23">
        <f>D8*D10</f>
        <v>84.781659381904774</v>
      </c>
      <c r="E12" s="23">
        <f>E8*E10</f>
        <v>3.1013510460883906</v>
      </c>
      <c r="F12" s="23">
        <f>F8*F10</f>
        <v>551.79505788616041</v>
      </c>
      <c r="G12" s="23"/>
      <c r="H12" s="23"/>
      <c r="I12" s="23"/>
      <c r="J12" s="23">
        <f>J8*J10</f>
        <v>21.731312809064178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9.0586490251934104E-2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89.640676826498563</v>
      </c>
      <c r="C26" s="242">
        <f>B26*'GWP N2O_CH4'!B5</f>
        <v>1882.4542133564698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18.613790789689109</v>
      </c>
      <c r="C27" s="242">
        <f>B27*'GWP N2O_CH4'!B5</f>
        <v>390.88960658347128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1.368777134001387</v>
      </c>
      <c r="C28" s="242">
        <f>B28*'GWP N2O_CH4'!B4</f>
        <v>424.32091154042996</v>
      </c>
      <c r="D28" s="50"/>
    </row>
    <row r="29" spans="1:4">
      <c r="A29" s="41" t="s">
        <v>266</v>
      </c>
      <c r="B29" s="242">
        <f>B34*'ha_N2O bodem landbouw'!B4</f>
        <v>5.3289286538094496</v>
      </c>
      <c r="C29" s="242">
        <f>B29*'GWP N2O_CH4'!B4</f>
        <v>1651.9678826809293</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1.1951848156594451E-3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1.17430734891599E-4</v>
      </c>
      <c r="C5" s="428" t="s">
        <v>204</v>
      </c>
      <c r="D5" s="413">
        <f>SUM(D6:D11)</f>
        <v>1.84888909607906E-4</v>
      </c>
      <c r="E5" s="413">
        <f>SUM(E6:E11)</f>
        <v>1.8511378232633647E-3</v>
      </c>
      <c r="F5" s="426" t="s">
        <v>204</v>
      </c>
      <c r="G5" s="413">
        <f>SUM(G6:G11)</f>
        <v>0.64702256694280991</v>
      </c>
      <c r="H5" s="413">
        <f>SUM(H6:H11)</f>
        <v>0.11393157607826368</v>
      </c>
      <c r="I5" s="428" t="s">
        <v>204</v>
      </c>
      <c r="J5" s="428" t="s">
        <v>204</v>
      </c>
      <c r="K5" s="428" t="s">
        <v>204</v>
      </c>
      <c r="L5" s="428" t="s">
        <v>204</v>
      </c>
      <c r="M5" s="413">
        <f>SUM(M6:M11)</f>
        <v>4.0987764734218966E-2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6.4103358024571489E-5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9.6951634243094202E-5</v>
      </c>
      <c r="E6" s="819">
        <f>vkm_GW_PW*SUMIFS(TableVerdeelsleutelVkm[LPG],TableVerdeelsleutelVkm[Voertuigtype],"Lichte voertuigen")*SUMIFS(TableECFTransport[EnergieConsumptieFactor (PJ per km)],TableECFTransport[Index],CONCATENATE($A6,"_LPG_LPG"))</f>
        <v>9.4710009937663798E-4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0.21990370591213013</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5.9897604744501821E-2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1.4576439409779663E-2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3.8959526498826822E-6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0.14952749128424087</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3.3505398946080337E-6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8.6692796475758473E-3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2.4771111121232425E-5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5.6419429948633821E-5</v>
      </c>
      <c r="E8" s="416">
        <f>vkm_NGW_PW*SUMIFS(TableVerdeelsleutelVkm[LPG],TableVerdeelsleutelVkm[Voertuigtype],"Lichte voertuigen")*SUMIFS(TableECFTransport[EnergieConsumptieFactor (PJ per km)],TableECFTransport[Index],CONCATENATE($A8,"_LPG_LPG"))</f>
        <v>5.2413130128164942E-4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0.1134328206150209</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3.3591714669881777E-2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7.6011556173361102E-3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1.3398695565896385E-6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6.6070903173808607E-2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1.3908493414996031E-6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3.830644936476179E-3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2.2829714468439565E-5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3.1517845416177978E-5</v>
      </c>
      <c r="E10" s="416">
        <f>vkm_SW_PW*SUMIFS(TableVerdeelsleutelVkm[LPG],TableVerdeelsleutelVkm[Voertuigtype],"Lichte voertuigen")*SUMIFS(TableECFTransport[EnergieConsumptieFactor (PJ per km)],TableECFTransport[Index],CONCATENATE($A10,"_LPG_LPG"))</f>
        <v>3.7990642260507735E-4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8.013432877137186E-2</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2.0437080891114994E-2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5.269349751003437E-3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4.9072907088319566E-7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1.7953317186237588E-2</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4.3438352896077009E-7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1.0408953720477271E-3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32.619648580999723</v>
      </c>
      <c r="C14" s="21"/>
      <c r="D14" s="21">
        <f t="shared" ref="D14:M14" si="0">((D5)*10^9/3600)+D12</f>
        <v>51.358030446640555</v>
      </c>
      <c r="E14" s="21">
        <f t="shared" si="0"/>
        <v>514.20495090649013</v>
      </c>
      <c r="F14" s="21"/>
      <c r="G14" s="21">
        <f t="shared" si="0"/>
        <v>179728.49081744719</v>
      </c>
      <c r="H14" s="21">
        <f t="shared" si="0"/>
        <v>31647.660021739914</v>
      </c>
      <c r="I14" s="21"/>
      <c r="J14" s="21"/>
      <c r="K14" s="21"/>
      <c r="L14" s="21"/>
      <c r="M14" s="21">
        <f t="shared" si="0"/>
        <v>11385.490203949714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0.21488266953837956</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7.0093971664890349</v>
      </c>
      <c r="C18" s="23"/>
      <c r="D18" s="23">
        <f t="shared" ref="D18:M18" si="1">D14*D16</f>
        <v>10.374322150221392</v>
      </c>
      <c r="E18" s="23">
        <f t="shared" si="1"/>
        <v>116.72452385577326</v>
      </c>
      <c r="F18" s="23"/>
      <c r="G18" s="23">
        <f t="shared" si="1"/>
        <v>47987.507048258405</v>
      </c>
      <c r="H18" s="23">
        <f t="shared" si="1"/>
        <v>7880.2673454132382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6.5813410250146641E-3</v>
      </c>
      <c r="C50" s="311">
        <f t="shared" ref="C50:P50" si="2">SUM(C51:C52)</f>
        <v>0</v>
      </c>
      <c r="D50" s="311">
        <f t="shared" si="2"/>
        <v>0</v>
      </c>
      <c r="E50" s="311">
        <f t="shared" si="2"/>
        <v>0</v>
      </c>
      <c r="F50" s="311">
        <f t="shared" si="2"/>
        <v>0</v>
      </c>
      <c r="G50" s="311">
        <f t="shared" si="2"/>
        <v>3.2411406843145495E-2</v>
      </c>
      <c r="H50" s="311">
        <f t="shared" si="2"/>
        <v>0</v>
      </c>
      <c r="I50" s="311">
        <f t="shared" si="2"/>
        <v>0</v>
      </c>
      <c r="J50" s="311">
        <f t="shared" si="2"/>
        <v>0</v>
      </c>
      <c r="K50" s="311">
        <f t="shared" si="2"/>
        <v>0</v>
      </c>
      <c r="L50" s="311">
        <f t="shared" si="2"/>
        <v>0</v>
      </c>
      <c r="M50" s="311">
        <f t="shared" si="2"/>
        <v>1.8658610371004966E-3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1.7104835445309018E-4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3.2411406843145495E-2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1.8658610371004966E-3</v>
      </c>
      <c r="N51" s="313"/>
      <c r="O51" s="313"/>
      <c r="P51" s="316"/>
    </row>
    <row r="52" spans="1:18">
      <c r="A52" s="4" t="s">
        <v>318</v>
      </c>
      <c r="B52" s="820">
        <f>vkm_tram*SUMIFS(TableECFTransport[EnergieConsumptieFactor (PJ per km)],TableECFTransport[Index],"Tram_gemiddeld_Electric_Electric")</f>
        <v>6.4102926705615739E-3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1828.1502847262955</v>
      </c>
      <c r="C54" s="21">
        <f t="shared" ref="C54:P54" si="3">(C50)*10^9/3600</f>
        <v>0</v>
      </c>
      <c r="D54" s="21">
        <f t="shared" si="3"/>
        <v>0</v>
      </c>
      <c r="E54" s="21">
        <f t="shared" si="3"/>
        <v>0</v>
      </c>
      <c r="F54" s="21">
        <f t="shared" si="3"/>
        <v>0</v>
      </c>
      <c r="G54" s="21">
        <f t="shared" si="3"/>
        <v>9003.1685675404151</v>
      </c>
      <c r="H54" s="21">
        <f t="shared" si="3"/>
        <v>0</v>
      </c>
      <c r="I54" s="21">
        <f t="shared" si="3"/>
        <v>0</v>
      </c>
      <c r="J54" s="21">
        <f t="shared" si="3"/>
        <v>0</v>
      </c>
      <c r="K54" s="21">
        <f t="shared" si="3"/>
        <v>0</v>
      </c>
      <c r="L54" s="21">
        <f t="shared" si="3"/>
        <v>0</v>
      </c>
      <c r="M54" s="21">
        <f t="shared" si="3"/>
        <v>518.2947325279157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0.21488266953837956</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392.83781349933503</v>
      </c>
      <c r="C58" s="23">
        <f t="shared" ref="C58:P58" ca="1" si="4">C54*C56</f>
        <v>0</v>
      </c>
      <c r="D58" s="23">
        <f t="shared" si="4"/>
        <v>0</v>
      </c>
      <c r="E58" s="23">
        <f t="shared" si="4"/>
        <v>0</v>
      </c>
      <c r="F58" s="23">
        <f t="shared" si="4"/>
        <v>0</v>
      </c>
      <c r="G58" s="23">
        <f t="shared" si="4"/>
        <v>2403.846007533291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10421.07136347015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225</v>
      </c>
      <c r="C8" s="535">
        <f>B48</f>
        <v>264.70588235294116</v>
      </c>
      <c r="D8" s="974"/>
      <c r="E8" s="974">
        <f>E48</f>
        <v>0</v>
      </c>
      <c r="F8" s="975"/>
      <c r="G8" s="536"/>
      <c r="H8" s="974">
        <f>I48</f>
        <v>0</v>
      </c>
      <c r="I8" s="974">
        <f>G48+F48</f>
        <v>0</v>
      </c>
      <c r="J8" s="974">
        <f>H48+D48+C48</f>
        <v>0</v>
      </c>
      <c r="K8" s="974"/>
      <c r="L8" s="974"/>
      <c r="M8" s="974"/>
      <c r="N8" s="537"/>
      <c r="O8" s="538">
        <f>C8*$C$12+D8*$D$12+E8*$E$12+F8*$F$12+G8*$G$12+H8*$H$12+I8*$I$12+J8*$J$12</f>
        <v>53.470588235294116</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10646.07136347015</v>
      </c>
      <c r="C10" s="548">
        <f t="shared" ref="C10:L10" si="0">SUM(C8:C9)</f>
        <v>264.70588235294116</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53.470588235294116</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321.42857142857144</v>
      </c>
      <c r="C17" s="560">
        <f>B49</f>
        <v>378.15126050420173</v>
      </c>
      <c r="D17" s="561"/>
      <c r="E17" s="561">
        <f>E49</f>
        <v>0</v>
      </c>
      <c r="F17" s="980"/>
      <c r="G17" s="562"/>
      <c r="H17" s="560">
        <f>I49</f>
        <v>0</v>
      </c>
      <c r="I17" s="561">
        <f>G49+F49</f>
        <v>0</v>
      </c>
      <c r="J17" s="561">
        <f>H49+D49+C49</f>
        <v>0</v>
      </c>
      <c r="K17" s="561"/>
      <c r="L17" s="561"/>
      <c r="M17" s="561"/>
      <c r="N17" s="981"/>
      <c r="O17" s="563">
        <f>C17*$C$22+E17*$E$22+H17*$H$22+I17*$I$22+J17*$J$22+D17*$D$22+F17*$F$22+G17*$G$22+K17*$K$22+L17*$L$22</f>
        <v>76.386554621848759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321.42857142857144</v>
      </c>
      <c r="C20" s="547">
        <f>SUM(C17:C19)</f>
        <v>378.15126050420173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76.386554621848759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35013</v>
      </c>
      <c r="C28" s="725">
        <v>8400</v>
      </c>
      <c r="D28" s="618"/>
      <c r="E28" s="617"/>
      <c r="F28" s="617"/>
      <c r="G28" s="617" t="s">
        <v>904</v>
      </c>
      <c r="H28" s="617" t="s">
        <v>905</v>
      </c>
      <c r="I28" s="617"/>
      <c r="J28" s="724"/>
      <c r="K28" s="724"/>
      <c r="L28" s="617" t="s">
        <v>906</v>
      </c>
      <c r="M28" s="617">
        <v>50</v>
      </c>
      <c r="N28" s="617">
        <v>225</v>
      </c>
      <c r="O28" s="617">
        <v>321.42857142857144</v>
      </c>
      <c r="P28" s="617">
        <v>642.85714285714289</v>
      </c>
      <c r="Q28" s="617">
        <v>0</v>
      </c>
      <c r="R28" s="617">
        <v>0</v>
      </c>
      <c r="S28" s="617">
        <v>0</v>
      </c>
      <c r="T28" s="617">
        <v>0</v>
      </c>
      <c r="U28" s="617">
        <v>0</v>
      </c>
      <c r="V28" s="617">
        <v>0</v>
      </c>
      <c r="W28" s="617">
        <v>0</v>
      </c>
      <c r="X28" s="617"/>
      <c r="Y28" s="617">
        <v>1300</v>
      </c>
      <c r="Z28" s="617" t="s">
        <v>53</v>
      </c>
      <c r="AA28" s="619" t="s">
        <v>149</v>
      </c>
    </row>
    <row r="29" spans="1:27" s="555" customFormat="1" hidden="1">
      <c r="A29" s="573" t="s">
        <v>269</v>
      </c>
      <c r="B29" s="574"/>
      <c r="C29" s="574"/>
      <c r="D29" s="574"/>
      <c r="E29" s="574"/>
      <c r="F29" s="574"/>
      <c r="G29" s="574"/>
      <c r="H29" s="574"/>
      <c r="I29" s="574"/>
      <c r="J29" s="574"/>
      <c r="K29" s="574"/>
      <c r="L29" s="575"/>
      <c r="M29" s="575">
        <f>SUM(M28:M28)</f>
        <v>50</v>
      </c>
      <c r="N29" s="575">
        <f>SUM(N28:N28)</f>
        <v>225</v>
      </c>
      <c r="O29" s="575">
        <f>SUM(O28:O28)</f>
        <v>321.42857142857144</v>
      </c>
      <c r="P29" s="575">
        <f>SUM(P28:P28)</f>
        <v>642.85714285714289</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50</v>
      </c>
      <c r="N31" s="575">
        <f ca="1">SUMIF($AA$28:AE28,"tertiair",N28:N28)</f>
        <v>225</v>
      </c>
      <c r="O31" s="575">
        <f ca="1">SUMIF($AA$28:AF28,"tertiair",O28:O28)</f>
        <v>321.42857142857144</v>
      </c>
      <c r="P31" s="575">
        <f ca="1">SUMIF($AA$28:AG28,"tertiair",P28:P28)</f>
        <v>642.85714285714289</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264.70588235294116</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378.15126050420173</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157077.51599999997</v>
      </c>
      <c r="D10" s="943">
        <f ca="1">tertiair!C16</f>
        <v>321.42857142857144</v>
      </c>
      <c r="E10" s="943">
        <f ca="1">tertiair!D16</f>
        <v>154301.39424029886</v>
      </c>
      <c r="F10" s="943">
        <f>tertiair!E16</f>
        <v>2388.0001339473429</v>
      </c>
      <c r="G10" s="943">
        <f ca="1">tertiair!F16</f>
        <v>36041.577712548213</v>
      </c>
      <c r="H10" s="943">
        <f>tertiair!G16</f>
        <v>0</v>
      </c>
      <c r="I10" s="943">
        <f>tertiair!H16</f>
        <v>0</v>
      </c>
      <c r="J10" s="943">
        <f>tertiair!I16</f>
        <v>0</v>
      </c>
      <c r="K10" s="943">
        <f>tertiair!J16</f>
        <v>0</v>
      </c>
      <c r="L10" s="943">
        <f>tertiair!K16</f>
        <v>0</v>
      </c>
      <c r="M10" s="943">
        <f ca="1">tertiair!L16</f>
        <v>0</v>
      </c>
      <c r="N10" s="943">
        <f>tertiair!M16</f>
        <v>0</v>
      </c>
      <c r="O10" s="943">
        <f ca="1">tertiair!N16</f>
        <v>11515.332935934301</v>
      </c>
      <c r="P10" s="943">
        <f>tertiair!O16</f>
        <v>7.8166666666666664</v>
      </c>
      <c r="Q10" s="944">
        <f>tertiair!P16</f>
        <v>247.86666666666667</v>
      </c>
      <c r="R10" s="629">
        <f ca="1">SUM(C10:Q10)</f>
        <v>361900.93292749056</v>
      </c>
      <c r="S10" s="67"/>
    </row>
    <row r="11" spans="1:19" s="438" customFormat="1">
      <c r="A11" s="737" t="s">
        <v>214</v>
      </c>
      <c r="B11" s="742"/>
      <c r="C11" s="943">
        <f>huishoudens!B8</f>
        <v>140994.17883709609</v>
      </c>
      <c r="D11" s="943">
        <f>huishoudens!C8</f>
        <v>0</v>
      </c>
      <c r="E11" s="943">
        <f>huishoudens!D8</f>
        <v>238178.41289014567</v>
      </c>
      <c r="F11" s="943">
        <f>huishoudens!E8</f>
        <v>5982.5983635300527</v>
      </c>
      <c r="G11" s="943">
        <f>huishoudens!F8</f>
        <v>188732.31382737806</v>
      </c>
      <c r="H11" s="943">
        <f>huishoudens!G8</f>
        <v>0</v>
      </c>
      <c r="I11" s="943">
        <f>huishoudens!H8</f>
        <v>0</v>
      </c>
      <c r="J11" s="943">
        <f>huishoudens!I8</f>
        <v>0</v>
      </c>
      <c r="K11" s="943">
        <f>huishoudens!J8</f>
        <v>4401.2304288247042</v>
      </c>
      <c r="L11" s="943">
        <f>huishoudens!K8</f>
        <v>0</v>
      </c>
      <c r="M11" s="943">
        <f>huishoudens!L8</f>
        <v>0</v>
      </c>
      <c r="N11" s="943">
        <f>huishoudens!M8</f>
        <v>0</v>
      </c>
      <c r="O11" s="943">
        <f>huishoudens!N8</f>
        <v>40613.598018640543</v>
      </c>
      <c r="P11" s="943">
        <f>huishoudens!O8</f>
        <v>295.47000000000003</v>
      </c>
      <c r="Q11" s="944">
        <f>huishoudens!P8</f>
        <v>896.13333333333333</v>
      </c>
      <c r="R11" s="629">
        <f>SUM(C11:Q11)</f>
        <v>620093.93569894833</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62894.333560000006</v>
      </c>
      <c r="D13" s="943">
        <f>industrie!C18</f>
        <v>0</v>
      </c>
      <c r="E13" s="943">
        <f>industrie!D18</f>
        <v>57882.759170335397</v>
      </c>
      <c r="F13" s="943">
        <f>industrie!E18</f>
        <v>4160.3556365553932</v>
      </c>
      <c r="G13" s="943">
        <f>industrie!F18</f>
        <v>43824.873336644581</v>
      </c>
      <c r="H13" s="943">
        <f>industrie!G18</f>
        <v>0</v>
      </c>
      <c r="I13" s="943">
        <f>industrie!H18</f>
        <v>0</v>
      </c>
      <c r="J13" s="943">
        <f>industrie!I18</f>
        <v>0</v>
      </c>
      <c r="K13" s="943">
        <f>industrie!J18</f>
        <v>450.73609231344722</v>
      </c>
      <c r="L13" s="943">
        <f>industrie!K18</f>
        <v>0</v>
      </c>
      <c r="M13" s="943">
        <f>industrie!L18</f>
        <v>0</v>
      </c>
      <c r="N13" s="943">
        <f>industrie!M18</f>
        <v>0</v>
      </c>
      <c r="O13" s="943">
        <f>industrie!N18</f>
        <v>10083.463886884432</v>
      </c>
      <c r="P13" s="943">
        <f>industrie!O18</f>
        <v>0</v>
      </c>
      <c r="Q13" s="944">
        <f>industrie!P18</f>
        <v>0</v>
      </c>
      <c r="R13" s="629">
        <f>SUM(C13:Q13)</f>
        <v>179296.52168273326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360966.02839709603</v>
      </c>
      <c r="D16" s="661">
        <f t="shared" ref="D16:R16" ca="1" si="0">SUM(D9:D15)</f>
        <v>321.42857142857144</v>
      </c>
      <c r="E16" s="661">
        <f t="shared" ca="1" si="0"/>
        <v>450362.56630077993</v>
      </c>
      <c r="F16" s="661">
        <f t="shared" si="0"/>
        <v>12530.954134032789</v>
      </c>
      <c r="G16" s="661">
        <f t="shared" ca="1" si="0"/>
        <v>268598.7648765709</v>
      </c>
      <c r="H16" s="661">
        <f t="shared" si="0"/>
        <v>0</v>
      </c>
      <c r="I16" s="661">
        <f t="shared" si="0"/>
        <v>0</v>
      </c>
      <c r="J16" s="661">
        <f t="shared" si="0"/>
        <v>0</v>
      </c>
      <c r="K16" s="661">
        <f t="shared" si="0"/>
        <v>4851.9665211381516</v>
      </c>
      <c r="L16" s="661">
        <f t="shared" si="0"/>
        <v>0</v>
      </c>
      <c r="M16" s="661">
        <f t="shared" ca="1" si="0"/>
        <v>0</v>
      </c>
      <c r="N16" s="661">
        <f t="shared" si="0"/>
        <v>0</v>
      </c>
      <c r="O16" s="661">
        <f t="shared" ca="1" si="0"/>
        <v>62212.394841459274</v>
      </c>
      <c r="P16" s="661">
        <f t="shared" si="0"/>
        <v>303.28666666666669</v>
      </c>
      <c r="Q16" s="661">
        <f t="shared" si="0"/>
        <v>1144</v>
      </c>
      <c r="R16" s="661">
        <f t="shared" ca="1" si="0"/>
        <v>1161291.3903091722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1828.1502847262955</v>
      </c>
      <c r="D19" s="943">
        <f>transport!C54</f>
        <v>0</v>
      </c>
      <c r="E19" s="943">
        <f>transport!D54</f>
        <v>0</v>
      </c>
      <c r="F19" s="943">
        <f>transport!E54</f>
        <v>0</v>
      </c>
      <c r="G19" s="943">
        <f>transport!F54</f>
        <v>0</v>
      </c>
      <c r="H19" s="943">
        <f>transport!G54</f>
        <v>9003.1685675404151</v>
      </c>
      <c r="I19" s="943">
        <f>transport!H54</f>
        <v>0</v>
      </c>
      <c r="J19" s="943">
        <f>transport!I54</f>
        <v>0</v>
      </c>
      <c r="K19" s="943">
        <f>transport!J54</f>
        <v>0</v>
      </c>
      <c r="L19" s="943">
        <f>transport!K54</f>
        <v>0</v>
      </c>
      <c r="M19" s="943">
        <f>transport!L54</f>
        <v>0</v>
      </c>
      <c r="N19" s="943">
        <f>transport!M54</f>
        <v>518.2947325279157</v>
      </c>
      <c r="O19" s="943">
        <f>transport!N54</f>
        <v>0</v>
      </c>
      <c r="P19" s="943">
        <f>transport!O54</f>
        <v>0</v>
      </c>
      <c r="Q19" s="944">
        <f>transport!P54</f>
        <v>0</v>
      </c>
      <c r="R19" s="629">
        <f>SUM(C19:Q19)</f>
        <v>11349.613584794628</v>
      </c>
      <c r="S19" s="67"/>
    </row>
    <row r="20" spans="1:19" s="438" customFormat="1">
      <c r="A20" s="737" t="s">
        <v>296</v>
      </c>
      <c r="B20" s="742"/>
      <c r="C20" s="943">
        <f>transport!B14</f>
        <v>32.619648580999723</v>
      </c>
      <c r="D20" s="943">
        <f>transport!C14</f>
        <v>0</v>
      </c>
      <c r="E20" s="943">
        <f>transport!D14</f>
        <v>51.358030446640555</v>
      </c>
      <c r="F20" s="943">
        <f>transport!E14</f>
        <v>514.20495090649013</v>
      </c>
      <c r="G20" s="943">
        <f>transport!F14</f>
        <v>0</v>
      </c>
      <c r="H20" s="943">
        <f>transport!G14</f>
        <v>179728.49081744719</v>
      </c>
      <c r="I20" s="943">
        <f>transport!H14</f>
        <v>31647.660021739914</v>
      </c>
      <c r="J20" s="943">
        <f>transport!I14</f>
        <v>0</v>
      </c>
      <c r="K20" s="943">
        <f>transport!J14</f>
        <v>0</v>
      </c>
      <c r="L20" s="943">
        <f>transport!K14</f>
        <v>0</v>
      </c>
      <c r="M20" s="943">
        <f>transport!L14</f>
        <v>0</v>
      </c>
      <c r="N20" s="943">
        <f>transport!M14</f>
        <v>11385.490203949714</v>
      </c>
      <c r="O20" s="943">
        <f>transport!N14</f>
        <v>0</v>
      </c>
      <c r="P20" s="943">
        <f>transport!O14</f>
        <v>0</v>
      </c>
      <c r="Q20" s="944">
        <f>transport!P14</f>
        <v>0</v>
      </c>
      <c r="R20" s="629">
        <f>SUM(C20:Q20)</f>
        <v>223359.82367307096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1860.7699333072951</v>
      </c>
      <c r="D22" s="740">
        <f t="shared" ref="D22:R22" si="1">SUM(D18:D21)</f>
        <v>0</v>
      </c>
      <c r="E22" s="740">
        <f t="shared" si="1"/>
        <v>51.358030446640555</v>
      </c>
      <c r="F22" s="740">
        <f t="shared" si="1"/>
        <v>514.20495090649013</v>
      </c>
      <c r="G22" s="740">
        <f t="shared" si="1"/>
        <v>0</v>
      </c>
      <c r="H22" s="740">
        <f t="shared" si="1"/>
        <v>188731.65938498761</v>
      </c>
      <c r="I22" s="740">
        <f t="shared" si="1"/>
        <v>31647.660021739914</v>
      </c>
      <c r="J22" s="740">
        <f t="shared" si="1"/>
        <v>0</v>
      </c>
      <c r="K22" s="740">
        <f t="shared" si="1"/>
        <v>0</v>
      </c>
      <c r="L22" s="740">
        <f t="shared" si="1"/>
        <v>0</v>
      </c>
      <c r="M22" s="740">
        <f t="shared" si="1"/>
        <v>0</v>
      </c>
      <c r="N22" s="740">
        <f t="shared" si="1"/>
        <v>11903.78493647763</v>
      </c>
      <c r="O22" s="740">
        <f t="shared" si="1"/>
        <v>0</v>
      </c>
      <c r="P22" s="740">
        <f t="shared" si="1"/>
        <v>0</v>
      </c>
      <c r="Q22" s="740">
        <f t="shared" si="1"/>
        <v>0</v>
      </c>
      <c r="R22" s="740">
        <f t="shared" si="1"/>
        <v>234709.43725786559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637.13080000000002</v>
      </c>
      <c r="D24" s="943">
        <f>+landbouw!C8</f>
        <v>0</v>
      </c>
      <c r="E24" s="943">
        <f>+landbouw!D8</f>
        <v>419.71118505893452</v>
      </c>
      <c r="F24" s="943">
        <f>+landbouw!E8</f>
        <v>13.662339410081016</v>
      </c>
      <c r="G24" s="943">
        <f>+landbouw!F8</f>
        <v>2066.648156877005</v>
      </c>
      <c r="H24" s="943">
        <f>+landbouw!G8</f>
        <v>0</v>
      </c>
      <c r="I24" s="943">
        <f>+landbouw!H8</f>
        <v>0</v>
      </c>
      <c r="J24" s="943">
        <f>+landbouw!I8</f>
        <v>0</v>
      </c>
      <c r="K24" s="943">
        <f>+landbouw!J8</f>
        <v>61.387889291141754</v>
      </c>
      <c r="L24" s="943">
        <f>+landbouw!K8</f>
        <v>0</v>
      </c>
      <c r="M24" s="943">
        <f>+landbouw!L8</f>
        <v>0</v>
      </c>
      <c r="N24" s="943">
        <f>+landbouw!M8</f>
        <v>0</v>
      </c>
      <c r="O24" s="943">
        <f>+landbouw!N8</f>
        <v>0</v>
      </c>
      <c r="P24" s="943">
        <f>+landbouw!O8</f>
        <v>0</v>
      </c>
      <c r="Q24" s="944">
        <f>+landbouw!P8</f>
        <v>0</v>
      </c>
      <c r="R24" s="629">
        <f>SUM(C24:Q24)</f>
        <v>3198.5403706371621</v>
      </c>
      <c r="S24" s="67"/>
    </row>
    <row r="25" spans="1:19" s="438" customFormat="1" ht="15" thickBot="1">
      <c r="A25" s="759" t="s">
        <v>802</v>
      </c>
      <c r="B25" s="946"/>
      <c r="C25" s="947">
        <f>IF(Onbekend_ele_kWh="---",0,Onbekend_ele_kWh)/1000+IF(REST_rest_ele_kWh="---",0,REST_rest_ele_kWh)/1000</f>
        <v>12404.465999999999</v>
      </c>
      <c r="D25" s="947"/>
      <c r="E25" s="947">
        <f>IF(onbekend_gas_kWh="---",0,onbekend_gas_kWh)/1000+IF(REST_rest_gas_kWh="---",0,REST_rest_gas_kWh)/1000</f>
        <v>32579.7904379504</v>
      </c>
      <c r="F25" s="947"/>
      <c r="G25" s="947"/>
      <c r="H25" s="947"/>
      <c r="I25" s="947"/>
      <c r="J25" s="947"/>
      <c r="K25" s="947"/>
      <c r="L25" s="947"/>
      <c r="M25" s="947"/>
      <c r="N25" s="947"/>
      <c r="O25" s="947"/>
      <c r="P25" s="947"/>
      <c r="Q25" s="948"/>
      <c r="R25" s="629">
        <f>SUM(C25:Q25)</f>
        <v>44984.256437950397</v>
      </c>
      <c r="S25" s="67"/>
    </row>
    <row r="26" spans="1:19" s="438" customFormat="1" ht="15.75" thickBot="1">
      <c r="A26" s="634" t="s">
        <v>803</v>
      </c>
      <c r="B26" s="745"/>
      <c r="C26" s="740">
        <f>SUM(C24:C25)</f>
        <v>13041.596799999999</v>
      </c>
      <c r="D26" s="740">
        <f t="shared" ref="D26:R26" si="2">SUM(D24:D25)</f>
        <v>0</v>
      </c>
      <c r="E26" s="740">
        <f t="shared" si="2"/>
        <v>32999.501623009332</v>
      </c>
      <c r="F26" s="740">
        <f t="shared" si="2"/>
        <v>13.662339410081016</v>
      </c>
      <c r="G26" s="740">
        <f t="shared" si="2"/>
        <v>2066.648156877005</v>
      </c>
      <c r="H26" s="740">
        <f t="shared" si="2"/>
        <v>0</v>
      </c>
      <c r="I26" s="740">
        <f t="shared" si="2"/>
        <v>0</v>
      </c>
      <c r="J26" s="740">
        <f t="shared" si="2"/>
        <v>0</v>
      </c>
      <c r="K26" s="740">
        <f t="shared" si="2"/>
        <v>61.387889291141754</v>
      </c>
      <c r="L26" s="740">
        <f t="shared" si="2"/>
        <v>0</v>
      </c>
      <c r="M26" s="740">
        <f t="shared" si="2"/>
        <v>0</v>
      </c>
      <c r="N26" s="740">
        <f t="shared" si="2"/>
        <v>0</v>
      </c>
      <c r="O26" s="740">
        <f t="shared" si="2"/>
        <v>0</v>
      </c>
      <c r="P26" s="740">
        <f t="shared" si="2"/>
        <v>0</v>
      </c>
      <c r="Q26" s="740">
        <f t="shared" si="2"/>
        <v>0</v>
      </c>
      <c r="R26" s="740">
        <f t="shared" si="2"/>
        <v>48182.796808587562</v>
      </c>
      <c r="S26" s="67"/>
    </row>
    <row r="27" spans="1:19" s="438" customFormat="1" ht="17.25" thickTop="1" thickBot="1">
      <c r="A27" s="635" t="s">
        <v>109</v>
      </c>
      <c r="B27" s="733"/>
      <c r="C27" s="636">
        <f ca="1">C22+C16+C26</f>
        <v>375868.39513040334</v>
      </c>
      <c r="D27" s="636">
        <f t="shared" ref="D27:R27" ca="1" si="3">D22+D16+D26</f>
        <v>321.42857142857144</v>
      </c>
      <c r="E27" s="636">
        <f t="shared" ca="1" si="3"/>
        <v>483413.42595423589</v>
      </c>
      <c r="F27" s="636">
        <f t="shared" si="3"/>
        <v>13058.82142434936</v>
      </c>
      <c r="G27" s="636">
        <f t="shared" ca="1" si="3"/>
        <v>270665.41303344793</v>
      </c>
      <c r="H27" s="636">
        <f t="shared" si="3"/>
        <v>188731.65938498761</v>
      </c>
      <c r="I27" s="636">
        <f t="shared" si="3"/>
        <v>31647.660021739914</v>
      </c>
      <c r="J27" s="636">
        <f t="shared" si="3"/>
        <v>0</v>
      </c>
      <c r="K27" s="636">
        <f t="shared" si="3"/>
        <v>4913.3544104292932</v>
      </c>
      <c r="L27" s="636">
        <f t="shared" si="3"/>
        <v>0</v>
      </c>
      <c r="M27" s="636">
        <f t="shared" ca="1" si="3"/>
        <v>0</v>
      </c>
      <c r="N27" s="636">
        <f t="shared" si="3"/>
        <v>11903.78493647763</v>
      </c>
      <c r="O27" s="636">
        <f t="shared" ca="1" si="3"/>
        <v>62212.394841459274</v>
      </c>
      <c r="P27" s="636">
        <f t="shared" si="3"/>
        <v>303.28666666666669</v>
      </c>
      <c r="Q27" s="636">
        <f t="shared" si="3"/>
        <v>1144</v>
      </c>
      <c r="R27" s="636">
        <f t="shared" ca="1" si="3"/>
        <v>1444183.6243756255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33753.235962537525</v>
      </c>
      <c r="D40" s="943">
        <f ca="1">tertiair!C20</f>
        <v>76.386554621848759</v>
      </c>
      <c r="E40" s="943">
        <f ca="1">tertiair!D20</f>
        <v>31168.881636540373</v>
      </c>
      <c r="F40" s="943">
        <f>tertiair!E20</f>
        <v>542.07603040604681</v>
      </c>
      <c r="G40" s="943">
        <f ca="1">tertiair!F20</f>
        <v>9623.1012492503742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75163.681433356178</v>
      </c>
    </row>
    <row r="41" spans="1:18">
      <c r="A41" s="750" t="s">
        <v>214</v>
      </c>
      <c r="B41" s="757"/>
      <c r="C41" s="943">
        <f ca="1">huishoudens!B12</f>
        <v>30297.205537886908</v>
      </c>
      <c r="D41" s="943">
        <f ca="1">huishoudens!C12</f>
        <v>0</v>
      </c>
      <c r="E41" s="943">
        <f>huishoudens!D12</f>
        <v>48112.039403809431</v>
      </c>
      <c r="F41" s="943">
        <f>huishoudens!E12</f>
        <v>1358.0498285213221</v>
      </c>
      <c r="G41" s="943">
        <f>huishoudens!F12</f>
        <v>50391.527791909946</v>
      </c>
      <c r="H41" s="943">
        <f>huishoudens!G12</f>
        <v>0</v>
      </c>
      <c r="I41" s="943">
        <f>huishoudens!H12</f>
        <v>0</v>
      </c>
      <c r="J41" s="943">
        <f>huishoudens!I12</f>
        <v>0</v>
      </c>
      <c r="K41" s="943">
        <f>huishoudens!J12</f>
        <v>1558.0355718039452</v>
      </c>
      <c r="L41" s="943">
        <f>huishoudens!K12</f>
        <v>0</v>
      </c>
      <c r="M41" s="943">
        <f>huishoudens!L12</f>
        <v>0</v>
      </c>
      <c r="N41" s="943">
        <f>huishoudens!M12</f>
        <v>0</v>
      </c>
      <c r="O41" s="943">
        <f>huishoudens!N12</f>
        <v>0</v>
      </c>
      <c r="P41" s="943">
        <f>huishoudens!O12</f>
        <v>0</v>
      </c>
      <c r="Q41" s="703">
        <f>huishoudens!P12</f>
        <v>0</v>
      </c>
      <c r="R41" s="778">
        <f t="shared" ca="1" si="4"/>
        <v>131716.85813393156</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13514.902294210096</v>
      </c>
      <c r="D43" s="943">
        <f ca="1">industrie!C22</f>
        <v>0</v>
      </c>
      <c r="E43" s="943">
        <f>industrie!D22</f>
        <v>11692.31735240775</v>
      </c>
      <c r="F43" s="943">
        <f>industrie!E22</f>
        <v>944.40072949807427</v>
      </c>
      <c r="G43" s="943">
        <f>industrie!F22</f>
        <v>11701.241180884104</v>
      </c>
      <c r="H43" s="943">
        <f>industrie!G22</f>
        <v>0</v>
      </c>
      <c r="I43" s="943">
        <f>industrie!H22</f>
        <v>0</v>
      </c>
      <c r="J43" s="943">
        <f>industrie!I22</f>
        <v>0</v>
      </c>
      <c r="K43" s="943">
        <f>industrie!J22</f>
        <v>159.5605766789603</v>
      </c>
      <c r="L43" s="943">
        <f>industrie!K22</f>
        <v>0</v>
      </c>
      <c r="M43" s="943">
        <f>industrie!L22</f>
        <v>0</v>
      </c>
      <c r="N43" s="943">
        <f>industrie!M22</f>
        <v>0</v>
      </c>
      <c r="O43" s="943">
        <f>industrie!N22</f>
        <v>0</v>
      </c>
      <c r="P43" s="943">
        <f>industrie!O22</f>
        <v>0</v>
      </c>
      <c r="Q43" s="703">
        <f>industrie!P22</f>
        <v>0</v>
      </c>
      <c r="R43" s="777">
        <f t="shared" ca="1" si="4"/>
        <v>38012.422133678985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77565.343794634537</v>
      </c>
      <c r="D46" s="661">
        <f t="shared" ref="D46:Q46" ca="1" si="5">SUM(D39:D45)</f>
        <v>76.386554621848759</v>
      </c>
      <c r="E46" s="661">
        <f t="shared" ca="1" si="5"/>
        <v>90973.238392757543</v>
      </c>
      <c r="F46" s="661">
        <f t="shared" si="5"/>
        <v>2844.5265884254432</v>
      </c>
      <c r="G46" s="661">
        <f t="shared" ca="1" si="5"/>
        <v>71715.870222044425</v>
      </c>
      <c r="H46" s="661">
        <f t="shared" si="5"/>
        <v>0</v>
      </c>
      <c r="I46" s="661">
        <f t="shared" si="5"/>
        <v>0</v>
      </c>
      <c r="J46" s="661">
        <f t="shared" si="5"/>
        <v>0</v>
      </c>
      <c r="K46" s="661">
        <f t="shared" si="5"/>
        <v>1717.5961484829056</v>
      </c>
      <c r="L46" s="661">
        <f t="shared" si="5"/>
        <v>0</v>
      </c>
      <c r="M46" s="661">
        <f t="shared" ca="1" si="5"/>
        <v>0</v>
      </c>
      <c r="N46" s="661">
        <f t="shared" si="5"/>
        <v>0</v>
      </c>
      <c r="O46" s="661">
        <f t="shared" ca="1" si="5"/>
        <v>0</v>
      </c>
      <c r="P46" s="661">
        <f t="shared" si="5"/>
        <v>0</v>
      </c>
      <c r="Q46" s="661">
        <f t="shared" si="5"/>
        <v>0</v>
      </c>
      <c r="R46" s="661">
        <f ca="1">SUM(R39:R45)</f>
        <v>244892.9617009667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392.83781349933503</v>
      </c>
      <c r="D49" s="943">
        <f ca="1">transport!C58</f>
        <v>0</v>
      </c>
      <c r="E49" s="943">
        <f>transport!D58</f>
        <v>0</v>
      </c>
      <c r="F49" s="943">
        <f>transport!E58</f>
        <v>0</v>
      </c>
      <c r="G49" s="943">
        <f>transport!F58</f>
        <v>0</v>
      </c>
      <c r="H49" s="943">
        <f>transport!G58</f>
        <v>2403.846007533291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2796.6838210326259</v>
      </c>
    </row>
    <row r="50" spans="1:18">
      <c r="A50" s="753" t="s">
        <v>296</v>
      </c>
      <c r="B50" s="763"/>
      <c r="C50" s="632">
        <f ca="1">transport!B18</f>
        <v>7.0093971664890349</v>
      </c>
      <c r="D50" s="632">
        <f>transport!C18</f>
        <v>0</v>
      </c>
      <c r="E50" s="632">
        <f>transport!D18</f>
        <v>10.374322150221392</v>
      </c>
      <c r="F50" s="632">
        <f>transport!E18</f>
        <v>116.72452385577326</v>
      </c>
      <c r="G50" s="632">
        <f>transport!F18</f>
        <v>0</v>
      </c>
      <c r="H50" s="632">
        <f>transport!G18</f>
        <v>47987.507048258405</v>
      </c>
      <c r="I50" s="632">
        <f>transport!H18</f>
        <v>7880.2673454132382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56001.88263684413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399.84721066582404</v>
      </c>
      <c r="D52" s="661">
        <f t="shared" ref="D52:Q52" ca="1" si="6">SUM(D48:D51)</f>
        <v>0</v>
      </c>
      <c r="E52" s="661">
        <f t="shared" si="6"/>
        <v>10.374322150221392</v>
      </c>
      <c r="F52" s="661">
        <f t="shared" si="6"/>
        <v>116.72452385577326</v>
      </c>
      <c r="G52" s="661">
        <f t="shared" si="6"/>
        <v>0</v>
      </c>
      <c r="H52" s="661">
        <f t="shared" si="6"/>
        <v>50391.353055791697</v>
      </c>
      <c r="I52" s="661">
        <f t="shared" si="6"/>
        <v>7880.2673454132382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58798.566457876754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136.90836714912339</v>
      </c>
      <c r="D54" s="632">
        <f ca="1">+landbouw!C12</f>
        <v>0</v>
      </c>
      <c r="E54" s="632">
        <f>+landbouw!D12</f>
        <v>84.781659381904774</v>
      </c>
      <c r="F54" s="632">
        <f>+landbouw!E12</f>
        <v>3.1013510460883906</v>
      </c>
      <c r="G54" s="632">
        <f>+landbouw!F12</f>
        <v>551.79505788616041</v>
      </c>
      <c r="H54" s="632">
        <f>+landbouw!G12</f>
        <v>0</v>
      </c>
      <c r="I54" s="632">
        <f>+landbouw!H12</f>
        <v>0</v>
      </c>
      <c r="J54" s="632">
        <f>+landbouw!I12</f>
        <v>0</v>
      </c>
      <c r="K54" s="632">
        <f>+landbouw!J12</f>
        <v>21.731312809064178</v>
      </c>
      <c r="L54" s="632">
        <f>+landbouw!K12</f>
        <v>0</v>
      </c>
      <c r="M54" s="632">
        <f>+landbouw!L12</f>
        <v>0</v>
      </c>
      <c r="N54" s="632">
        <f>+landbouw!M12</f>
        <v>0</v>
      </c>
      <c r="O54" s="632">
        <f>+landbouw!N12</f>
        <v>0</v>
      </c>
      <c r="P54" s="632">
        <f>+landbouw!O12</f>
        <v>0</v>
      </c>
      <c r="Q54" s="633">
        <f>+landbouw!P12</f>
        <v>0</v>
      </c>
      <c r="R54" s="660">
        <f ca="1">SUM(C54:Q54)</f>
        <v>798.31774827234119</v>
      </c>
    </row>
    <row r="55" spans="1:18" ht="15" thickBot="1">
      <c r="A55" s="753" t="s">
        <v>802</v>
      </c>
      <c r="B55" s="763"/>
      <c r="C55" s="632">
        <f ca="1">C25*'EF ele_warmte'!B12</f>
        <v>2665.5047682780646</v>
      </c>
      <c r="D55" s="632"/>
      <c r="E55" s="632">
        <f>E25*EF_CO2_aardgas</f>
        <v>6581.1176684659813</v>
      </c>
      <c r="F55" s="632"/>
      <c r="G55" s="632"/>
      <c r="H55" s="632"/>
      <c r="I55" s="632"/>
      <c r="J55" s="632"/>
      <c r="K55" s="632"/>
      <c r="L55" s="632"/>
      <c r="M55" s="632"/>
      <c r="N55" s="632"/>
      <c r="O55" s="632"/>
      <c r="P55" s="632"/>
      <c r="Q55" s="633"/>
      <c r="R55" s="660">
        <f ca="1">SUM(C55:Q55)</f>
        <v>9246.6224367440464</v>
      </c>
    </row>
    <row r="56" spans="1:18" ht="15.75" thickBot="1">
      <c r="A56" s="751" t="s">
        <v>803</v>
      </c>
      <c r="B56" s="764"/>
      <c r="C56" s="661">
        <f ca="1">SUM(C54:C55)</f>
        <v>2802.4131354271881</v>
      </c>
      <c r="D56" s="661">
        <f t="shared" ref="D56:Q56" ca="1" si="7">SUM(D54:D55)</f>
        <v>0</v>
      </c>
      <c r="E56" s="661">
        <f t="shared" si="7"/>
        <v>6665.8993278478865</v>
      </c>
      <c r="F56" s="661">
        <f t="shared" si="7"/>
        <v>3.1013510460883906</v>
      </c>
      <c r="G56" s="661">
        <f t="shared" si="7"/>
        <v>551.79505788616041</v>
      </c>
      <c r="H56" s="661">
        <f t="shared" si="7"/>
        <v>0</v>
      </c>
      <c r="I56" s="661">
        <f t="shared" si="7"/>
        <v>0</v>
      </c>
      <c r="J56" s="661">
        <f t="shared" si="7"/>
        <v>0</v>
      </c>
      <c r="K56" s="661">
        <f t="shared" si="7"/>
        <v>21.731312809064178</v>
      </c>
      <c r="L56" s="661">
        <f t="shared" si="7"/>
        <v>0</v>
      </c>
      <c r="M56" s="661">
        <f t="shared" si="7"/>
        <v>0</v>
      </c>
      <c r="N56" s="661">
        <f t="shared" si="7"/>
        <v>0</v>
      </c>
      <c r="O56" s="661">
        <f t="shared" si="7"/>
        <v>0</v>
      </c>
      <c r="P56" s="661">
        <f t="shared" si="7"/>
        <v>0</v>
      </c>
      <c r="Q56" s="662">
        <f t="shared" si="7"/>
        <v>0</v>
      </c>
      <c r="R56" s="663">
        <f ca="1">SUM(R54:R55)</f>
        <v>10044.940185016387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80767.604140727548</v>
      </c>
      <c r="D61" s="669">
        <f t="shared" ref="D61:Q61" ca="1" si="8">D46+D52+D56</f>
        <v>76.386554621848759</v>
      </c>
      <c r="E61" s="669">
        <f t="shared" ca="1" si="8"/>
        <v>97649.512042755654</v>
      </c>
      <c r="F61" s="669">
        <f t="shared" si="8"/>
        <v>2964.352463327305</v>
      </c>
      <c r="G61" s="669">
        <f t="shared" ca="1" si="8"/>
        <v>72267.665279930588</v>
      </c>
      <c r="H61" s="669">
        <f t="shared" si="8"/>
        <v>50391.353055791697</v>
      </c>
      <c r="I61" s="669">
        <f t="shared" si="8"/>
        <v>7880.2673454132382</v>
      </c>
      <c r="J61" s="669">
        <f t="shared" si="8"/>
        <v>0</v>
      </c>
      <c r="K61" s="669">
        <f t="shared" si="8"/>
        <v>1739.3274612919697</v>
      </c>
      <c r="L61" s="669">
        <f t="shared" si="8"/>
        <v>0</v>
      </c>
      <c r="M61" s="669">
        <f t="shared" ca="1" si="8"/>
        <v>0</v>
      </c>
      <c r="N61" s="669">
        <f t="shared" si="8"/>
        <v>0</v>
      </c>
      <c r="O61" s="669">
        <f t="shared" ca="1" si="8"/>
        <v>0</v>
      </c>
      <c r="P61" s="669">
        <f t="shared" si="8"/>
        <v>0</v>
      </c>
      <c r="Q61" s="669">
        <f t="shared" si="8"/>
        <v>0</v>
      </c>
      <c r="R61" s="669">
        <f ca="1">R46+R52+R56</f>
        <v>313736.46834385983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0.21488266953837959</v>
      </c>
      <c r="D63" s="710">
        <f t="shared" ca="1" si="9"/>
        <v>0.23764705882352946</v>
      </c>
      <c r="E63" s="954">
        <f t="shared" ca="1" si="9"/>
        <v>0.20200000000000001</v>
      </c>
      <c r="F63" s="710">
        <f t="shared" si="9"/>
        <v>0.22700000000000001</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10421.07136347015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225</v>
      </c>
      <c r="D76" s="964">
        <f>'lokale energieproductie'!C8</f>
        <v>264.70588235294116</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53.470588235294116</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10421.07136347015</v>
      </c>
      <c r="C78" s="684">
        <f>SUM(C72:C77)</f>
        <v>225</v>
      </c>
      <c r="D78" s="685">
        <f t="shared" ref="D78:H78" si="10">SUM(D76:D77)</f>
        <v>264.70588235294116</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53.470588235294116</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321.42857142857144</v>
      </c>
      <c r="D87" s="706">
        <f>'lokale energieproductie'!C17</f>
        <v>378.15126050420173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76.386554621848759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321.42857142857144</v>
      </c>
      <c r="D90" s="684">
        <f t="shared" ref="D90:H90" si="12">SUM(D87:D89)</f>
        <v>378.15126050420173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76.386554621848759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140994.17883709609</v>
      </c>
      <c r="C4" s="442">
        <f>huishoudens!C8</f>
        <v>0</v>
      </c>
      <c r="D4" s="442">
        <f>huishoudens!D8</f>
        <v>238178.41289014567</v>
      </c>
      <c r="E4" s="442">
        <f>huishoudens!E8</f>
        <v>5982.5983635300527</v>
      </c>
      <c r="F4" s="442">
        <f>huishoudens!F8</f>
        <v>188732.31382737806</v>
      </c>
      <c r="G4" s="442">
        <f>huishoudens!G8</f>
        <v>0</v>
      </c>
      <c r="H4" s="442">
        <f>huishoudens!H8</f>
        <v>0</v>
      </c>
      <c r="I4" s="442">
        <f>huishoudens!I8</f>
        <v>0</v>
      </c>
      <c r="J4" s="442">
        <f>huishoudens!J8</f>
        <v>4401.2304288247042</v>
      </c>
      <c r="K4" s="442">
        <f>huishoudens!K8</f>
        <v>0</v>
      </c>
      <c r="L4" s="442">
        <f>huishoudens!L8</f>
        <v>0</v>
      </c>
      <c r="M4" s="442">
        <f>huishoudens!M8</f>
        <v>0</v>
      </c>
      <c r="N4" s="442">
        <f>huishoudens!N8</f>
        <v>40613.598018640543</v>
      </c>
      <c r="O4" s="442">
        <f>huishoudens!O8</f>
        <v>295.47000000000003</v>
      </c>
      <c r="P4" s="443">
        <f>huishoudens!P8</f>
        <v>896.13333333333333</v>
      </c>
      <c r="Q4" s="444">
        <f>SUM(B4:P4)</f>
        <v>620093.93569894833</v>
      </c>
    </row>
    <row r="5" spans="1:17">
      <c r="A5" s="441" t="s">
        <v>149</v>
      </c>
      <c r="B5" s="442">
        <f ca="1">tertiair!B16</f>
        <v>153045.62499999997</v>
      </c>
      <c r="C5" s="442">
        <f ca="1">tertiair!C16</f>
        <v>321.42857142857144</v>
      </c>
      <c r="D5" s="442">
        <f ca="1">tertiair!D16</f>
        <v>154301.39424029886</v>
      </c>
      <c r="E5" s="442">
        <f>tertiair!E16</f>
        <v>2388.0001339473429</v>
      </c>
      <c r="F5" s="442">
        <f ca="1">tertiair!F16</f>
        <v>36041.577712548213</v>
      </c>
      <c r="G5" s="442">
        <f>tertiair!G16</f>
        <v>0</v>
      </c>
      <c r="H5" s="442">
        <f>tertiair!H16</f>
        <v>0</v>
      </c>
      <c r="I5" s="442">
        <f>tertiair!I16</f>
        <v>0</v>
      </c>
      <c r="J5" s="442">
        <f>tertiair!J16</f>
        <v>0</v>
      </c>
      <c r="K5" s="442">
        <f>tertiair!K16</f>
        <v>0</v>
      </c>
      <c r="L5" s="442">
        <f ca="1">tertiair!L16</f>
        <v>0</v>
      </c>
      <c r="M5" s="442">
        <f>tertiair!M16</f>
        <v>0</v>
      </c>
      <c r="N5" s="442">
        <f ca="1">tertiair!N16</f>
        <v>11515.332935934301</v>
      </c>
      <c r="O5" s="442">
        <f>tertiair!O16</f>
        <v>7.8166666666666664</v>
      </c>
      <c r="P5" s="443">
        <f>tertiair!P16</f>
        <v>247.86666666666667</v>
      </c>
      <c r="Q5" s="441">
        <f t="shared" ref="Q5:Q14" ca="1" si="0">SUM(B5:P5)</f>
        <v>357869.04192749056</v>
      </c>
    </row>
    <row r="6" spans="1:17">
      <c r="A6" s="441" t="s">
        <v>187</v>
      </c>
      <c r="B6" s="442">
        <f>'openbare verlichting'!B8</f>
        <v>4031.8910000000001</v>
      </c>
      <c r="C6" s="442"/>
      <c r="D6" s="442"/>
      <c r="E6" s="442"/>
      <c r="F6" s="442"/>
      <c r="G6" s="442"/>
      <c r="H6" s="442"/>
      <c r="I6" s="442"/>
      <c r="J6" s="442"/>
      <c r="K6" s="442"/>
      <c r="L6" s="442"/>
      <c r="M6" s="442"/>
      <c r="N6" s="442"/>
      <c r="O6" s="442"/>
      <c r="P6" s="443"/>
      <c r="Q6" s="441">
        <f t="shared" si="0"/>
        <v>4031.8910000000001</v>
      </c>
    </row>
    <row r="7" spans="1:17">
      <c r="A7" s="441" t="s">
        <v>105</v>
      </c>
      <c r="B7" s="442">
        <f>landbouw!B8</f>
        <v>637.13080000000002</v>
      </c>
      <c r="C7" s="442">
        <f>landbouw!C8</f>
        <v>0</v>
      </c>
      <c r="D7" s="442">
        <f>landbouw!D8</f>
        <v>419.71118505893452</v>
      </c>
      <c r="E7" s="442">
        <f>landbouw!E8</f>
        <v>13.662339410081016</v>
      </c>
      <c r="F7" s="442">
        <f>landbouw!F8</f>
        <v>2066.648156877005</v>
      </c>
      <c r="G7" s="442">
        <f>landbouw!G8</f>
        <v>0</v>
      </c>
      <c r="H7" s="442">
        <f>landbouw!H8</f>
        <v>0</v>
      </c>
      <c r="I7" s="442">
        <f>landbouw!I8</f>
        <v>0</v>
      </c>
      <c r="J7" s="442">
        <f>landbouw!J8</f>
        <v>61.387889291141754</v>
      </c>
      <c r="K7" s="442">
        <f>landbouw!K8</f>
        <v>0</v>
      </c>
      <c r="L7" s="442">
        <f>landbouw!L8</f>
        <v>0</v>
      </c>
      <c r="M7" s="442">
        <f>landbouw!M8</f>
        <v>0</v>
      </c>
      <c r="N7" s="442">
        <f>landbouw!N8</f>
        <v>0</v>
      </c>
      <c r="O7" s="442">
        <f>landbouw!O8</f>
        <v>0</v>
      </c>
      <c r="P7" s="443">
        <f>landbouw!P8</f>
        <v>0</v>
      </c>
      <c r="Q7" s="441">
        <f t="shared" si="0"/>
        <v>3198.5403706371621</v>
      </c>
    </row>
    <row r="8" spans="1:17">
      <c r="A8" s="441" t="s">
        <v>612</v>
      </c>
      <c r="B8" s="442">
        <f>industrie!B18</f>
        <v>62894.333560000006</v>
      </c>
      <c r="C8" s="442">
        <f>industrie!C18</f>
        <v>0</v>
      </c>
      <c r="D8" s="442">
        <f>industrie!D18</f>
        <v>57882.759170335397</v>
      </c>
      <c r="E8" s="442">
        <f>industrie!E18</f>
        <v>4160.3556365553932</v>
      </c>
      <c r="F8" s="442">
        <f>industrie!F18</f>
        <v>43824.873336644581</v>
      </c>
      <c r="G8" s="442">
        <f>industrie!G18</f>
        <v>0</v>
      </c>
      <c r="H8" s="442">
        <f>industrie!H18</f>
        <v>0</v>
      </c>
      <c r="I8" s="442">
        <f>industrie!I18</f>
        <v>0</v>
      </c>
      <c r="J8" s="442">
        <f>industrie!J18</f>
        <v>450.73609231344722</v>
      </c>
      <c r="K8" s="442">
        <f>industrie!K18</f>
        <v>0</v>
      </c>
      <c r="L8" s="442">
        <f>industrie!L18</f>
        <v>0</v>
      </c>
      <c r="M8" s="442">
        <f>industrie!M18</f>
        <v>0</v>
      </c>
      <c r="N8" s="442">
        <f>industrie!N18</f>
        <v>10083.463886884432</v>
      </c>
      <c r="O8" s="442">
        <f>industrie!O18</f>
        <v>0</v>
      </c>
      <c r="P8" s="443">
        <f>industrie!P18</f>
        <v>0</v>
      </c>
      <c r="Q8" s="441">
        <f t="shared" si="0"/>
        <v>179296.52168273326</v>
      </c>
    </row>
    <row r="9" spans="1:17" s="447" customFormat="1">
      <c r="A9" s="445" t="s">
        <v>556</v>
      </c>
      <c r="B9" s="446">
        <f>transport!B14</f>
        <v>32.619648580999723</v>
      </c>
      <c r="C9" s="446">
        <f>transport!C14</f>
        <v>0</v>
      </c>
      <c r="D9" s="446">
        <f>transport!D14</f>
        <v>51.358030446640555</v>
      </c>
      <c r="E9" s="446">
        <f>transport!E14</f>
        <v>514.20495090649013</v>
      </c>
      <c r="F9" s="446">
        <f>transport!F14</f>
        <v>0</v>
      </c>
      <c r="G9" s="446">
        <f>transport!G14</f>
        <v>179728.49081744719</v>
      </c>
      <c r="H9" s="446">
        <f>transport!H14</f>
        <v>31647.660021739914</v>
      </c>
      <c r="I9" s="446">
        <f>transport!I14</f>
        <v>0</v>
      </c>
      <c r="J9" s="446">
        <f>transport!J14</f>
        <v>0</v>
      </c>
      <c r="K9" s="446">
        <f>transport!K14</f>
        <v>0</v>
      </c>
      <c r="L9" s="446">
        <f>transport!L14</f>
        <v>0</v>
      </c>
      <c r="M9" s="446">
        <f>transport!M14</f>
        <v>11385.490203949714</v>
      </c>
      <c r="N9" s="446">
        <f>transport!N14</f>
        <v>0</v>
      </c>
      <c r="O9" s="446">
        <f>transport!O14</f>
        <v>0</v>
      </c>
      <c r="P9" s="446">
        <f>transport!P14</f>
        <v>0</v>
      </c>
      <c r="Q9" s="445">
        <f>SUM(B9:P9)</f>
        <v>223359.82367307096</v>
      </c>
    </row>
    <row r="10" spans="1:17">
      <c r="A10" s="441" t="s">
        <v>546</v>
      </c>
      <c r="B10" s="442">
        <f>transport!B54</f>
        <v>1828.1502847262955</v>
      </c>
      <c r="C10" s="442">
        <f>transport!C54</f>
        <v>0</v>
      </c>
      <c r="D10" s="442">
        <f>transport!D54</f>
        <v>0</v>
      </c>
      <c r="E10" s="442">
        <f>transport!E54</f>
        <v>0</v>
      </c>
      <c r="F10" s="442">
        <f>transport!F54</f>
        <v>0</v>
      </c>
      <c r="G10" s="442">
        <f>transport!G54</f>
        <v>9003.1685675404151</v>
      </c>
      <c r="H10" s="442">
        <f>transport!H54</f>
        <v>0</v>
      </c>
      <c r="I10" s="442">
        <f>transport!I54</f>
        <v>0</v>
      </c>
      <c r="J10" s="442">
        <f>transport!J54</f>
        <v>0</v>
      </c>
      <c r="K10" s="442">
        <f>transport!K54</f>
        <v>0</v>
      </c>
      <c r="L10" s="442">
        <f>transport!L54</f>
        <v>0</v>
      </c>
      <c r="M10" s="442">
        <f>transport!M54</f>
        <v>518.2947325279157</v>
      </c>
      <c r="N10" s="442">
        <f>transport!N54</f>
        <v>0</v>
      </c>
      <c r="O10" s="442">
        <f>transport!O54</f>
        <v>0</v>
      </c>
      <c r="P10" s="443">
        <f>transport!P54</f>
        <v>0</v>
      </c>
      <c r="Q10" s="441">
        <f t="shared" si="0"/>
        <v>11349.613584794628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12404.465999999999</v>
      </c>
      <c r="C14" s="449"/>
      <c r="D14" s="449">
        <f>'SEAP template'!E25</f>
        <v>32579.7904379504</v>
      </c>
      <c r="E14" s="449"/>
      <c r="F14" s="449"/>
      <c r="G14" s="449"/>
      <c r="H14" s="449"/>
      <c r="I14" s="449"/>
      <c r="J14" s="449"/>
      <c r="K14" s="449"/>
      <c r="L14" s="449"/>
      <c r="M14" s="449"/>
      <c r="N14" s="449"/>
      <c r="O14" s="449"/>
      <c r="P14" s="450"/>
      <c r="Q14" s="441">
        <f t="shared" si="0"/>
        <v>44984.256437950397</v>
      </c>
    </row>
    <row r="15" spans="1:17" s="451" customFormat="1">
      <c r="A15" s="969" t="s">
        <v>550</v>
      </c>
      <c r="B15" s="909">
        <f ca="1">SUM(B4:B14)</f>
        <v>375868.3951304034</v>
      </c>
      <c r="C15" s="909">
        <f t="shared" ref="C15:Q15" ca="1" si="1">SUM(C4:C14)</f>
        <v>321.42857142857144</v>
      </c>
      <c r="D15" s="909">
        <f t="shared" ca="1" si="1"/>
        <v>483413.42595423589</v>
      </c>
      <c r="E15" s="909">
        <f t="shared" si="1"/>
        <v>13058.821424349362</v>
      </c>
      <c r="F15" s="909">
        <f t="shared" ca="1" si="1"/>
        <v>270665.41303344787</v>
      </c>
      <c r="G15" s="909">
        <f t="shared" si="1"/>
        <v>188731.65938498761</v>
      </c>
      <c r="H15" s="909">
        <f t="shared" si="1"/>
        <v>31647.660021739914</v>
      </c>
      <c r="I15" s="909">
        <f t="shared" si="1"/>
        <v>0</v>
      </c>
      <c r="J15" s="909">
        <f t="shared" si="1"/>
        <v>4913.3544104292932</v>
      </c>
      <c r="K15" s="909">
        <f t="shared" si="1"/>
        <v>0</v>
      </c>
      <c r="L15" s="909">
        <f t="shared" ca="1" si="1"/>
        <v>0</v>
      </c>
      <c r="M15" s="909">
        <f t="shared" si="1"/>
        <v>11903.78493647763</v>
      </c>
      <c r="N15" s="909">
        <f t="shared" ca="1" si="1"/>
        <v>62212.394841459274</v>
      </c>
      <c r="O15" s="909">
        <f t="shared" si="1"/>
        <v>303.28666666666669</v>
      </c>
      <c r="P15" s="909">
        <f t="shared" si="1"/>
        <v>1144</v>
      </c>
      <c r="Q15" s="909">
        <f t="shared" ca="1" si="1"/>
        <v>1444183.624375625</v>
      </c>
    </row>
    <row r="17" spans="1:17">
      <c r="A17" s="452" t="s">
        <v>551</v>
      </c>
      <c r="B17" s="715">
        <f ca="1">huishoudens!B10</f>
        <v>0.21488266953837956</v>
      </c>
      <c r="C17" s="715">
        <f ca="1">huishoudens!C10</f>
        <v>0.23764705882352946</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30297.205537886908</v>
      </c>
      <c r="C22" s="442">
        <f t="shared" ref="C22:C32" ca="1" si="3">C4*$C$17</f>
        <v>0</v>
      </c>
      <c r="D22" s="442">
        <f t="shared" ref="D22:D32" si="4">D4*$D$17</f>
        <v>48112.039403809431</v>
      </c>
      <c r="E22" s="442">
        <f t="shared" ref="E22:E32" si="5">E4*$E$17</f>
        <v>1358.0498285213221</v>
      </c>
      <c r="F22" s="442">
        <f t="shared" ref="F22:F32" si="6">F4*$F$17</f>
        <v>50391.527791909946</v>
      </c>
      <c r="G22" s="442">
        <f t="shared" ref="G22:G32" si="7">G4*$G$17</f>
        <v>0</v>
      </c>
      <c r="H22" s="442">
        <f t="shared" ref="H22:H32" si="8">H4*$H$17</f>
        <v>0</v>
      </c>
      <c r="I22" s="442">
        <f t="shared" ref="I22:I32" si="9">I4*$I$17</f>
        <v>0</v>
      </c>
      <c r="J22" s="442">
        <f t="shared" ref="J22:J32" si="10">J4*$J$17</f>
        <v>1558.0355718039452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131716.85813393156</v>
      </c>
    </row>
    <row r="23" spans="1:17">
      <c r="A23" s="441" t="s">
        <v>149</v>
      </c>
      <c r="B23" s="442">
        <f t="shared" ca="1" si="2"/>
        <v>32886.852461169758</v>
      </c>
      <c r="C23" s="442">
        <f t="shared" ca="1" si="3"/>
        <v>76.386554621848759</v>
      </c>
      <c r="D23" s="442">
        <f t="shared" ca="1" si="4"/>
        <v>31168.881636540373</v>
      </c>
      <c r="E23" s="442">
        <f t="shared" si="5"/>
        <v>542.07603040604681</v>
      </c>
      <c r="F23" s="442">
        <f t="shared" ca="1" si="6"/>
        <v>9623.1012492503742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74297.297931988403</v>
      </c>
    </row>
    <row r="24" spans="1:17">
      <c r="A24" s="441" t="s">
        <v>187</v>
      </c>
      <c r="B24" s="442">
        <f t="shared" ca="1" si="2"/>
        <v>866.38350136776671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866.38350136776671</v>
      </c>
    </row>
    <row r="25" spans="1:17">
      <c r="A25" s="441" t="s">
        <v>105</v>
      </c>
      <c r="B25" s="442">
        <f t="shared" ca="1" si="2"/>
        <v>136.90836714912339</v>
      </c>
      <c r="C25" s="442">
        <f t="shared" ca="1" si="3"/>
        <v>0</v>
      </c>
      <c r="D25" s="442">
        <f t="shared" si="4"/>
        <v>84.781659381904774</v>
      </c>
      <c r="E25" s="442">
        <f t="shared" si="5"/>
        <v>3.1013510460883906</v>
      </c>
      <c r="F25" s="442">
        <f t="shared" si="6"/>
        <v>551.79505788616041</v>
      </c>
      <c r="G25" s="442">
        <f t="shared" si="7"/>
        <v>0</v>
      </c>
      <c r="H25" s="442">
        <f t="shared" si="8"/>
        <v>0</v>
      </c>
      <c r="I25" s="442">
        <f t="shared" si="9"/>
        <v>0</v>
      </c>
      <c r="J25" s="442">
        <f t="shared" si="10"/>
        <v>21.731312809064178</v>
      </c>
      <c r="K25" s="442">
        <f t="shared" si="11"/>
        <v>0</v>
      </c>
      <c r="L25" s="442">
        <f t="shared" si="12"/>
        <v>0</v>
      </c>
      <c r="M25" s="442">
        <f t="shared" si="13"/>
        <v>0</v>
      </c>
      <c r="N25" s="442">
        <f t="shared" si="14"/>
        <v>0</v>
      </c>
      <c r="O25" s="442">
        <f t="shared" si="15"/>
        <v>0</v>
      </c>
      <c r="P25" s="443">
        <f t="shared" si="16"/>
        <v>0</v>
      </c>
      <c r="Q25" s="441">
        <f t="shared" ca="1" si="17"/>
        <v>798.31774827234119</v>
      </c>
    </row>
    <row r="26" spans="1:17">
      <c r="A26" s="441" t="s">
        <v>612</v>
      </c>
      <c r="B26" s="442">
        <f t="shared" ca="1" si="2"/>
        <v>13514.902294210096</v>
      </c>
      <c r="C26" s="442">
        <f t="shared" ca="1" si="3"/>
        <v>0</v>
      </c>
      <c r="D26" s="442">
        <f t="shared" si="4"/>
        <v>11692.31735240775</v>
      </c>
      <c r="E26" s="442">
        <f t="shared" si="5"/>
        <v>944.40072949807427</v>
      </c>
      <c r="F26" s="442">
        <f t="shared" si="6"/>
        <v>11701.241180884104</v>
      </c>
      <c r="G26" s="442">
        <f t="shared" si="7"/>
        <v>0</v>
      </c>
      <c r="H26" s="442">
        <f t="shared" si="8"/>
        <v>0</v>
      </c>
      <c r="I26" s="442">
        <f t="shared" si="9"/>
        <v>0</v>
      </c>
      <c r="J26" s="442">
        <f t="shared" si="10"/>
        <v>159.5605766789603</v>
      </c>
      <c r="K26" s="442">
        <f t="shared" si="11"/>
        <v>0</v>
      </c>
      <c r="L26" s="442">
        <f t="shared" si="12"/>
        <v>0</v>
      </c>
      <c r="M26" s="442">
        <f t="shared" si="13"/>
        <v>0</v>
      </c>
      <c r="N26" s="442">
        <f t="shared" si="14"/>
        <v>0</v>
      </c>
      <c r="O26" s="442">
        <f t="shared" si="15"/>
        <v>0</v>
      </c>
      <c r="P26" s="443">
        <f t="shared" si="16"/>
        <v>0</v>
      </c>
      <c r="Q26" s="441">
        <f t="shared" ca="1" si="17"/>
        <v>38012.422133678985</v>
      </c>
    </row>
    <row r="27" spans="1:17" s="447" customFormat="1">
      <c r="A27" s="445" t="s">
        <v>556</v>
      </c>
      <c r="B27" s="709">
        <f t="shared" ca="1" si="2"/>
        <v>7.0093971664890349</v>
      </c>
      <c r="C27" s="446">
        <f t="shared" ca="1" si="3"/>
        <v>0</v>
      </c>
      <c r="D27" s="446">
        <f t="shared" si="4"/>
        <v>10.374322150221392</v>
      </c>
      <c r="E27" s="446">
        <f t="shared" si="5"/>
        <v>116.72452385577326</v>
      </c>
      <c r="F27" s="446">
        <f t="shared" si="6"/>
        <v>0</v>
      </c>
      <c r="G27" s="446">
        <f t="shared" si="7"/>
        <v>47987.507048258405</v>
      </c>
      <c r="H27" s="446">
        <f t="shared" si="8"/>
        <v>7880.2673454132382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56001.88263684413</v>
      </c>
    </row>
    <row r="28" spans="1:17">
      <c r="A28" s="441" t="s">
        <v>546</v>
      </c>
      <c r="B28" s="442">
        <f t="shared" ca="1" si="2"/>
        <v>392.83781349933503</v>
      </c>
      <c r="C28" s="442">
        <f t="shared" ca="1" si="3"/>
        <v>0</v>
      </c>
      <c r="D28" s="442">
        <f t="shared" si="4"/>
        <v>0</v>
      </c>
      <c r="E28" s="442">
        <f t="shared" si="5"/>
        <v>0</v>
      </c>
      <c r="F28" s="442">
        <f t="shared" si="6"/>
        <v>0</v>
      </c>
      <c r="G28" s="442">
        <f t="shared" si="7"/>
        <v>2403.846007533291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2796.6838210326259</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2665.5047682780646</v>
      </c>
      <c r="C32" s="442">
        <f t="shared" ca="1" si="3"/>
        <v>0</v>
      </c>
      <c r="D32" s="442">
        <f t="shared" si="4"/>
        <v>6581.1176684659813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9246.6224367440464</v>
      </c>
    </row>
    <row r="33" spans="1:17" s="451" customFormat="1">
      <c r="A33" s="969" t="s">
        <v>550</v>
      </c>
      <c r="B33" s="909">
        <f ca="1">SUM(B22:B32)</f>
        <v>80767.604140727548</v>
      </c>
      <c r="C33" s="909">
        <f t="shared" ref="C33:Q33" ca="1" si="18">SUM(C22:C32)</f>
        <v>76.386554621848759</v>
      </c>
      <c r="D33" s="909">
        <f t="shared" ca="1" si="18"/>
        <v>97649.512042755654</v>
      </c>
      <c r="E33" s="909">
        <f t="shared" si="18"/>
        <v>2964.352463327305</v>
      </c>
      <c r="F33" s="909">
        <f t="shared" ca="1" si="18"/>
        <v>72267.665279930588</v>
      </c>
      <c r="G33" s="909">
        <f t="shared" si="18"/>
        <v>50391.353055791697</v>
      </c>
      <c r="H33" s="909">
        <f t="shared" si="18"/>
        <v>7880.2673454132382</v>
      </c>
      <c r="I33" s="909">
        <f t="shared" si="18"/>
        <v>0</v>
      </c>
      <c r="J33" s="909">
        <f t="shared" si="18"/>
        <v>1739.3274612919697</v>
      </c>
      <c r="K33" s="909">
        <f t="shared" si="18"/>
        <v>0</v>
      </c>
      <c r="L33" s="909">
        <f t="shared" ca="1" si="18"/>
        <v>0</v>
      </c>
      <c r="M33" s="909">
        <f t="shared" si="18"/>
        <v>0</v>
      </c>
      <c r="N33" s="909">
        <f t="shared" ca="1" si="18"/>
        <v>0</v>
      </c>
      <c r="O33" s="909">
        <f t="shared" si="18"/>
        <v>0</v>
      </c>
      <c r="P33" s="909">
        <f t="shared" si="18"/>
        <v>0</v>
      </c>
      <c r="Q33" s="909">
        <f t="shared" ca="1" si="18"/>
        <v>313736.46834385989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10421.07136347015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225</v>
      </c>
      <c r="D8" s="986">
        <f>'SEAP template'!D76</f>
        <v>264.70588235294116</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53.470588235294116</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10421.07136347015</v>
      </c>
      <c r="C10" s="990">
        <f>SUM(C4:C9)</f>
        <v>225</v>
      </c>
      <c r="D10" s="990">
        <f t="shared" ref="D10:H10" si="0">SUM(D8:D9)</f>
        <v>264.70588235294116</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53.470588235294116</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0.21488266953837956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321.42857142857144</v>
      </c>
      <c r="D17" s="987">
        <f>'SEAP template'!D87</f>
        <v>378.15126050420173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76.386554621848759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321.42857142857144</v>
      </c>
      <c r="D20" s="990">
        <f t="shared" ref="D20:H20" si="2">SUM(D17:D19)</f>
        <v>378.15126050420173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76.386554621848759</v>
      </c>
    </row>
    <row r="22" spans="1:16">
      <c r="A22" s="452" t="s">
        <v>826</v>
      </c>
      <c r="B22" s="715" t="s">
        <v>820</v>
      </c>
      <c r="C22" s="71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0.21488266953837956</v>
      </c>
      <c r="C17" s="489">
        <f ca="1">'EF ele_warmte'!B22</f>
        <v>0.23764705882352946</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2022-07-26T11:37:45Z</dcterms:modified>
</cp:coreProperties>
</file>