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FEB76E7-3814-45FC-B20B-46D9F5B3ECF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<sst xmlns="http://schemas.openxmlformats.org/spreadsheetml/2006/main" count="2436" uniqueCount="907">
  <si>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</si>
  <si>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</si>
  <si>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</si>
  <si>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</si>
  <si>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</si>
  <si>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</si>
  <si>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</si>
  <si>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</si>
  <si>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</si>
  <si>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</si>
  <si>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</si>
  <si>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</si>
  <si>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</si>
  <si>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</si>
  <si>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</si>
  <si>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</si>
  <si>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</si>
  <si>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</si>
  <si>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</si>
  <si>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</si>
  <si>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</si>
  <si>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</si>
  <si>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</si>
  <si>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</si>
  <si>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</si>
  <si>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</si>
  <si>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</si>
  <si>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</si>
  <si>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</si>
  <si>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</si>
  <si>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</si>
  <si>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</si>
  <si>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</si>
  <si>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</si>
  <si>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</si>
  <si>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</si>
  <si>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</si>
  <si>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</si>
  <si>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</si>
  <si>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</si>
  <si>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</si>
  <si>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</si>
  <si>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</si>
  <si>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</si>
  <si>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</si>
  <si>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</si>
  <si>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</si>
  <si>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</si>
  <si>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</si>
  <si>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</si>
  <si>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</si>
  <si>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</si>
  <si>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</si>
  <si>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</si>
  <si>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</si>
  <si>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</si>
  <si>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</si>
  <si>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</si>
  <si>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</si>
  <si>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</si>
  <si>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</si>
  <si>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</si>
  <si>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</si>
  <si>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</si>
  <si>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</si>
  <si>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</si>
  <si>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</si>
  <si>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</si>
  <si>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</si>
  <si>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</si>
  <si>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</si>
  <si>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</si>
  <si>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</si>
  <si>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</si>
  <si>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</si>
  <si>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</si>
  <si>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</si>
  <si>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</si>
  <si>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</si>
  <si>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</si>
  <si>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</si>
  <si>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</si>
  <si>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</si>
  <si>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</si>
  <si>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</si>
  <si>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</si>
  <si>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</si>
  <si>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</si>
  <si>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</si>
  <si>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</si>
  <si>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</si>
  <si>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</si>
  <si>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</si>
  <si>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</si>
  <si>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</si>
  <si>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</si>
  <si>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</si>
  <si>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</si>
  <si>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</si>
  <si>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</si>
  <si>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</si>
  <si>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</si>
  <si>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</si>
  <si>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</si>
  <si>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</si>
  <si>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</si>
  <si>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</si>
  <si>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</si>
  <si>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</si>
  <si>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</si>
  <si>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</si>
  <si>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</si>
  <si>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</si>
  <si>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</si>
  <si>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</si>
  <si>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</si>
  <si>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</si>
  <si>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</si>
  <si>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</si>
  <si>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</si>
  <si>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</si>
  <si>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</si>
  <si>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</si>
  <si>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</si>
  <si>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</si>
  <si>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</si>
  <si>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</si>
  <si>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</si>
  <si>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</si>
  <si>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</si>
  <si>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</si>
  <si>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</si>
  <si>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</si>
  <si>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</si>
  <si>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</si>
  <si>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</si>
  <si>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</si>
  <si>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</si>
  <si>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</si>
  <si>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</si>
  <si>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</si>
  <si>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</si>
  <si>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</si>
  <si>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</si>
  <si>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</si>
  <si>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</si>
  <si>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</si>
  <si>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</si>
  <si>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</si>
  <si>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</si>
  <si>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</si>
  <si>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</si>
  <si>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</si>
  <si>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</si>
  <si>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</si>
  <si>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</si>
  <si>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</si>
  <si>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</si>
  <si>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</si>
  <si>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</si>
  <si>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</si>
  <si>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</si>
  <si>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</si>
  <si>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</si>
  <si>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</si>
  <si>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</si>
  <si>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</si>
  <si>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</si>
  <si>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</si>
  <si>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</si>
  <si>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</si>
  <si>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</si>
  <si>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</si>
  <si>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</si>
  <si>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</si>
  <si>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</si>
  <si>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</si>
  <si>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</si>
  <si>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</si>
  <si>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</si>
  <si>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</si>
  <si>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</si>
  <si>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</si>
  <si>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</si>
  <si>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</si>
  <si>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</si>
  <si>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</si>
  <si>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</si>
  <si>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</si>
  <si>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</si>
  <si>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</si>
  <si>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</si>
  <si>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</si>
  <si>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</si>
  <si>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</si>
  <si>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</si>
  <si>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</si>
  <si>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</si>
  <si>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</si>
  <si>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</si>
  <si>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</si>
  <si>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</si>
  <si>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</si>
  <si>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</si>
  <si>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</si>
  <si>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</si>
  <si>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</si>
  <si>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</si>
  <si>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</si>
  <si>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</si>
  <si>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</si>
  <si>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</si>
  <si>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</si>
  <si>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</si>
  <si>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</si>
  <si>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</si>
  <si>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</si>
  <si>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</si>
  <si>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</si>
  <si>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</si>
  <si>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</si>
  <si>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</si>
  <si>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</si>
  <si>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</si>
  <si>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</si>
  <si>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</si>
  <si>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</si>
  <si>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</si>
  <si>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</si>
  <si>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</si>
  <si>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</si>
  <si>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</si>
  <si>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</si>
  <si>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</si>
  <si>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</si>
  <si>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</si>
  <si>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</si>
  <si>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</si>
  <si>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</si>
  <si>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</si>
  <si>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</si>
  <si>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</si>
  <si>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</si>
  <si>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</si>
  <si>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</si>
  <si>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</si>
  <si>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</si>
  <si>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</si>
  <si>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</si>
  <si>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</si>
  <si>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</si>
  <si>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</si>
  <si>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</si>
  <si>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</si>
  <si>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</si>
  <si>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</si>
  <si>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</si>
  <si>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</si>
  <si>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</si>
  <si>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</si>
  <si>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</si>
  <si>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</si>
  <si>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</si>
  <si>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</si>
  <si>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</si>
  <si>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</si>
  <si>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</si>
  <si>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</si>
  <si>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</si>
  <si>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</si>
  <si>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</si>
  <si>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</si>
  <si>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</si>
  <si>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</si>
  <si>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</si>
  <si>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</si>
  <si>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</si>
  <si>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</si>
  <si>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</si>
  <si>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</si>
  <si>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</si>
  <si>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</si>
  <si>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</si>
  <si>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</si>
  <si>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</si>
  <si>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</si>
  <si>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</si>
  <si>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</si>
  <si>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</si>
  <si>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</si>
  <si>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</si>
  <si>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</si>
  <si>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</si>
  <si>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</si>
  <si>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</si>
  <si>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</si>
  <si>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</si>
  <si>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</si>
  <si>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</si>
  <si>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</si>
  <si>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</si>
  <si>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</si>
  <si>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</si>
  <si>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</si>
  <si>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</si>
  <si>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</si>
  <si>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</si>
  <si>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</si>
  <si>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</si>
  <si>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</si>
  <si>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</si>
  <si>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</si>
  <si>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</si>
  <si>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</si>
  <si>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</si>
  <si>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</si>
  <si>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</si>
  <si>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</si>
  <si>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</si>
  <si>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</si>
  <si>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</si>
  <si>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</si>
  <si>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</si>
  <si>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</si>
  <si>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</si>
  <si>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</si>
  <si>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</si>
  <si>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</si>
  <si>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</si>
  <si>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</si>
  <si>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</si>
  <si>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</si>
  <si>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</si>
  <si>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</si>
  <si>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</si>
  <si>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</si>
  <si>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</si>
  <si>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</si>
  <si>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</si>
  <si>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</si>
  <si>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</si>
  <si>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</si>
  <si>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</si>
  <si>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</si>
  <si>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</si>
  <si>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</si>
  <si>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</si>
  <si>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</si>
  <si>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</si>
  <si>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</si>
  <si>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</si>
  <si>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</si>
  <si>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</si>
  <si>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</si>
  <si>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</si>
  <si>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</si>
  <si>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</si>
  <si>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</si>
  <si>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</si>
  <si>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</si>
  <si>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</si>
  <si>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</si>
  <si>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</si>
  <si>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</si>
  <si>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</si>
  <si>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</si>
  <si>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</si>
  <si>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</si>
  <si>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</si>
  <si>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</si>
  <si>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</si>
  <si>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</si>
  <si>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</si>
  <si>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</si>
  <si>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</si>
  <si>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</si>
  <si>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</si>
  <si>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</si>
  <si>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</si>
  <si>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</si>
  <si>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</si>
  <si>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</si>
  <si>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</si>
  <si>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</si>
  <si>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</si>
  <si>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</si>
  <si>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</si>
  <si>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</si>
  <si>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</si>
  <si>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</si>
  <si>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</si>
  <si>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</si>
  <si>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</si>
  <si>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</si>
  <si>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</si>
  <si>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</si>
  <si>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</si>
  <si>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</si>
  <si>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</si>
  <si>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</si>
  <si>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</si>
  <si>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</si>
  <si>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</si>
  <si>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</si>
  <si>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</si>
  <si>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</si>
  <si>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</si>
  <si>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</si>
  <si>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</si>
  <si>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</si>
  <si>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</si>
  <si>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</si>
  <si>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</si>
  <si>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</si>
  <si>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</si>
  <si>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</si>
  <si>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</si>
  <si>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</si>
  <si>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</si>
  <si>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</si>
  <si>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</si>
  <si>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</si>
  <si>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</si>
  <si>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</si>
  <si>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</si>
  <si>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</si>
  <si>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</si>
  <si>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</si>
  <si>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</si>
  <si>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</si>
  <si>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</si>
  <si>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</si>
  <si>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</si>
  <si>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</si>
  <si>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</si>
  <si>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</si>
  <si>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</si>
  <si>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</si>
  <si>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</si>
  <si>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</si>
  <si>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</si>
  <si>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</si>
  <si>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</si>
  <si>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</si>
  <si>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</si>
  <si>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</si>
  <si>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</si>
  <si>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</si>
  <si>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</si>
  <si>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</si>
  <si>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</si>
  <si>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</si>
  <si>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</si>
  <si>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</si>
  <si>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</si>
  <si>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</si>
  <si>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</si>
  <si>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</si>
  <si>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</si>
  <si>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</si>
  <si>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</si>
  <si>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</si>
  <si>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</si>
  <si>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</si>
  <si>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</si>
  <si>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</si>
  <si>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</si>
  <si>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</si>
  <si>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</si>
  <si>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</si>
  <si>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</si>
  <si>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</si>
  <si>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</si>
  <si>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</si>
  <si>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</si>
  <si>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</si>
  <si>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</si>
  <si>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</si>
  <si>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</si>
  <si>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</si>
  <si>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</si>
  <si>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</si>
  <si>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</si>
  <si>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</si>
  <si>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</si>
  <si>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</si>
  <si>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</si>
  <si>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</si>
  <si>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</si>
  <si>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</si>
  <si>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</si>
  <si>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</si>
  <si>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</si>
  <si>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</si>
  <si>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</si>
  <si>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</si>
  <si>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</si>
  <si>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</si>
  <si>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</si>
  <si>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</si>
  <si>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</si>
  <si>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</si>
  <si>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</si>
  <si>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</si>
  <si>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</si>
  <si>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</si>
  <si>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</si>
  <si>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</si>
  <si>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</si>
  <si>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</si>
  <si>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</si>
  <si>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</si>
  <si>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</si>
  <si>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</si>
  <si>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</si>
  <si>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</si>
  <si>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</si>
  <si>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</si>
  <si>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</si>
  <si>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</si>
  <si>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</si>
  <si>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</si>
  <si>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</si>
  <si>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</si>
  <si>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</si>
  <si>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</si>
  <si>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</si>
  <si>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</si>
  <si>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</si>
  <si>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</si>
  <si>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</si>
  <si>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</si>
  <si>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</si>
  <si>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</si>
  <si>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</si>
  <si>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</si>
  <si>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</si>
  <si>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</si>
  <si>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</si>
  <si>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</si>
  <si>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</si>
  <si>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</si>
  <si>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</si>
  <si>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</si>
  <si>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</si>
  <si>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</si>
  <si>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</si>
  <si>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</si>
  <si>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</si>
  <si>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</si>
  <si>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</si>
  <si>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</si>
  <si>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</si>
  <si>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</si>
  <si>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</si>
  <si>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</si>
  <si>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</si>
  <si>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</si>
  <si>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</si>
  <si>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</si>
  <si>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</si>
  <si>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</si>
  <si>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</si>
  <si>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</si>
  <si>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</si>
  <si>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</si>
  <si>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</si>
  <si>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</si>
  <si>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</si>
  <si>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</si>
  <si>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</si>
  <si>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</si>
  <si>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</si>
  <si>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</si>
  <si>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</si>
  <si>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</si>
  <si>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</si>
  <si>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</si>
  <si>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</si>
  <si>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</si>
  <si>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</si>
  <si>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</si>
  <si>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</si>
  <si>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</si>
  <si>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</si>
  <si>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</si>
  <si>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</si>
  <si>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</si>
  <si>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</si>
  <si>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</si>
  <si>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</si>
  <si>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</si>
  <si>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</si>
  <si>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</si>
  <si>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</si>
  <si>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</si>
  <si>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</si>
  <si>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</si>
  <si>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</si>
  <si>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</si>
  <si>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</si>
  <si>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</si>
  <si>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</si>
  <si>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</si>
  <si>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</si>
  <si>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</si>
  <si>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</si>
  <si>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</si>
  <si>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</si>
  <si>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</si>
  <si>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</si>
  <si>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</si>
  <si>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</si>
  <si>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</si>
  <si>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</si>
  <si>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</si>
  <si>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</si>
  <si>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</si>
  <si>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</si>
  <si>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</si>
  <si>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</si>
  <si>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</si>
  <si>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</si>
  <si>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</si>
  <si>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</si>
  <si>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</si>
  <si>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</si>
  <si>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</si>
  <si>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</si>
  <si>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</si>
  <si>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</si>
  <si>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</si>
  <si>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</si>
  <si>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</si>
  <si>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</si>
  <si>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</si>
  <si>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</si>
  <si>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</si>
  <si>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</si>
  <si>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</si>
  <si>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</si>
  <si>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</si>
  <si>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</si>
  <si>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</si>
  <si>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</si>
  <si>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</si>
  <si>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</si>
  <si>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</si>
  <si>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</si>
  <si>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</si>
  <si>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</si>
  <si>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</si>
  <si>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</si>
  <si>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</si>
  <si>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</si>
  <si>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</si>
  <si>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</si>
  <si>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</si>
  <si>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</si>
  <si>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</si>
  <si>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</si>
  <si>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</si>
  <si>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</si>
  <si>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</si>
  <si>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</si>
  <si>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</si>
  <si>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</si>
  <si>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</si>
  <si>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</si>
  <si>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</si>
  <si>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</si>
  <si>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</si>
  <si>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</si>
  <si>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</si>
  <si>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</si>
  <si>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</si>
  <si>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</si>
  <si>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</si>
  <si>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</si>
  <si>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</si>
  <si>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</si>
  <si>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</si>
  <si>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</si>
  <si>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</si>
  <si>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</si>
  <si>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</si>
  <si>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</si>
  <si>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</si>
  <si>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</si>
  <si>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</si>
  <si>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</si>
  <si>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</si>
  <si>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</si>
  <si>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</si>
  <si>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</si>
  <si>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</si>
  <si>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</si>
  <si>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</si>
  <si>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</si>
  <si>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</si>
  <si>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</si>
  <si>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</si>
  <si>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</si>
  <si>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</si>
  <si>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</si>
  <si>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</si>
  <si>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</si>
  <si>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</si>
  <si>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</si>
  <si>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</si>
  <si>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</si>
  <si>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</si>
  <si>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</si>
  <si>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</si>
  <si>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</si>
  <si>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</si>
  <si>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</si>
  <si>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</si>
  <si>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</si>
  <si>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</si>
  <si>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</si>
  <si>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</si>
  <si>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</si>
  <si>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</si>
  <si>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</si>
  <si>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</si>
  <si>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</si>
  <si>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</si>
  <si>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</si>
  <si>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</si>
  <si>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</si>
  <si>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</si>
  <si>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</si>
  <si>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</si>
  <si>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</si>
  <si>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</si>
  <si>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</si>
  <si>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</si>
  <si>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</si>
  <si>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</si>
  <si>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</si>
  <si>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</si>
  <si>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</si>
  <si>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</si>
  <si>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</si>
  <si>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</si>
  <si>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</si>
  <si>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</si>
  <si>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</si>
  <si>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</si>
  <si>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</si>
  <si>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</si>
  <si>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</si>
  <si>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</si>
  <si>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</si>
  <si>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</si>
  <si>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</si>
  <si>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</si>
  <si>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</si>
  <si>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</si>
  <si>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</si>
  <si>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</si>
  <si>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</si>
  <si>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</si>
  <si>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</si>
  <si>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</si>
  <si>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</si>
  <si>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</si>
  <si>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</si>
  <si>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</si>
  <si>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</si>
  <si>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</si>
  <si>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</si>
  <si>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</si>
  <si>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</si>
  <si>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</si>
  <si>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</si>
  <si>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</si>
  <si>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</si>
  <si>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</si>
  <si>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</si>
  <si>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</si>
  <si>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</si>
  <si>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</si>
  <si>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</si>
  <si>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</si>
  <si>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</si>
  <si>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</si>
  <si>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</si>
  <si>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</si>
  <si>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</si>
  <si>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</si>
  <si>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</si>
  <si>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</si>
  <si>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</si>
  <si>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</si>
  <si>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</si>
  <si>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</si>
  <si>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</si>
  <si>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</si>
  <si>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</si>
  <si>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</si>
  <si>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</si>
  <si>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</si>
  <si>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</si>
  <si>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</si>
  <si>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</si>
  <si>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</si>
  <si>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</si>
  <si>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</si>
  <si>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</si>
  <si>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</si>
  <si>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</si>
  <si>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</si>
  <si>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</si>
  <si>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</si>
  <si>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</si>
  <si>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</si>
  <si>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</si>
  <si>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</si>
  <si>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</si>
  <si>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</si>
  <si>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</si>
  <si>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</si>
  <si>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</si>
  <si>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</si>
  <si>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</si>
  <si>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</si>
  <si>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</si>
  <si>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</si>
  <si>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</si>
  <si>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</si>
  <si>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</si>
  <si>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</si>
  <si>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</si>
  <si>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</si>
  <si>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</si>
  <si>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</si>
  <si>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</si>
  <si>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</si>
  <si>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</si>
  <si>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</si>
  <si>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</si>
  <si>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</si>
  <si>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</si>
  <si>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</si>
  <si>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</si>
  <si>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</si>
  <si>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</si>
  <si>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</si>
  <si>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</si>
  <si>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</si>
  <si>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</si>
  <si>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</si>
  <si>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</si>
  <si>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</si>
  <si>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</si>
  <si>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</si>
  <si>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</si>
  <si>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</si>
  <si>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</si>
  <si>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</si>
  <si>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</si>
  <si>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</si>
  <si>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</si>
  <si>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</si>
  <si>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</si>
  <si>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</si>
  <si>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</si>
  <si>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</si>
  <si>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</si>
  <si>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</si>
  <si>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</si>
  <si>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</si>
  <si>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</si>
  <si>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</si>
  <si>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</si>
  <si>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</si>
  <si>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</si>
  <si>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</si>
  <si>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</si>
  <si>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</si>
  <si>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</si>
  <si>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</si>
  <si>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</si>
  <si>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</si>
  <si>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</si>
  <si>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</si>
  <si>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</si>
  <si>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</si>
  <si>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</si>
  <si>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</si>
  <si>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</si>
  <si>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</si>
  <si>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</si>
  <si>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</si>
  <si>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</si>
  <si>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</si>
  <si>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</si>
  <si>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33021</t>
  </si>
  <si>
    <t>POPERINGE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</si>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</sst>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2CE9055-04E0-4CA9-A25A-94CE4D4BF52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159503.98173043979</c:v>
                </c:pt>
                <c:pt idx="1">
                  <c:v>51075.814104205572</c:v>
                </c:pt>
                <c:pt idx="2">
                  <c:v>1453.17</c:v>
                </c:pt>
                <c:pt idx="3">
                  <c:v>41005.389884201228</c:v>
                </c:pt>
                <c:pt idx="4">
                  <c:v>128445.40137983042</c:v>
                </c:pt>
                <c:pt idx="5">
                  <c:v>80179.747825515471</c:v>
                </c:pt>
                <c:pt idx="6">
                  <c:v>683.89053921494201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159503.98173043979</c:v>
                </c:pt>
                <c:pt idx="1">
                  <c:v>51075.814104205572</c:v>
                </c:pt>
                <c:pt idx="2">
                  <c:v>1453.17</c:v>
                </c:pt>
                <c:pt idx="3">
                  <c:v>41005.389884201228</c:v>
                </c:pt>
                <c:pt idx="4">
                  <c:v>128445.40137983042</c:v>
                </c:pt>
                <c:pt idx="5">
                  <c:v>80179.747825515471</c:v>
                </c:pt>
                <c:pt idx="6">
                  <c:v>683.89053921494201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32615.711623052484</c:v>
                </c:pt>
                <c:pt idx="2">
                  <c:v>9715.0129652651267</c:v>
                </c:pt>
                <c:pt idx="3">
                  <c:v>247.0003533245588</c:v>
                </c:pt>
                <c:pt idx="4">
                  <c:v>10087.78723708999</c:v>
                </c:pt>
                <c:pt idx="5">
                  <c:v>25107.033101347006</c:v>
                </c:pt>
                <c:pt idx="6">
                  <c:v>20107.127869896773</c:v>
                </c:pt>
                <c:pt idx="7">
                  <c:v>172.37900188006057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32615.711623052484</c:v>
                </c:pt>
                <c:pt idx="2">
                  <c:v>9715.0129652651267</c:v>
                </c:pt>
                <c:pt idx="3">
                  <c:v>247.0003533245588</c:v>
                </c:pt>
                <c:pt idx="4">
                  <c:v>10087.78723708999</c:v>
                </c:pt>
                <c:pt idx="5">
                  <c:v>25107.033101347006</c:v>
                </c:pt>
                <c:pt idx="6">
                  <c:v>20107.127869896773</c:v>
                </c:pt>
                <c:pt idx="7">
                  <c:v>172.37900188006057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33021</v>
      </c>
      <c r="B6" s="381"/>
      <c r="C6" s="382"/>
    </row>
    <row r="7" spans="1:7" s="379" customFormat="1" ht="15.75" customHeight="1">
      <c r="A7" s="383" t="str">
        <f>txtMunicipality</f>
        <v>POPERINGE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0.16997347407705829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0.16997347407705829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8173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9584</v>
      </c>
      <c r="C14" s="322"/>
      <c r="D14" s="322"/>
      <c r="E14" s="322"/>
      <c r="F14" s="322"/>
    </row>
    <row r="15" spans="1:6">
      <c r="A15" s="1261" t="s">
        <v>177</v>
      </c>
      <c r="B15" s="1262">
        <v>124</v>
      </c>
      <c r="C15" s="322"/>
      <c r="D15" s="322"/>
      <c r="E15" s="322"/>
      <c r="F15" s="322"/>
    </row>
    <row r="16" spans="1:6">
      <c r="A16" s="1261" t="s">
        <v>6</v>
      </c>
      <c r="B16" s="1262">
        <v>3036</v>
      </c>
      <c r="C16" s="322"/>
      <c r="D16" s="322"/>
      <c r="E16" s="322"/>
      <c r="F16" s="322"/>
    </row>
    <row r="17" spans="1:6">
      <c r="A17" s="1261" t="s">
        <v>7</v>
      </c>
      <c r="B17" s="1262">
        <v>2208</v>
      </c>
      <c r="C17" s="322"/>
      <c r="D17" s="322"/>
      <c r="E17" s="322"/>
      <c r="F17" s="322"/>
    </row>
    <row r="18" spans="1:6">
      <c r="A18" s="1261" t="s">
        <v>8</v>
      </c>
      <c r="B18" s="1262">
        <v>3201</v>
      </c>
      <c r="C18" s="322"/>
      <c r="D18" s="322"/>
      <c r="E18" s="322"/>
      <c r="F18" s="322"/>
    </row>
    <row r="19" spans="1:6">
      <c r="A19" s="1261" t="s">
        <v>9</v>
      </c>
      <c r="B19" s="1262">
        <v>2971</v>
      </c>
      <c r="C19" s="322"/>
      <c r="D19" s="322"/>
      <c r="E19" s="322"/>
      <c r="F19" s="322"/>
    </row>
    <row r="20" spans="1:6">
      <c r="A20" s="1261" t="s">
        <v>10</v>
      </c>
      <c r="B20" s="1262">
        <v>1972</v>
      </c>
      <c r="C20" s="322"/>
      <c r="D20" s="322"/>
      <c r="E20" s="322"/>
      <c r="F20" s="322"/>
    </row>
    <row r="21" spans="1:6">
      <c r="A21" s="1261" t="s">
        <v>11</v>
      </c>
      <c r="B21" s="1262">
        <v>50041</v>
      </c>
      <c r="C21" s="322"/>
      <c r="D21" s="322"/>
      <c r="E21" s="322"/>
      <c r="F21" s="322"/>
    </row>
    <row r="22" spans="1:6">
      <c r="A22" s="1261" t="s">
        <v>12</v>
      </c>
      <c r="B22" s="1262">
        <v>95544</v>
      </c>
      <c r="C22" s="322"/>
      <c r="D22" s="322"/>
      <c r="E22" s="322"/>
      <c r="F22" s="322"/>
    </row>
    <row r="23" spans="1:6">
      <c r="A23" s="1261" t="s">
        <v>13</v>
      </c>
      <c r="B23" s="1262">
        <v>1756</v>
      </c>
      <c r="C23" s="322"/>
      <c r="D23" s="322"/>
      <c r="E23" s="322"/>
      <c r="F23" s="322"/>
    </row>
    <row r="24" spans="1:6">
      <c r="A24" s="1261" t="s">
        <v>14</v>
      </c>
      <c r="B24" s="1262">
        <v>633</v>
      </c>
      <c r="C24" s="322"/>
      <c r="D24" s="322"/>
      <c r="E24" s="322"/>
      <c r="F24" s="322"/>
    </row>
    <row r="25" spans="1:6">
      <c r="A25" s="1261" t="s">
        <v>15</v>
      </c>
      <c r="B25" s="1262">
        <v>11557</v>
      </c>
      <c r="C25" s="322"/>
      <c r="D25" s="322"/>
      <c r="E25" s="322"/>
      <c r="F25" s="322"/>
    </row>
    <row r="26" spans="1:6">
      <c r="A26" s="1261" t="s">
        <v>16</v>
      </c>
      <c r="B26" s="1262">
        <v>550</v>
      </c>
      <c r="C26" s="322"/>
      <c r="D26" s="322"/>
      <c r="E26" s="322"/>
      <c r="F26" s="322"/>
    </row>
    <row r="27" spans="1:6">
      <c r="A27" s="1261" t="s">
        <v>17</v>
      </c>
      <c r="B27" s="1262">
        <v>26</v>
      </c>
      <c r="C27" s="322"/>
      <c r="D27" s="322"/>
      <c r="E27" s="322"/>
      <c r="F27" s="322"/>
    </row>
    <row r="28" spans="1:6">
      <c r="A28" s="1261" t="s">
        <v>18</v>
      </c>
      <c r="B28" s="1263">
        <v>461755</v>
      </c>
      <c r="C28" s="322"/>
      <c r="D28" s="322"/>
      <c r="E28" s="322"/>
      <c r="F28" s="322"/>
    </row>
    <row r="29" spans="1:6">
      <c r="A29" s="1261" t="s">
        <v>901</v>
      </c>
      <c r="B29" s="1263">
        <v>179</v>
      </c>
      <c r="C29" s="322"/>
      <c r="D29" s="322"/>
      <c r="E29" s="322"/>
      <c r="F29" s="322"/>
    </row>
    <row r="30" spans="1:6">
      <c r="A30" s="1256" t="s">
        <v>902</v>
      </c>
      <c r="B30" s="1264">
        <v>55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39114.25</v>
      </c>
    </row>
    <row r="37" spans="1:6">
      <c r="A37" s="1261" t="s">
        <v>24</v>
      </c>
      <c r="B37" s="1261" t="s">
        <v>27</v>
      </c>
      <c r="C37" s="1262">
        <v>0</v>
      </c>
      <c r="D37" s="1262">
        <v>0</v>
      </c>
      <c r="E37" s="1262">
        <v>0</v>
      </c>
      <c r="F37" s="1262">
        <v>0</v>
      </c>
    </row>
    <row r="38" spans="1:6">
      <c r="A38" s="1261" t="s">
        <v>24</v>
      </c>
      <c r="B38" s="1261" t="s">
        <v>28</v>
      </c>
      <c r="C38" s="1262">
        <v>1</v>
      </c>
      <c r="D38" s="1262">
        <v>104990.79282159101</v>
      </c>
      <c r="E38" s="1262">
        <v>4</v>
      </c>
      <c r="F38" s="1262">
        <v>9790.7340000000004</v>
      </c>
    </row>
    <row r="39" spans="1:6">
      <c r="A39" s="1261" t="s">
        <v>29</v>
      </c>
      <c r="B39" s="1261" t="s">
        <v>30</v>
      </c>
      <c r="C39" s="1262">
        <v>5210</v>
      </c>
      <c r="D39" s="1262">
        <v>70093058.109232306</v>
      </c>
      <c r="E39" s="1262">
        <v>7772</v>
      </c>
      <c r="F39" s="1262">
        <v>27614963</v>
      </c>
    </row>
    <row r="40" spans="1:6">
      <c r="A40" s="1261" t="s">
        <v>29</v>
      </c>
      <c r="B40" s="1261" t="s">
        <v>28</v>
      </c>
      <c r="C40" s="1262">
        <v>0</v>
      </c>
      <c r="D40" s="1262">
        <v>0</v>
      </c>
      <c r="E40" s="1262">
        <v>0</v>
      </c>
      <c r="F40" s="1262">
        <v>0</v>
      </c>
    </row>
    <row r="41" spans="1:6">
      <c r="A41" s="1261" t="s">
        <v>31</v>
      </c>
      <c r="B41" s="1261" t="s">
        <v>32</v>
      </c>
      <c r="C41" s="1262">
        <v>87</v>
      </c>
      <c r="D41" s="1262">
        <v>3631431.9732973101</v>
      </c>
      <c r="E41" s="1262">
        <v>252</v>
      </c>
      <c r="F41" s="1262">
        <v>3139558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9</v>
      </c>
      <c r="D44" s="1262">
        <v>1760124.52793233</v>
      </c>
      <c r="E44" s="1262">
        <v>24</v>
      </c>
      <c r="F44" s="1262">
        <v>1186477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30879.366754363899</v>
      </c>
      <c r="E47" s="1262">
        <v>6</v>
      </c>
      <c r="F47" s="1262">
        <v>110392.6</v>
      </c>
    </row>
    <row r="48" spans="1:6">
      <c r="A48" s="1261" t="s">
        <v>31</v>
      </c>
      <c r="B48" s="1261" t="s">
        <v>28</v>
      </c>
      <c r="C48" s="1262">
        <v>40</v>
      </c>
      <c r="D48" s="1262">
        <v>65011757.860955201</v>
      </c>
      <c r="E48" s="1262">
        <v>72</v>
      </c>
      <c r="F48" s="1262">
        <v>39971688</v>
      </c>
    </row>
    <row r="49" spans="1:6">
      <c r="A49" s="1261" t="s">
        <v>31</v>
      </c>
      <c r="B49" s="1261" t="s">
        <v>39</v>
      </c>
      <c r="C49" s="1262">
        <v>0</v>
      </c>
      <c r="D49" s="1262">
        <v>0</v>
      </c>
      <c r="E49" s="1262">
        <v>0</v>
      </c>
      <c r="F49" s="1262">
        <v>0</v>
      </c>
    </row>
    <row r="50" spans="1:6">
      <c r="A50" s="1261" t="s">
        <v>31</v>
      </c>
      <c r="B50" s="1261" t="s">
        <v>40</v>
      </c>
      <c r="C50" s="1262">
        <v>11</v>
      </c>
      <c r="D50" s="1262">
        <v>688775.15984519199</v>
      </c>
      <c r="E50" s="1262">
        <v>22</v>
      </c>
      <c r="F50" s="1262">
        <v>717817.6</v>
      </c>
    </row>
    <row r="51" spans="1:6">
      <c r="A51" s="1261" t="s">
        <v>41</v>
      </c>
      <c r="B51" s="1261" t="s">
        <v>42</v>
      </c>
      <c r="C51" s="1262">
        <v>14</v>
      </c>
      <c r="D51" s="1262">
        <v>310627.27653237397</v>
      </c>
      <c r="E51" s="1262">
        <v>303</v>
      </c>
      <c r="F51" s="1262">
        <v>8794888</v>
      </c>
    </row>
    <row r="52" spans="1:6">
      <c r="A52" s="1261" t="s">
        <v>41</v>
      </c>
      <c r="B52" s="1261" t="s">
        <v>28</v>
      </c>
      <c r="C52" s="1262">
        <v>7</v>
      </c>
      <c r="D52" s="1262">
        <v>167450.926372063</v>
      </c>
      <c r="E52" s="1262">
        <v>21</v>
      </c>
      <c r="F52" s="1262">
        <v>507968.5</v>
      </c>
    </row>
    <row r="53" spans="1:6">
      <c r="A53" s="1261" t="s">
        <v>43</v>
      </c>
      <c r="B53" s="1261" t="s">
        <v>44</v>
      </c>
      <c r="C53" s="1262">
        <v>137</v>
      </c>
      <c r="D53" s="1262">
        <v>2359624.8275122</v>
      </c>
      <c r="E53" s="1262">
        <v>296</v>
      </c>
      <c r="F53" s="1262">
        <v>1105015</v>
      </c>
    </row>
    <row r="54" spans="1:6">
      <c r="A54" s="1261" t="s">
        <v>45</v>
      </c>
      <c r="B54" s="1261" t="s">
        <v>46</v>
      </c>
      <c r="C54" s="1262">
        <v>0</v>
      </c>
      <c r="D54" s="1262">
        <v>0</v>
      </c>
      <c r="E54" s="1262">
        <v>1</v>
      </c>
      <c r="F54" s="1262">
        <v>1453170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37</v>
      </c>
      <c r="D57" s="1262">
        <v>2449873.1723503801</v>
      </c>
      <c r="E57" s="1262">
        <v>87</v>
      </c>
      <c r="F57" s="1262">
        <v>1718564</v>
      </c>
    </row>
    <row r="58" spans="1:6">
      <c r="A58" s="1261" t="s">
        <v>48</v>
      </c>
      <c r="B58" s="1261" t="s">
        <v>50</v>
      </c>
      <c r="C58" s="1262">
        <v>25</v>
      </c>
      <c r="D58" s="1262">
        <v>2135593.6126562301</v>
      </c>
      <c r="E58" s="1262">
        <v>40</v>
      </c>
      <c r="F58" s="1262">
        <v>1316942</v>
      </c>
    </row>
    <row r="59" spans="1:6">
      <c r="A59" s="1261" t="s">
        <v>48</v>
      </c>
      <c r="B59" s="1261" t="s">
        <v>51</v>
      </c>
      <c r="C59" s="1262">
        <v>114</v>
      </c>
      <c r="D59" s="1262">
        <v>4074063.7408536901</v>
      </c>
      <c r="E59" s="1262">
        <v>270</v>
      </c>
      <c r="F59" s="1262">
        <v>5892418</v>
      </c>
    </row>
    <row r="60" spans="1:6">
      <c r="A60" s="1261" t="s">
        <v>48</v>
      </c>
      <c r="B60" s="1261" t="s">
        <v>52</v>
      </c>
      <c r="C60" s="1262">
        <v>91</v>
      </c>
      <c r="D60" s="1262">
        <v>4869294.7876414098</v>
      </c>
      <c r="E60" s="1262">
        <v>124</v>
      </c>
      <c r="F60" s="1262">
        <v>3594158</v>
      </c>
    </row>
    <row r="61" spans="1:6">
      <c r="A61" s="1261" t="s">
        <v>48</v>
      </c>
      <c r="B61" s="1261" t="s">
        <v>53</v>
      </c>
      <c r="C61" s="1262">
        <v>96</v>
      </c>
      <c r="D61" s="1262">
        <v>3989578.1837392799</v>
      </c>
      <c r="E61" s="1262">
        <v>234</v>
      </c>
      <c r="F61" s="1262">
        <v>3657198</v>
      </c>
    </row>
    <row r="62" spans="1:6">
      <c r="A62" s="1261" t="s">
        <v>48</v>
      </c>
      <c r="B62" s="1261" t="s">
        <v>54</v>
      </c>
      <c r="C62" s="1262">
        <v>6</v>
      </c>
      <c r="D62" s="1262">
        <v>334502.01686532999</v>
      </c>
      <c r="E62" s="1262">
        <v>15</v>
      </c>
      <c r="F62" s="1262">
        <v>340191.2</v>
      </c>
    </row>
    <row r="63" spans="1:6">
      <c r="A63" s="1261" t="s">
        <v>48</v>
      </c>
      <c r="B63" s="1261" t="s">
        <v>28</v>
      </c>
      <c r="C63" s="1262">
        <v>148</v>
      </c>
      <c r="D63" s="1262">
        <v>9748433.4350199495</v>
      </c>
      <c r="E63" s="1262">
        <v>161</v>
      </c>
      <c r="F63" s="1262">
        <v>3860475</v>
      </c>
    </row>
    <row r="64" spans="1:6">
      <c r="A64" s="1261" t="s">
        <v>55</v>
      </c>
      <c r="B64" s="1261" t="s">
        <v>56</v>
      </c>
      <c r="C64" s="1262">
        <v>0</v>
      </c>
      <c r="D64" s="1262">
        <v>0</v>
      </c>
      <c r="E64" s="1262">
        <v>0</v>
      </c>
      <c r="F64" s="1262">
        <v>0</v>
      </c>
    </row>
    <row r="65" spans="1:6">
      <c r="A65" s="1261" t="s">
        <v>55</v>
      </c>
      <c r="B65" s="1261" t="s">
        <v>28</v>
      </c>
      <c r="C65" s="1262">
        <v>5</v>
      </c>
      <c r="D65" s="1262">
        <v>160330.32294662399</v>
      </c>
      <c r="E65" s="1262">
        <v>8</v>
      </c>
      <c r="F65" s="1262">
        <v>127417.7</v>
      </c>
    </row>
    <row r="66" spans="1:6">
      <c r="A66" s="1261" t="s">
        <v>55</v>
      </c>
      <c r="B66" s="1261" t="s">
        <v>57</v>
      </c>
      <c r="C66" s="1262">
        <v>0</v>
      </c>
      <c r="D66" s="1262">
        <v>0</v>
      </c>
      <c r="E66" s="1262">
        <v>9</v>
      </c>
      <c r="F66" s="1262">
        <v>264228.8</v>
      </c>
    </row>
    <row r="67" spans="1:6">
      <c r="A67" s="1261" t="s">
        <v>55</v>
      </c>
      <c r="B67" s="1261" t="s">
        <v>58</v>
      </c>
      <c r="C67" s="1262">
        <v>0</v>
      </c>
      <c r="D67" s="1262">
        <v>0</v>
      </c>
      <c r="E67" s="1262">
        <v>0</v>
      </c>
      <c r="F67" s="1262">
        <v>0</v>
      </c>
    </row>
    <row r="68" spans="1:6">
      <c r="A68" s="1256" t="s">
        <v>55</v>
      </c>
      <c r="B68" s="1256" t="s">
        <v>59</v>
      </c>
      <c r="C68" s="1264">
        <v>8</v>
      </c>
      <c r="D68" s="1264">
        <v>227533.15899439499</v>
      </c>
      <c r="E68" s="1264">
        <v>21</v>
      </c>
      <c r="F68" s="1264">
        <v>182898.3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54494380</v>
      </c>
      <c r="E73" s="440"/>
      <c r="F73" s="322"/>
    </row>
    <row r="74" spans="1:6">
      <c r="A74" s="1261" t="s">
        <v>63</v>
      </c>
      <c r="B74" s="1261" t="s">
        <v>670</v>
      </c>
      <c r="C74" s="1274" t="s">
        <v>672</v>
      </c>
      <c r="D74" s="1262">
        <v>8502406.3281227648</v>
      </c>
      <c r="E74" s="440"/>
      <c r="F74" s="322"/>
    </row>
    <row r="75" spans="1:6">
      <c r="A75" s="1261" t="s">
        <v>64</v>
      </c>
      <c r="B75" s="1261" t="s">
        <v>669</v>
      </c>
      <c r="C75" s="1274" t="s">
        <v>673</v>
      </c>
      <c r="D75" s="1262">
        <v>21588484</v>
      </c>
      <c r="E75" s="440"/>
      <c r="F75" s="322"/>
    </row>
    <row r="76" spans="1:6">
      <c r="A76" s="1261" t="s">
        <v>64</v>
      </c>
      <c r="B76" s="1261" t="s">
        <v>670</v>
      </c>
      <c r="C76" s="1274" t="s">
        <v>674</v>
      </c>
      <c r="D76" s="1262">
        <v>1129950.3281227651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183681.34375446968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14365.913149339714</v>
      </c>
      <c r="C90" s="322"/>
      <c r="D90" s="322"/>
      <c r="E90" s="322"/>
      <c r="F90" s="322"/>
    </row>
    <row r="91" spans="1:6">
      <c r="A91" s="1261" t="s">
        <v>67</v>
      </c>
      <c r="B91" s="1262">
        <v>4819.5904058163942</v>
      </c>
      <c r="C91" s="322"/>
      <c r="D91" s="322"/>
      <c r="E91" s="322"/>
      <c r="F91" s="322"/>
    </row>
    <row r="92" spans="1:6">
      <c r="A92" s="1256" t="s">
        <v>68</v>
      </c>
      <c r="B92" s="1257">
        <v>5304.5416186179073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3399</v>
      </c>
      <c r="C97" s="322"/>
      <c r="D97" s="322"/>
      <c r="E97" s="322"/>
      <c r="F97" s="322"/>
    </row>
    <row r="98" spans="1:6">
      <c r="A98" s="1261" t="s">
        <v>71</v>
      </c>
      <c r="B98" s="1262">
        <v>0</v>
      </c>
      <c r="C98" s="322"/>
      <c r="D98" s="322"/>
      <c r="E98" s="322"/>
      <c r="F98" s="322"/>
    </row>
    <row r="99" spans="1:6">
      <c r="A99" s="1261" t="s">
        <v>72</v>
      </c>
      <c r="B99" s="1262">
        <v>252</v>
      </c>
      <c r="C99" s="322"/>
      <c r="D99" s="322"/>
      <c r="E99" s="322"/>
      <c r="F99" s="322"/>
    </row>
    <row r="100" spans="1:6">
      <c r="A100" s="1261" t="s">
        <v>73</v>
      </c>
      <c r="B100" s="1262">
        <v>404</v>
      </c>
      <c r="C100" s="322"/>
      <c r="D100" s="322"/>
      <c r="E100" s="322"/>
      <c r="F100" s="322"/>
    </row>
    <row r="101" spans="1:6">
      <c r="A101" s="1261" t="s">
        <v>74</v>
      </c>
      <c r="B101" s="1262">
        <v>235</v>
      </c>
      <c r="C101" s="322"/>
      <c r="D101" s="322"/>
      <c r="E101" s="322"/>
      <c r="F101" s="322"/>
    </row>
    <row r="102" spans="1:6">
      <c r="A102" s="1261" t="s">
        <v>75</v>
      </c>
      <c r="B102" s="1262">
        <v>124</v>
      </c>
      <c r="C102" s="322"/>
      <c r="D102" s="322"/>
      <c r="E102" s="322"/>
      <c r="F102" s="322"/>
    </row>
    <row r="103" spans="1:6">
      <c r="A103" s="1261" t="s">
        <v>76</v>
      </c>
      <c r="B103" s="1262">
        <v>575</v>
      </c>
      <c r="C103" s="322"/>
      <c r="D103" s="322"/>
      <c r="E103" s="322"/>
      <c r="F103" s="322"/>
    </row>
    <row r="104" spans="1:6">
      <c r="A104" s="1261" t="s">
        <v>77</v>
      </c>
      <c r="B104" s="1262">
        <v>2396</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15</v>
      </c>
      <c r="D123" s="322"/>
      <c r="E123" s="322"/>
      <c r="F123" s="322"/>
    </row>
    <row r="124" spans="1:6">
      <c r="A124" s="1261" t="s">
        <v>88</v>
      </c>
      <c r="B124" s="1262">
        <v>2</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230</v>
      </c>
      <c r="C129" s="322"/>
      <c r="D129" s="322"/>
      <c r="E129" s="322"/>
      <c r="F129" s="322"/>
    </row>
    <row r="130" spans="1:6">
      <c r="A130" s="1261" t="s">
        <v>284</v>
      </c>
      <c r="B130" s="1262">
        <v>3</v>
      </c>
      <c r="C130" s="322"/>
      <c r="D130" s="322"/>
      <c r="E130" s="322"/>
      <c r="F130" s="322"/>
    </row>
    <row r="131" spans="1:6">
      <c r="A131" s="1261" t="s">
        <v>285</v>
      </c>
      <c r="B131" s="1262">
        <v>3</v>
      </c>
      <c r="C131" s="322"/>
      <c r="D131" s="322"/>
      <c r="E131" s="322"/>
      <c r="F131" s="322"/>
    </row>
    <row r="132" spans="1:6">
      <c r="A132" s="1256" t="s">
        <v>286</v>
      </c>
      <c r="B132" s="1257">
        <v>15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110940.82697209224</v>
      </c>
      <c r="C3" s="43" t="s">
        <v>163</v>
      </c>
      <c r="D3" s="43"/>
      <c r="E3" s="153"/>
      <c r="F3" s="43"/>
      <c r="G3" s="43"/>
      <c r="H3" s="43"/>
      <c r="I3" s="43"/>
      <c r="J3" s="43"/>
      <c r="K3" s="96"/>
    </row>
    <row r="4" spans="1:11">
      <c r="A4" s="349" t="s">
        <v>164</v>
      </c>
      <c r="B4" s="49">
        <f>IF(ISERROR('SEAP template'!B78+'SEAP template'!C78),0,'SEAP template'!B78+'SEAP template'!C78)</f>
        <v>25615.045173774015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0.16997347407705829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1607.1428571428571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1453.17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1453.17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0.16997347407705829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247.0003533245588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27614.963</v>
      </c>
      <c r="C5" s="17">
        <f>IF(ISERROR('Eigen informatie GS &amp; warmtenet'!B57),0,'Eigen informatie GS &amp; warmtenet'!B57)</f>
        <v>0</v>
      </c>
      <c r="D5" s="30">
        <f>(SUM(HH_hh_gas_kWh,HH_rest_gas_kWh)/1000)*0.902</f>
        <v>63223.938414527547</v>
      </c>
      <c r="E5" s="17">
        <f>B32*B41</f>
        <v>1608.3890838975342</v>
      </c>
      <c r="F5" s="17">
        <f>B36*B45</f>
        <v>50739.657736202244</v>
      </c>
      <c r="G5" s="18"/>
      <c r="H5" s="17"/>
      <c r="I5" s="17"/>
      <c r="J5" s="17">
        <f>B35*B44+C35*C44</f>
        <v>1183.246901645992</v>
      </c>
      <c r="K5" s="17"/>
      <c r="L5" s="17"/>
      <c r="M5" s="17"/>
      <c r="N5" s="17">
        <f>B34*B43+C34*C43</f>
        <v>9394.1861883500496</v>
      </c>
      <c r="O5" s="17">
        <f>B52*B53*B54</f>
        <v>386.14333333333337</v>
      </c>
      <c r="P5" s="17">
        <f>B60*B61*B62/1000-B60*B61*B62/1000/B63</f>
        <v>533.86666666666667</v>
      </c>
    </row>
    <row r="6" spans="1:16">
      <c r="A6" s="16" t="s">
        <v>593</v>
      </c>
      <c r="B6" s="717">
        <f>kWh_PV_kleiner_dan_10kW</f>
        <v>4819.5904058163942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32434.553405816394</v>
      </c>
      <c r="C8" s="21">
        <f>C5</f>
        <v>0</v>
      </c>
      <c r="D8" s="21">
        <f>D5</f>
        <v>63223.938414527547</v>
      </c>
      <c r="E8" s="21">
        <f>E5</f>
        <v>1608.3890838975342</v>
      </c>
      <c r="F8" s="21">
        <f>F5</f>
        <v>50739.657736202244</v>
      </c>
      <c r="G8" s="21"/>
      <c r="H8" s="21"/>
      <c r="I8" s="21"/>
      <c r="J8" s="21">
        <f>J5</f>
        <v>1183.246901645992</v>
      </c>
      <c r="K8" s="21"/>
      <c r="L8" s="21">
        <f>L5</f>
        <v>0</v>
      </c>
      <c r="M8" s="21">
        <f>M5</f>
        <v>0</v>
      </c>
      <c r="N8" s="21">
        <f>N5</f>
        <v>9394.1861883500496</v>
      </c>
      <c r="O8" s="21">
        <f>O5</f>
        <v>386.14333333333337</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0.16997347407705829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5513.0137225244953</v>
      </c>
      <c r="C12" s="23">
        <f ca="1">C10*C8</f>
        <v>0</v>
      </c>
      <c r="D12" s="23">
        <f>D8*D10</f>
        <v>12771.235559734565</v>
      </c>
      <c r="E12" s="23">
        <f>E10*E8</f>
        <v>365.10432204474029</v>
      </c>
      <c r="F12" s="23">
        <f>F10*F8</f>
        <v>13547.488615566001</v>
      </c>
      <c r="G12" s="23"/>
      <c r="H12" s="23"/>
      <c r="I12" s="23"/>
      <c r="J12" s="23">
        <f>J10*J8</f>
        <v>418.86940318268114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8173</v>
      </c>
      <c r="C26" s="36"/>
      <c r="D26" s="224"/>
    </row>
    <row r="27" spans="1:5" s="15" customFormat="1">
      <c r="A27" s="226" t="s">
        <v>696</v>
      </c>
      <c r="B27" s="37">
        <f>SUM(HH_hh_gas_aantal,HH_rest_gas_aantal)</f>
        <v>5210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4949.5</v>
      </c>
      <c r="C31" s="34" t="s">
        <v>104</v>
      </c>
      <c r="D31" s="170"/>
    </row>
    <row r="32" spans="1:5">
      <c r="A32" s="167" t="s">
        <v>72</v>
      </c>
      <c r="B32" s="33">
        <f>IF((B21*($B$26-($B$27-0.05*$B$27)-$B$60))&lt;0,0,B21*($B$26-($B$27-0.05*$B$27)-$B$60))</f>
        <v>20.148331946711828</v>
      </c>
      <c r="C32" s="34" t="s">
        <v>104</v>
      </c>
      <c r="D32" s="170"/>
    </row>
    <row r="33" spans="1:6">
      <c r="A33" s="167" t="s">
        <v>73</v>
      </c>
      <c r="B33" s="33">
        <f>IF((B22*($B$26-($B$27-0.05*$B$27)-$B$60))&lt;0,0,B22*($B$26-($B$27-0.05*$B$27)-$B$60))</f>
        <v>701.63811152213464</v>
      </c>
      <c r="C33" s="34" t="s">
        <v>104</v>
      </c>
      <c r="D33" s="170"/>
    </row>
    <row r="34" spans="1:6">
      <c r="A34" s="167" t="s">
        <v>74</v>
      </c>
      <c r="B34" s="33">
        <f>IF((B24*($B$26-($B$27-0.05*$B$27)-$B$60))&lt;0,0,B24*($B$26-($B$27-0.05*$B$27)-$B$60))</f>
        <v>139.27206114228261</v>
      </c>
      <c r="C34" s="33">
        <f>B26*C24</f>
        <v>1672.1932044554301</v>
      </c>
      <c r="D34" s="229"/>
    </row>
    <row r="35" spans="1:6">
      <c r="A35" s="167" t="s">
        <v>76</v>
      </c>
      <c r="B35" s="33">
        <f>IF((B19*($B$26-($B$27-0.05*$B$27)-$B$60))&lt;0,0,B19*($B$26-($B$27-0.05*$B$27)-$B$60))</f>
        <v>68.042322211411914</v>
      </c>
      <c r="C35" s="33">
        <f>B35/2</f>
        <v>34.021161105705957</v>
      </c>
      <c r="D35" s="229"/>
    </row>
    <row r="36" spans="1:6">
      <c r="A36" s="167" t="s">
        <v>77</v>
      </c>
      <c r="B36" s="33">
        <f>IF((B18*($B$26-($B$27-0.05*$B$27)-$B$60))&lt;0,0,B18*($B$26-($B$27-0.05*$B$27)-$B$60))</f>
        <v>2266.3991731774599</v>
      </c>
      <c r="C36" s="34" t="s">
        <v>104</v>
      </c>
      <c r="D36" s="170"/>
    </row>
    <row r="37" spans="1:6">
      <c r="A37" s="167" t="s">
        <v>78</v>
      </c>
      <c r="B37" s="33">
        <f>B60</f>
        <v>28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20379.946199999998</v>
      </c>
      <c r="C5" s="17">
        <f>IF(ISERROR('Eigen informatie GS &amp; warmtenet'!B58),0,'Eigen informatie GS &amp; warmtenet'!B58)</f>
        <v>0</v>
      </c>
      <c r="D5" s="30">
        <f>SUM(D6:D12)</f>
        <v>24896.407732111897</v>
      </c>
      <c r="E5" s="17">
        <f>SUM(E6:E12)</f>
        <v>320.80974160412188</v>
      </c>
      <c r="F5" s="17">
        <f>SUM(F6:F12)</f>
        <v>4303.6124903252685</v>
      </c>
      <c r="G5" s="18"/>
      <c r="H5" s="17"/>
      <c r="I5" s="17"/>
      <c r="J5" s="17">
        <f>SUM(J6:J12)</f>
        <v>0</v>
      </c>
      <c r="K5" s="17"/>
      <c r="L5" s="17"/>
      <c r="M5" s="17"/>
      <c r="N5" s="17">
        <f>SUM(N6:N12)</f>
        <v>1113.1479401642887</v>
      </c>
      <c r="O5" s="17">
        <f>B38*B39*B40</f>
        <v>4.6900000000000004</v>
      </c>
      <c r="P5" s="17">
        <f>B46*B47*B48/1000-B46*B47*B48/1000/B49</f>
        <v>57.2</v>
      </c>
      <c r="R5" s="32"/>
    </row>
    <row r="6" spans="1:18">
      <c r="A6" s="32" t="s">
        <v>53</v>
      </c>
      <c r="B6" s="37">
        <f>B26</f>
        <v>3657.1979999999999</v>
      </c>
      <c r="C6" s="33"/>
      <c r="D6" s="37">
        <f>IF(ISERROR(TER_kantoor_gas_kWh/1000),0,TER_kantoor_gas_kWh/1000)*0.902</f>
        <v>3598.5995217328305</v>
      </c>
      <c r="E6" s="33">
        <f>$C$26*'E Balans VL '!I12/100/3.6*1000000</f>
        <v>5.1288509096489979E-2</v>
      </c>
      <c r="F6" s="33">
        <f>$C$26*('E Balans VL '!L12+'E Balans VL '!N12)/100/3.6*1000000</f>
        <v>508.3445209002154</v>
      </c>
      <c r="G6" s="34"/>
      <c r="H6" s="33"/>
      <c r="I6" s="33"/>
      <c r="J6" s="33">
        <f>$C$26*('E Balans VL '!D12+'E Balans VL '!E12)/100/3.6*1000000</f>
        <v>0</v>
      </c>
      <c r="K6" s="33"/>
      <c r="L6" s="33"/>
      <c r="M6" s="33"/>
      <c r="N6" s="33">
        <f>$C$26*'E Balans VL '!Y12/100/3.6*1000000</f>
        <v>45.264345236563734</v>
      </c>
      <c r="O6" s="33"/>
      <c r="P6" s="33"/>
      <c r="R6" s="32"/>
    </row>
    <row r="7" spans="1:18">
      <c r="A7" s="32" t="s">
        <v>52</v>
      </c>
      <c r="B7" s="37">
        <f t="shared" ref="B7:B12" si="0">B27</f>
        <v>3594.1579999999999</v>
      </c>
      <c r="C7" s="33"/>
      <c r="D7" s="37">
        <f>IF(ISERROR(TER_horeca_gas_kWh/1000),0,TER_horeca_gas_kWh/1000)*0.902</f>
        <v>4392.1038984525521</v>
      </c>
      <c r="E7" s="33">
        <f>$C$27*'E Balans VL '!I9/100/3.6*1000000</f>
        <v>51.303873851037523</v>
      </c>
      <c r="F7" s="33">
        <f>$C$27*('E Balans VL '!L9+'E Balans VL '!N9)/100/3.6*1000000</f>
        <v>558.74704739455092</v>
      </c>
      <c r="G7" s="34"/>
      <c r="H7" s="33"/>
      <c r="I7" s="33"/>
      <c r="J7" s="33">
        <f>$C$27*('E Balans VL '!D9+'E Balans VL '!E9)/100/3.6*1000000</f>
        <v>0</v>
      </c>
      <c r="K7" s="33"/>
      <c r="L7" s="33"/>
      <c r="M7" s="33"/>
      <c r="N7" s="33">
        <f>$C$27*'E Balans VL '!Y9/100/3.6*1000000</f>
        <v>0.92615796552648444</v>
      </c>
      <c r="O7" s="33"/>
      <c r="P7" s="33"/>
      <c r="R7" s="32"/>
    </row>
    <row r="8" spans="1:18">
      <c r="A8" s="6" t="s">
        <v>51</v>
      </c>
      <c r="B8" s="37">
        <f t="shared" si="0"/>
        <v>5892.4179999999997</v>
      </c>
      <c r="C8" s="33"/>
      <c r="D8" s="37">
        <f>IF(ISERROR(TER_handel_gas_kWh/1000),0,TER_handel_gas_kWh/1000)*0.902</f>
        <v>3674.8054942500285</v>
      </c>
      <c r="E8" s="33">
        <f>$C$28*'E Balans VL '!I13/100/3.6*1000000</f>
        <v>159.47966072794219</v>
      </c>
      <c r="F8" s="33">
        <f>$C$28*('E Balans VL '!L13+'E Balans VL '!N13)/100/3.6*1000000</f>
        <v>914.98271614657824</v>
      </c>
      <c r="G8" s="34"/>
      <c r="H8" s="33"/>
      <c r="I8" s="33"/>
      <c r="J8" s="33">
        <f>$C$28*('E Balans VL '!D13+'E Balans VL '!E13)/100/3.6*1000000</f>
        <v>0</v>
      </c>
      <c r="K8" s="33"/>
      <c r="L8" s="33"/>
      <c r="M8" s="33"/>
      <c r="N8" s="33">
        <f>$C$28*'E Balans VL '!Y13/100/3.6*1000000</f>
        <v>47.744374135160861</v>
      </c>
      <c r="O8" s="33"/>
      <c r="P8" s="33"/>
      <c r="R8" s="32"/>
    </row>
    <row r="9" spans="1:18">
      <c r="A9" s="32" t="s">
        <v>50</v>
      </c>
      <c r="B9" s="37">
        <f t="shared" si="0"/>
        <v>1316.942</v>
      </c>
      <c r="C9" s="33"/>
      <c r="D9" s="37">
        <f>IF(ISERROR(TER_gezond_gas_kWh/1000),0,TER_gezond_gas_kWh/1000)*0.902</f>
        <v>1926.3054386159197</v>
      </c>
      <c r="E9" s="33">
        <f>$C$29*'E Balans VL '!I10/100/3.6*1000000</f>
        <v>8.2176496220408901E-2</v>
      </c>
      <c r="F9" s="33">
        <f>$C$29*('E Balans VL '!L10+'E Balans VL '!N10)/100/3.6*1000000</f>
        <v>170.49068096739629</v>
      </c>
      <c r="G9" s="34"/>
      <c r="H9" s="33"/>
      <c r="I9" s="33"/>
      <c r="J9" s="33">
        <f>$C$29*('E Balans VL '!D10+'E Balans VL '!E10)/100/3.6*1000000</f>
        <v>0</v>
      </c>
      <c r="K9" s="33"/>
      <c r="L9" s="33"/>
      <c r="M9" s="33"/>
      <c r="N9" s="33">
        <f>$C$29*'E Balans VL '!Y10/100/3.6*1000000</f>
        <v>10.797637489900426</v>
      </c>
      <c r="O9" s="33"/>
      <c r="P9" s="33"/>
      <c r="R9" s="32"/>
    </row>
    <row r="10" spans="1:18">
      <c r="A10" s="32" t="s">
        <v>49</v>
      </c>
      <c r="B10" s="37">
        <f t="shared" si="0"/>
        <v>1718.5640000000001</v>
      </c>
      <c r="C10" s="33"/>
      <c r="D10" s="37">
        <f>IF(ISERROR(TER_ander_gas_kWh/1000),0,TER_ander_gas_kWh/1000)*0.902</f>
        <v>2209.7856014600429</v>
      </c>
      <c r="E10" s="33">
        <f>$C$30*'E Balans VL '!I14/100/3.6*1000000</f>
        <v>51.882644833151979</v>
      </c>
      <c r="F10" s="33">
        <f>$C$30*('E Balans VL '!L14+'E Balans VL '!N14)/100/3.6*1000000</f>
        <v>1088.1051380217832</v>
      </c>
      <c r="G10" s="34"/>
      <c r="H10" s="33"/>
      <c r="I10" s="33"/>
      <c r="J10" s="33">
        <f>$C$30*('E Balans VL '!D14+'E Balans VL '!E14)/100/3.6*1000000</f>
        <v>0</v>
      </c>
      <c r="K10" s="33"/>
      <c r="L10" s="33"/>
      <c r="M10" s="33"/>
      <c r="N10" s="33">
        <f>$C$30*'E Balans VL '!Y14/100/3.6*1000000</f>
        <v>695.61066501838116</v>
      </c>
      <c r="O10" s="33"/>
      <c r="P10" s="33"/>
      <c r="R10" s="32"/>
    </row>
    <row r="11" spans="1:18">
      <c r="A11" s="32" t="s">
        <v>54</v>
      </c>
      <c r="B11" s="37">
        <f t="shared" si="0"/>
        <v>340.19120000000004</v>
      </c>
      <c r="C11" s="33"/>
      <c r="D11" s="37">
        <f>IF(ISERROR(TER_onderwijs_gas_kWh/1000),0,TER_onderwijs_gas_kWh/1000)*0.902</f>
        <v>301.72081921252766</v>
      </c>
      <c r="E11" s="33">
        <f>$C$31*'E Balans VL '!I11/100/3.6*1000000</f>
        <v>0.42842812888343873</v>
      </c>
      <c r="F11" s="33">
        <f>$C$31*('E Balans VL '!L11+'E Balans VL '!N11)/100/3.6*1000000</f>
        <v>126.36555937056579</v>
      </c>
      <c r="G11" s="34"/>
      <c r="H11" s="33"/>
      <c r="I11" s="33"/>
      <c r="J11" s="33">
        <f>$C$31*('E Balans VL '!D11+'E Balans VL '!E11)/100/3.6*1000000</f>
        <v>0</v>
      </c>
      <c r="K11" s="33"/>
      <c r="L11" s="33"/>
      <c r="M11" s="33"/>
      <c r="N11" s="33">
        <f>$C$31*'E Balans VL '!Y11/100/3.6*1000000</f>
        <v>0.43078948894018654</v>
      </c>
      <c r="O11" s="33"/>
      <c r="P11" s="33"/>
      <c r="R11" s="32"/>
    </row>
    <row r="12" spans="1:18">
      <c r="A12" s="32" t="s">
        <v>249</v>
      </c>
      <c r="B12" s="37">
        <f t="shared" si="0"/>
        <v>3860.4749999999999</v>
      </c>
      <c r="C12" s="33"/>
      <c r="D12" s="37">
        <f>IF(ISERROR(TER_rest_gas_kWh/1000),0,TER_rest_gas_kWh/1000)*0.902</f>
        <v>8793.0869583879939</v>
      </c>
      <c r="E12" s="33">
        <f>$C$32*'E Balans VL '!I8/100/3.6*1000000</f>
        <v>57.58166905778991</v>
      </c>
      <c r="F12" s="33">
        <f>$C$32*('E Balans VL '!L8+'E Balans VL '!N8)/100/3.6*1000000</f>
        <v>936.57682752417838</v>
      </c>
      <c r="G12" s="34"/>
      <c r="H12" s="33"/>
      <c r="I12" s="33"/>
      <c r="J12" s="33">
        <f>$C$32*('E Balans VL '!D8+'E Balans VL '!E8)/100/3.6*1000000</f>
        <v>0</v>
      </c>
      <c r="K12" s="33"/>
      <c r="L12" s="33"/>
      <c r="M12" s="33"/>
      <c r="N12" s="33">
        <f>$C$32*'E Balans VL '!Y8/100/3.6*1000000</f>
        <v>312.37397082981579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20379.946199999998</v>
      </c>
      <c r="C16" s="21">
        <f t="shared" ca="1" si="1"/>
        <v>0</v>
      </c>
      <c r="D16" s="21">
        <f t="shared" ca="1" si="1"/>
        <v>24896.407732111897</v>
      </c>
      <c r="E16" s="21">
        <f t="shared" si="1"/>
        <v>320.80974160412188</v>
      </c>
      <c r="F16" s="21">
        <f t="shared" ca="1" si="1"/>
        <v>4303.6124903252685</v>
      </c>
      <c r="G16" s="21">
        <f t="shared" si="1"/>
        <v>0</v>
      </c>
      <c r="H16" s="21">
        <f t="shared" si="1"/>
        <v>0</v>
      </c>
      <c r="I16" s="21">
        <f t="shared" si="1"/>
        <v>0</v>
      </c>
      <c r="J16" s="21">
        <f t="shared" si="1"/>
        <v>0</v>
      </c>
      <c r="K16" s="21">
        <f t="shared" si="1"/>
        <v>0</v>
      </c>
      <c r="L16" s="21">
        <f t="shared" ca="1" si="1"/>
        <v>0</v>
      </c>
      <c r="M16" s="21">
        <f t="shared" si="1"/>
        <v>0</v>
      </c>
      <c r="N16" s="21">
        <f t="shared" ca="1" si="1"/>
        <v>1113.1479401642887</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0.16997347407705829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3464.0502571175425</v>
      </c>
      <c r="C20" s="23">
        <f t="shared" ref="C20:P20" ca="1" si="2">C16*C18</f>
        <v>0</v>
      </c>
      <c r="D20" s="23">
        <f t="shared" ca="1" si="2"/>
        <v>5029.0743618866036</v>
      </c>
      <c r="E20" s="23">
        <f t="shared" si="2"/>
        <v>72.823811344135663</v>
      </c>
      <c r="F20" s="23">
        <f t="shared" ca="1" si="2"/>
        <v>1149.0645349168467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3657.1979999999999</v>
      </c>
      <c r="C26" s="39">
        <f>IF(ISERROR(B26*3.6/1000000/'E Balans VL '!Z12*100),0,B26*3.6/1000000/'E Balans VL '!Z12*100)</f>
        <v>9.93363504730813E-2</v>
      </c>
      <c r="D26" s="232" t="s">
        <v>651</v>
      </c>
      <c r="F26" s="6"/>
    </row>
    <row r="27" spans="1:18">
      <c r="A27" s="227" t="s">
        <v>52</v>
      </c>
      <c r="B27" s="33">
        <f>IF(ISERROR(TER_horeca_ele_kWh/1000),0,TER_horeca_ele_kWh/1000)</f>
        <v>3594.1579999999999</v>
      </c>
      <c r="C27" s="39">
        <f>IF(ISERROR(B27*3.6/1000000/'E Balans VL '!Z9*100),0,B27*3.6/1000000/'E Balans VL '!Z9*100)</f>
        <v>0.28881858902555113</v>
      </c>
      <c r="D27" s="232" t="s">
        <v>651</v>
      </c>
      <c r="F27" s="6"/>
    </row>
    <row r="28" spans="1:18">
      <c r="A28" s="167" t="s">
        <v>51</v>
      </c>
      <c r="B28" s="33">
        <f>IF(ISERROR(TER_handel_ele_kWh/1000),0,TER_handel_ele_kWh/1000)</f>
        <v>5892.4179999999997</v>
      </c>
      <c r="C28" s="39">
        <f>IF(ISERROR(B28*3.6/1000000/'E Balans VL '!Z13*100),0,B28*3.6/1000000/'E Balans VL '!Z13*100)</f>
        <v>0.17403331923375207</v>
      </c>
      <c r="D28" s="232" t="s">
        <v>651</v>
      </c>
      <c r="F28" s="6"/>
    </row>
    <row r="29" spans="1:18">
      <c r="A29" s="227" t="s">
        <v>50</v>
      </c>
      <c r="B29" s="33">
        <f>IF(ISERROR(TER_gezond_ele_kWh/1000),0,TER_gezond_ele_kWh/1000)</f>
        <v>1316.942</v>
      </c>
      <c r="C29" s="39">
        <f>IF(ISERROR(B29*3.6/1000000/'E Balans VL '!Z10*100),0,B29*3.6/1000000/'E Balans VL '!Z10*100)</f>
        <v>0.15061337918773765</v>
      </c>
      <c r="D29" s="232" t="s">
        <v>651</v>
      </c>
      <c r="F29" s="6"/>
    </row>
    <row r="30" spans="1:18">
      <c r="A30" s="227" t="s">
        <v>49</v>
      </c>
      <c r="B30" s="33">
        <f>IF(ISERROR(TER_ander_ele_kWh/1000),0,TER_ander_ele_kWh/1000)</f>
        <v>1718.5640000000001</v>
      </c>
      <c r="C30" s="39">
        <f>IF(ISERROR(B30*3.6/1000000/'E Balans VL '!Z14*100),0,B30*3.6/1000000/'E Balans VL '!Z14*100)</f>
        <v>8.0312076540728583E-2</v>
      </c>
      <c r="D30" s="232" t="s">
        <v>651</v>
      </c>
      <c r="F30" s="6"/>
    </row>
    <row r="31" spans="1:18">
      <c r="A31" s="227" t="s">
        <v>54</v>
      </c>
      <c r="B31" s="33">
        <f>IF(ISERROR(TER_onderwijs_ele_kWh/1000),0,TER_onderwijs_ele_kWh/1000)</f>
        <v>340.19120000000004</v>
      </c>
      <c r="C31" s="39">
        <f>IF(ISERROR(B31*3.6/1000000/'E Balans VL '!Z11*100),0,B31*3.6/1000000/'E Balans VL '!Z11*100)</f>
        <v>8.9833801106598124E-2</v>
      </c>
      <c r="D31" s="232" t="s">
        <v>651</v>
      </c>
    </row>
    <row r="32" spans="1:18">
      <c r="A32" s="227" t="s">
        <v>249</v>
      </c>
      <c r="B32" s="33">
        <f>IF(ISERROR(TER_rest_ele_kWh/1000),0,TER_rest_ele_kWh/1000)</f>
        <v>3860.4749999999999</v>
      </c>
      <c r="C32" s="39">
        <f>IF(ISERROR(B32*3.6/1000000/'E Balans VL '!Z8*100),0,B32*3.6/1000000/'E Balans VL '!Z8*100)</f>
        <v>3.2981989669209621E-2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45125.933199999999</v>
      </c>
      <c r="C5" s="17">
        <f>IF(ISERROR('Eigen informatie GS &amp; warmtenet'!B59),0,'Eigen informatie GS &amp; warmtenet'!B59)</f>
        <v>0</v>
      </c>
      <c r="D5" s="30">
        <f>SUM(D6:D15)</f>
        <v>64152.917937683531</v>
      </c>
      <c r="E5" s="17">
        <f>SUM(E6:E15)</f>
        <v>2933.9735275362918</v>
      </c>
      <c r="F5" s="17">
        <f>SUM(F6:F15)</f>
        <v>13315.559697348719</v>
      </c>
      <c r="G5" s="18"/>
      <c r="H5" s="17"/>
      <c r="I5" s="17"/>
      <c r="J5" s="17">
        <f>SUM(J6:J15)</f>
        <v>184.87416011902135</v>
      </c>
      <c r="K5" s="17"/>
      <c r="L5" s="17"/>
      <c r="M5" s="17"/>
      <c r="N5" s="17">
        <f>SUM(N6:N15)</f>
        <v>2846.2985169382873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1186.4770000000001</v>
      </c>
      <c r="C8" s="33"/>
      <c r="D8" s="37">
        <f>IF( ISERROR(IND_metaal_Gas_kWH/1000),0,IND_metaal_Gas_kWH/1000)*0.902</f>
        <v>1587.6323241949617</v>
      </c>
      <c r="E8" s="33">
        <f>C30*'E Balans VL '!I18/100/3.6*1000000</f>
        <v>29.693366729463239</v>
      </c>
      <c r="F8" s="33">
        <f>C30*'E Balans VL '!L18/100/3.6*1000000+C30*'E Balans VL '!N18/100/3.6*1000000</f>
        <v>371.84779364011763</v>
      </c>
      <c r="G8" s="34"/>
      <c r="H8" s="33"/>
      <c r="I8" s="33"/>
      <c r="J8" s="40">
        <f>C30*'E Balans VL '!D18/100/3.6*1000000+C30*'E Balans VL '!E18/100/3.6*1000000</f>
        <v>0</v>
      </c>
      <c r="K8" s="33"/>
      <c r="L8" s="33"/>
      <c r="M8" s="33"/>
      <c r="N8" s="33">
        <f>C30*'E Balans VL '!Y18/100/3.6*1000000</f>
        <v>29.807381416321245</v>
      </c>
      <c r="O8" s="33"/>
      <c r="P8" s="33"/>
      <c r="R8" s="32"/>
    </row>
    <row r="9" spans="1:18">
      <c r="A9" s="6" t="s">
        <v>32</v>
      </c>
      <c r="B9" s="37">
        <f t="shared" si="0"/>
        <v>3139.558</v>
      </c>
      <c r="C9" s="33"/>
      <c r="D9" s="37">
        <f>IF( ISERROR(IND_andere_gas_kWh/1000),0,IND_andere_gas_kWh/1000)*0.902</f>
        <v>3275.5516399141738</v>
      </c>
      <c r="E9" s="33">
        <f>C31*'E Balans VL '!I19/100/3.6*1000000</f>
        <v>863.24968085408887</v>
      </c>
      <c r="F9" s="33">
        <f>C31*'E Balans VL '!L19/100/3.6*1000000+C31*'E Balans VL '!N19/100/3.6*1000000</f>
        <v>2474.5180263168281</v>
      </c>
      <c r="G9" s="34"/>
      <c r="H9" s="33"/>
      <c r="I9" s="33"/>
      <c r="J9" s="40">
        <f>C31*'E Balans VL '!D19/100/3.6*1000000+C31*'E Balans VL '!E19/100/3.6*1000000</f>
        <v>0</v>
      </c>
      <c r="K9" s="33"/>
      <c r="L9" s="33"/>
      <c r="M9" s="33"/>
      <c r="N9" s="33">
        <f>C31*'E Balans VL '!Y19/100/3.6*1000000</f>
        <v>252.92477088965683</v>
      </c>
      <c r="O9" s="33"/>
      <c r="P9" s="33"/>
      <c r="R9" s="32"/>
    </row>
    <row r="10" spans="1:18">
      <c r="A10" s="6" t="s">
        <v>40</v>
      </c>
      <c r="B10" s="37">
        <f t="shared" si="0"/>
        <v>717.81759999999997</v>
      </c>
      <c r="C10" s="33"/>
      <c r="D10" s="37">
        <f>IF( ISERROR(IND_voed_gas_kWh/1000),0,IND_voed_gas_kWh/1000)*0.902</f>
        <v>621.2751941803632</v>
      </c>
      <c r="E10" s="33">
        <f>C32*'E Balans VL '!I20/100/3.6*1000000</f>
        <v>7.3177549840277241</v>
      </c>
      <c r="F10" s="33">
        <f>C32*'E Balans VL '!L20/100/3.6*1000000+C32*'E Balans VL '!N20/100/3.6*1000000</f>
        <v>1355.9529568842891</v>
      </c>
      <c r="G10" s="34"/>
      <c r="H10" s="33"/>
      <c r="I10" s="33"/>
      <c r="J10" s="40">
        <f>C32*'E Balans VL '!D20/100/3.6*1000000+C32*'E Balans VL '!E20/100/3.6*1000000</f>
        <v>17.179723877820742</v>
      </c>
      <c r="K10" s="33"/>
      <c r="L10" s="33"/>
      <c r="M10" s="33"/>
      <c r="N10" s="33">
        <f>C32*'E Balans VL '!Y20/100/3.6*1000000</f>
        <v>378.37255764870321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110.3926</v>
      </c>
      <c r="C13" s="33"/>
      <c r="D13" s="37">
        <f>IF( ISERROR(IND_papier_gas_kWh/1000),0,IND_papier_gas_kWh/1000)*0.902</f>
        <v>27.853188812436237</v>
      </c>
      <c r="E13" s="33">
        <f>C35*'E Balans VL '!I23/100/3.6*1000000</f>
        <v>0.22863052592107533</v>
      </c>
      <c r="F13" s="33">
        <f>C35*'E Balans VL '!L23/100/3.6*1000000+C35*'E Balans VL '!N23/100/3.6*1000000</f>
        <v>2.1893219209242458</v>
      </c>
      <c r="G13" s="34"/>
      <c r="H13" s="33"/>
      <c r="I13" s="33"/>
      <c r="J13" s="40">
        <f>C35*'E Balans VL '!D23/100/3.6*1000000+C35*'E Balans VL '!E23/100/3.6*1000000</f>
        <v>0</v>
      </c>
      <c r="K13" s="33"/>
      <c r="L13" s="33"/>
      <c r="M13" s="33"/>
      <c r="N13" s="33">
        <f>C35*'E Balans VL '!Y23/100/3.6*1000000</f>
        <v>7.6562847945708583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39971.688000000002</v>
      </c>
      <c r="C15" s="33"/>
      <c r="D15" s="37">
        <f>IF( ISERROR(IND_rest_gas_kWh/1000),0,IND_rest_gas_kWh/1000)*0.902</f>
        <v>58640.605590581596</v>
      </c>
      <c r="E15" s="33">
        <f>C37*'E Balans VL '!I15/100/3.6*1000000</f>
        <v>2033.4840944427908</v>
      </c>
      <c r="F15" s="33">
        <f>C37*'E Balans VL '!L15/100/3.6*1000000+C37*'E Balans VL '!N15/100/3.6*1000000</f>
        <v>9111.0515985865604</v>
      </c>
      <c r="G15" s="34"/>
      <c r="H15" s="33"/>
      <c r="I15" s="33"/>
      <c r="J15" s="40">
        <f>C37*'E Balans VL '!D15/100/3.6*1000000+C37*'E Balans VL '!E15/100/3.6*1000000</f>
        <v>167.69443624120061</v>
      </c>
      <c r="K15" s="33"/>
      <c r="L15" s="33"/>
      <c r="M15" s="33"/>
      <c r="N15" s="33">
        <f>C37*'E Balans VL '!Y15/100/3.6*1000000</f>
        <v>2177.5375221890349</v>
      </c>
      <c r="O15" s="33"/>
      <c r="P15" s="33"/>
      <c r="R15" s="32"/>
    </row>
    <row r="16" spans="1:18">
      <c r="A16" s="16" t="s">
        <v>480</v>
      </c>
      <c r="B16" s="242">
        <f>'lokale energieproductie'!N37+'lokale energieproductie'!N30</f>
        <v>1125</v>
      </c>
      <c r="C16" s="242">
        <f>'lokale energieproductie'!O37+'lokale energieproductie'!O30</f>
        <v>1607.1428571428571</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-3214.2857142857147</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46250.933199999999</v>
      </c>
      <c r="C18" s="21">
        <f>C5+C16</f>
        <v>1607.1428571428571</v>
      </c>
      <c r="D18" s="21">
        <f>MAX((D5+D16),0)</f>
        <v>64152.917937683531</v>
      </c>
      <c r="E18" s="21">
        <f>MAX((E5+E16),0)</f>
        <v>2933.9735275362918</v>
      </c>
      <c r="F18" s="21">
        <f>MAX((F5+F16),0)</f>
        <v>13315.559697348719</v>
      </c>
      <c r="G18" s="21"/>
      <c r="H18" s="21"/>
      <c r="I18" s="21"/>
      <c r="J18" s="21">
        <f>MAX((J5+J16),0)</f>
        <v>184.87416011902135</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0.16997347407705829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7861.4317953099544</v>
      </c>
      <c r="C22" s="23">
        <f ca="1">C18*C20</f>
        <v>0</v>
      </c>
      <c r="D22" s="23">
        <f>D18*D20</f>
        <v>12958.889423412074</v>
      </c>
      <c r="E22" s="23">
        <f>E18*E20</f>
        <v>666.01199075073828</v>
      </c>
      <c r="F22" s="23">
        <f>F18*F20</f>
        <v>3555.2544391921083</v>
      </c>
      <c r="G22" s="23"/>
      <c r="H22" s="23"/>
      <c r="I22" s="23"/>
      <c r="J22" s="23">
        <f>J18*J20</f>
        <v>65.445452682133549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1186.4770000000001</v>
      </c>
      <c r="C30" s="39">
        <f>IF(ISERROR(B30*3.6/1000000/'E Balans VL '!Z18*100),0,B30*3.6/1000000/'E Balans VL '!Z18*100)</f>
        <v>0.16606724021716696</v>
      </c>
      <c r="D30" s="232" t="s">
        <v>651</v>
      </c>
    </row>
    <row r="31" spans="1:18">
      <c r="A31" s="6" t="s">
        <v>32</v>
      </c>
      <c r="B31" s="37">
        <f>IF( ISERROR(IND_ander_ele_kWh/1000),0,IND_ander_ele_kWh/1000)</f>
        <v>3139.558</v>
      </c>
      <c r="C31" s="39">
        <f>IF(ISERROR(B31*3.6/1000000/'E Balans VL '!Z19*100),0,B31*3.6/1000000/'E Balans VL '!Z19*100)</f>
        <v>0.13741794435133273</v>
      </c>
      <c r="D31" s="232" t="s">
        <v>651</v>
      </c>
    </row>
    <row r="32" spans="1:18">
      <c r="A32" s="167" t="s">
        <v>40</v>
      </c>
      <c r="B32" s="37">
        <f>IF( ISERROR(IND_voed_ele_kWh/1000),0,IND_voed_ele_kWh/1000)</f>
        <v>717.81759999999997</v>
      </c>
      <c r="C32" s="39">
        <f>IF(ISERROR(B32*3.6/1000000/'E Balans VL '!Z20*100),0,B32*3.6/1000000/'E Balans VL '!Z20*100)</f>
        <v>0.17770780021330243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110.3926</v>
      </c>
      <c r="C35" s="39">
        <f>IF(ISERROR(B35*3.6/1000000/'E Balans VL '!Z22*100),0,B35*3.6/1000000/'E Balans VL '!Z22*100)</f>
        <v>3.1324916103972989E-3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39971.688000000002</v>
      </c>
      <c r="C37" s="39">
        <f>IF(ISERROR(B37*3.6/1000000/'E Balans VL '!Z15*100),0,B37*3.6/1000000/'E Balans VL '!Z15*100)</f>
        <v>0.29638322307742421</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9302.8564999999999</v>
      </c>
      <c r="C5" s="17">
        <f>'Eigen informatie GS &amp; warmtenet'!B60</f>
        <v>0</v>
      </c>
      <c r="D5" s="30">
        <f>IF(ISERROR(SUM(LB_lb_gas_kWh,LB_rest_gas_kWh)/1000),0,SUM(LB_lb_gas_kWh,LB_rest_gas_kWh)/1000)*0.902</f>
        <v>431.22653901980215</v>
      </c>
      <c r="E5" s="17">
        <f>B17*'E Balans VL '!I25/3.6*1000000/100</f>
        <v>199.48616985127435</v>
      </c>
      <c r="F5" s="17">
        <f>B17*('E Balans VL '!L25/3.6*1000000+'E Balans VL '!N25/3.6*1000000)/100</f>
        <v>30175.485535177806</v>
      </c>
      <c r="G5" s="18"/>
      <c r="H5" s="17"/>
      <c r="I5" s="17"/>
      <c r="J5" s="17">
        <f>('E Balans VL '!D25+'E Balans VL '!E25)/3.6*1000000*landbouw!B17/100</f>
        <v>896.33514015234937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9302.8564999999999</v>
      </c>
      <c r="C8" s="21">
        <f>C5+C6</f>
        <v>0</v>
      </c>
      <c r="D8" s="21">
        <f>MAX((D5+D6),0)</f>
        <v>431.22653901980215</v>
      </c>
      <c r="E8" s="21">
        <f>MAX((E5+E6),0)</f>
        <v>199.48616985127435</v>
      </c>
      <c r="F8" s="21">
        <f>MAX((F5+F6),0)</f>
        <v>30175.485535177806</v>
      </c>
      <c r="G8" s="21"/>
      <c r="H8" s="21"/>
      <c r="I8" s="21"/>
      <c r="J8" s="21">
        <f>MAX((J5+J6),0)</f>
        <v>896.33514015234937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0.16997347407705829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1581.2388381453432</v>
      </c>
      <c r="C12" s="23">
        <f ca="1">C8*C10</f>
        <v>0</v>
      </c>
      <c r="D12" s="23">
        <f>D8*D10</f>
        <v>87.107760882000036</v>
      </c>
      <c r="E12" s="23">
        <f>E8*E10</f>
        <v>45.28336055623928</v>
      </c>
      <c r="F12" s="23">
        <f>F8*F10</f>
        <v>8056.8546378924748</v>
      </c>
      <c r="G12" s="23"/>
      <c r="H12" s="23"/>
      <c r="I12" s="23"/>
      <c r="J12" s="23">
        <f>J8*J10</f>
        <v>317.30263961393166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1.3226689396469167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1095.9477959976048</v>
      </c>
      <c r="C26" s="242">
        <f>B26*'GWP N2O_CH4'!B5</f>
        <v>23014.903715949702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831.04668365955877</v>
      </c>
      <c r="C27" s="242">
        <f>B27*'GWP N2O_CH4'!B5</f>
        <v>17451.980356850734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17.71927599959475</v>
      </c>
      <c r="C28" s="242">
        <f>B28*'GWP N2O_CH4'!B4</f>
        <v>5492.9755598743723</v>
      </c>
      <c r="D28" s="50"/>
    </row>
    <row r="29" spans="1:4">
      <c r="A29" s="41" t="s">
        <v>266</v>
      </c>
      <c r="B29" s="242">
        <f>B34*'ha_N2O bodem landbouw'!B4</f>
        <v>63.444040022496594</v>
      </c>
      <c r="C29" s="242">
        <f>B29*'GWP N2O_CH4'!B4</f>
        <v>19667.652406973943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1.4229380463702014E-2</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3.9444848273721628E-5</v>
      </c>
      <c r="C5" s="428" t="s">
        <v>204</v>
      </c>
      <c r="D5" s="413">
        <f>SUM(D6:D11)</f>
        <v>6.4933867858361289E-5</v>
      </c>
      <c r="E5" s="413">
        <f>SUM(E6:E11)</f>
        <v>6.2174246950978185E-4</v>
      </c>
      <c r="F5" s="426" t="s">
        <v>204</v>
      </c>
      <c r="G5" s="413">
        <f>SUM(G6:G11)</f>
        <v>0.23363963544292216</v>
      </c>
      <c r="H5" s="413">
        <f>SUM(H6:H11)</f>
        <v>3.9529802845729045E-2</v>
      </c>
      <c r="I5" s="428" t="s">
        <v>204</v>
      </c>
      <c r="J5" s="428" t="s">
        <v>204</v>
      </c>
      <c r="K5" s="428" t="s">
        <v>204</v>
      </c>
      <c r="L5" s="428" t="s">
        <v>204</v>
      </c>
      <c r="M5" s="413">
        <f>SUM(M6:M11)</f>
        <v>1.4751532697562686E-2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2.5560547788821942E-5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3.8658456540218988E-5</v>
      </c>
      <c r="E6" s="819">
        <f>vkm_GW_PW*SUMIFS(TableVerdeelsleutelVkm[LPG],TableVerdeelsleutelVkm[Voertuigtype],"Lichte voertuigen")*SUMIFS(TableECFTransport[EnergieConsumptieFactor (PJ per km)],TableECFTransport[Index],CONCATENATE($A6,"_LPG_LPG"))</f>
        <v>3.7764632145534762E-4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8.7684317282590948E-2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2.3883547378609284E-2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5.8122037223342663E-3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2.0725670320176082E-6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7.9545563477356432E-2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1.7824186146701429E-6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4.6118792510088614E-3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1.1536294041084192E-5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2.6275411318142301E-5</v>
      </c>
      <c r="E8" s="416">
        <f>vkm_NGW_PW*SUMIFS(TableVerdeelsleutelVkm[LPG],TableVerdeelsleutelVkm[Voertuigtype],"Lichte voertuigen")*SUMIFS(TableECFTransport[EnergieConsumptieFactor (PJ per km)],TableECFTransport[Index],CONCATENATE($A8,"_LPG_LPG"))</f>
        <v>2.4409614805443426E-4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5.2827439436206096E-2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1.5644187129086565E-2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3.5399771057692229E-3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2.7543941179788171E-7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1.3582315246768683E-2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2.8591941852698733E-7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7.8747261845033554E-4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10.956902298256008</v>
      </c>
      <c r="C14" s="21"/>
      <c r="D14" s="21">
        <f t="shared" ref="D14:M14" si="0">((D5)*10^9/3600)+D12</f>
        <v>18.037185516211469</v>
      </c>
      <c r="E14" s="21">
        <f t="shared" si="0"/>
        <v>172.70624153049494</v>
      </c>
      <c r="F14" s="21"/>
      <c r="G14" s="21">
        <f t="shared" si="0"/>
        <v>64899.898734145041</v>
      </c>
      <c r="H14" s="21">
        <f t="shared" si="0"/>
        <v>10980.50079048029</v>
      </c>
      <c r="I14" s="21"/>
      <c r="J14" s="21"/>
      <c r="K14" s="21"/>
      <c r="L14" s="21"/>
      <c r="M14" s="21">
        <f t="shared" si="0"/>
        <v>4097.6479715451906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0.16997347407705829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1.862382748757478</v>
      </c>
      <c r="C18" s="23"/>
      <c r="D18" s="23">
        <f t="shared" ref="D18:M18" si="1">D14*D16</f>
        <v>3.643511474274717</v>
      </c>
      <c r="E18" s="23">
        <f t="shared" si="1"/>
        <v>39.204316827422353</v>
      </c>
      <c r="F18" s="23"/>
      <c r="G18" s="23">
        <f t="shared" si="1"/>
        <v>17328.272962016727</v>
      </c>
      <c r="H18" s="23">
        <f t="shared" si="1"/>
        <v>2734.1446968295922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1.2224750319358741E-5</v>
      </c>
      <c r="C50" s="311">
        <f t="shared" ref="C50:P50" si="2">SUM(C51:C52)</f>
        <v>0</v>
      </c>
      <c r="D50" s="311">
        <f t="shared" si="2"/>
        <v>0</v>
      </c>
      <c r="E50" s="311">
        <f t="shared" si="2"/>
        <v>0</v>
      </c>
      <c r="F50" s="311">
        <f t="shared" si="2"/>
        <v>0</v>
      </c>
      <c r="G50" s="311">
        <f t="shared" si="2"/>
        <v>2.3164289269165242E-3</v>
      </c>
      <c r="H50" s="311">
        <f t="shared" si="2"/>
        <v>0</v>
      </c>
      <c r="I50" s="311">
        <f t="shared" si="2"/>
        <v>0</v>
      </c>
      <c r="J50" s="311">
        <f t="shared" si="2"/>
        <v>0</v>
      </c>
      <c r="K50" s="311">
        <f t="shared" si="2"/>
        <v>0</v>
      </c>
      <c r="L50" s="311">
        <f t="shared" si="2"/>
        <v>0</v>
      </c>
      <c r="M50" s="311">
        <f t="shared" si="2"/>
        <v>1.3335226393790801E-4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1.2224750319358741E-5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2.3164289269165242E-3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1.3335226393790801E-4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3.3957639775996507</v>
      </c>
      <c r="C54" s="21">
        <f t="shared" ref="C54:P54" si="3">(C50)*10^9/3600</f>
        <v>0</v>
      </c>
      <c r="D54" s="21">
        <f t="shared" si="3"/>
        <v>0</v>
      </c>
      <c r="E54" s="21">
        <f t="shared" si="3"/>
        <v>0</v>
      </c>
      <c r="F54" s="21">
        <f t="shared" si="3"/>
        <v>0</v>
      </c>
      <c r="G54" s="21">
        <f t="shared" si="3"/>
        <v>643.45247969903448</v>
      </c>
      <c r="H54" s="21">
        <f t="shared" si="3"/>
        <v>0</v>
      </c>
      <c r="I54" s="21">
        <f t="shared" si="3"/>
        <v>0</v>
      </c>
      <c r="J54" s="21">
        <f t="shared" si="3"/>
        <v>0</v>
      </c>
      <c r="K54" s="21">
        <f t="shared" si="3"/>
        <v>0</v>
      </c>
      <c r="L54" s="21">
        <f t="shared" si="3"/>
        <v>0</v>
      </c>
      <c r="M54" s="21">
        <f t="shared" si="3"/>
        <v>37.042295538307783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0.16997347407705829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0.57718980041834256</v>
      </c>
      <c r="C58" s="23">
        <f t="shared" ref="C58:P58" ca="1" si="4">C54*C56</f>
        <v>0</v>
      </c>
      <c r="D58" s="23">
        <f t="shared" si="4"/>
        <v>0</v>
      </c>
      <c r="E58" s="23">
        <f t="shared" si="4"/>
        <v>0</v>
      </c>
      <c r="F58" s="23">
        <f t="shared" si="4"/>
        <v>0</v>
      </c>
      <c r="G58" s="23">
        <f t="shared" si="4"/>
        <v>171.80181207964222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14365.913149339714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10124.132024434301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1125</v>
      </c>
      <c r="C8" s="535">
        <f>B48</f>
        <v>0</v>
      </c>
      <c r="D8" s="974"/>
      <c r="E8" s="974">
        <f>E48</f>
        <v>0</v>
      </c>
      <c r="F8" s="975"/>
      <c r="G8" s="536"/>
      <c r="H8" s="974">
        <f>I48</f>
        <v>0</v>
      </c>
      <c r="I8" s="974">
        <f>G48+F48</f>
        <v>0</v>
      </c>
      <c r="J8" s="974">
        <f>H48+D48+C48</f>
        <v>1323.5294117647061</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25615.045173774015</v>
      </c>
      <c r="C10" s="548">
        <f t="shared" ref="C10:L10" si="0">SUM(C8:C9)</f>
        <v>0</v>
      </c>
      <c r="D10" s="548">
        <f t="shared" si="0"/>
        <v>0</v>
      </c>
      <c r="E10" s="548">
        <f t="shared" si="0"/>
        <v>0</v>
      </c>
      <c r="F10" s="548">
        <f t="shared" si="0"/>
        <v>0</v>
      </c>
      <c r="G10" s="548">
        <f t="shared" si="0"/>
        <v>0</v>
      </c>
      <c r="H10" s="548">
        <f t="shared" si="0"/>
        <v>0</v>
      </c>
      <c r="I10" s="548">
        <f t="shared" si="0"/>
        <v>0</v>
      </c>
      <c r="J10" s="548">
        <f t="shared" si="0"/>
        <v>1323.5294117647061</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1607.1428571428571</v>
      </c>
      <c r="C17" s="560">
        <f>B49</f>
        <v>0</v>
      </c>
      <c r="D17" s="561"/>
      <c r="E17" s="561">
        <f>E49</f>
        <v>0</v>
      </c>
      <c r="F17" s="980"/>
      <c r="G17" s="562"/>
      <c r="H17" s="560">
        <f>I49</f>
        <v>0</v>
      </c>
      <c r="I17" s="561">
        <f>G49+F49</f>
        <v>0</v>
      </c>
      <c r="J17" s="561">
        <f>H49+D49+C49</f>
        <v>1890.7563025210086</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1607.1428571428571</v>
      </c>
      <c r="C20" s="547">
        <f>SUM(C17:C19)</f>
        <v>0</v>
      </c>
      <c r="D20" s="547">
        <f t="shared" ref="D20:L20" si="1">SUM(D17:D19)</f>
        <v>0</v>
      </c>
      <c r="E20" s="547">
        <f t="shared" si="1"/>
        <v>0</v>
      </c>
      <c r="F20" s="547">
        <f t="shared" si="1"/>
        <v>0</v>
      </c>
      <c r="G20" s="547">
        <f t="shared" si="1"/>
        <v>0</v>
      </c>
      <c r="H20" s="547">
        <f t="shared" si="1"/>
        <v>0</v>
      </c>
      <c r="I20" s="547">
        <f t="shared" si="1"/>
        <v>0</v>
      </c>
      <c r="J20" s="547">
        <f t="shared" si="1"/>
        <v>1890.7563025210086</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33021</v>
      </c>
      <c r="C28" s="725">
        <v>8972</v>
      </c>
      <c r="D28" s="618"/>
      <c r="E28" s="617"/>
      <c r="F28" s="617"/>
      <c r="G28" s="617" t="s">
        <v>904</v>
      </c>
      <c r="H28" s="617" t="s">
        <v>905</v>
      </c>
      <c r="I28" s="617"/>
      <c r="J28" s="724"/>
      <c r="K28" s="724"/>
      <c r="L28" s="617" t="s">
        <v>906</v>
      </c>
      <c r="M28" s="617">
        <v>250</v>
      </c>
      <c r="N28" s="617">
        <v>1125</v>
      </c>
      <c r="O28" s="617">
        <v>1607.1428571428571</v>
      </c>
      <c r="P28" s="617">
        <v>0</v>
      </c>
      <c r="Q28" s="617">
        <v>3214.2857142857147</v>
      </c>
      <c r="R28" s="617">
        <v>0</v>
      </c>
      <c r="S28" s="617">
        <v>0</v>
      </c>
      <c r="T28" s="617">
        <v>0</v>
      </c>
      <c r="U28" s="617">
        <v>0</v>
      </c>
      <c r="V28" s="617">
        <v>0</v>
      </c>
      <c r="W28" s="617">
        <v>0</v>
      </c>
      <c r="X28" s="617"/>
      <c r="Y28" s="617">
        <v>500</v>
      </c>
      <c r="Z28" s="617" t="s">
        <v>40</v>
      </c>
      <c r="AA28" s="619" t="s">
        <v>376</v>
      </c>
    </row>
    <row r="29" spans="1:27" s="555" customFormat="1" hidden="1">
      <c r="A29" s="573" t="s">
        <v>269</v>
      </c>
      <c r="B29" s="574"/>
      <c r="C29" s="574"/>
      <c r="D29" s="574"/>
      <c r="E29" s="574"/>
      <c r="F29" s="574"/>
      <c r="G29" s="574"/>
      <c r="H29" s="574"/>
      <c r="I29" s="574"/>
      <c r="J29" s="574"/>
      <c r="K29" s="574"/>
      <c r="L29" s="575"/>
      <c r="M29" s="575">
        <f>SUM(M28:M28)</f>
        <v>250</v>
      </c>
      <c r="N29" s="575">
        <f>SUM(N28:N28)</f>
        <v>1125</v>
      </c>
      <c r="O29" s="575">
        <f>SUM(O28:O28)</f>
        <v>1607.1428571428571</v>
      </c>
      <c r="P29" s="575">
        <f>SUM(P28:P28)</f>
        <v>0</v>
      </c>
      <c r="Q29" s="575">
        <f>SUM(Q28:Q28)</f>
        <v>3214.2857142857147</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250</v>
      </c>
      <c r="N30" s="575">
        <f>SUMIF($AA$28:$AA$28,"industrie",N28:N28)</f>
        <v>1125</v>
      </c>
      <c r="O30" s="575">
        <f>SUMIF($AA$28:$AA$28,"industrie",O28:O28)</f>
        <v>1607.1428571428571</v>
      </c>
      <c r="P30" s="575">
        <f>SUMIF($AA$28:$AA$28,"industrie",P28:P28)</f>
        <v>0</v>
      </c>
      <c r="Q30" s="575">
        <f>SUMIF($AA$28:$AA$28,"industrie",Q28:Q28)</f>
        <v>3214.2857142857147</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1323.5294117647061</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1890.7563025210086</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21833.116199999997</v>
      </c>
      <c r="D10" s="943">
        <f ca="1">tertiair!C16</f>
        <v>0</v>
      </c>
      <c r="E10" s="943">
        <f ca="1">tertiair!D16</f>
        <v>24896.407732111897</v>
      </c>
      <c r="F10" s="943">
        <f>tertiair!E16</f>
        <v>320.80974160412188</v>
      </c>
      <c r="G10" s="943">
        <f ca="1">tertiair!F16</f>
        <v>4303.6124903252685</v>
      </c>
      <c r="H10" s="943">
        <f>tertiair!G16</f>
        <v>0</v>
      </c>
      <c r="I10" s="943">
        <f>tertiair!H16</f>
        <v>0</v>
      </c>
      <c r="J10" s="943">
        <f>tertiair!I16</f>
        <v>0</v>
      </c>
      <c r="K10" s="943">
        <f>tertiair!J16</f>
        <v>0</v>
      </c>
      <c r="L10" s="943">
        <f>tertiair!K16</f>
        <v>0</v>
      </c>
      <c r="M10" s="943">
        <f ca="1">tertiair!L16</f>
        <v>0</v>
      </c>
      <c r="N10" s="943">
        <f>tertiair!M16</f>
        <v>0</v>
      </c>
      <c r="O10" s="943">
        <f ca="1">tertiair!N16</f>
        <v>1113.1479401642887</v>
      </c>
      <c r="P10" s="943">
        <f>tertiair!O16</f>
        <v>4.6900000000000004</v>
      </c>
      <c r="Q10" s="944">
        <f>tertiair!P16</f>
        <v>57.2</v>
      </c>
      <c r="R10" s="629">
        <f ca="1">SUM(C10:Q10)</f>
        <v>52528.98410420557</v>
      </c>
      <c r="S10" s="67"/>
    </row>
    <row r="11" spans="1:19" s="438" customFormat="1">
      <c r="A11" s="737" t="s">
        <v>214</v>
      </c>
      <c r="B11" s="742"/>
      <c r="C11" s="943">
        <f>huishoudens!B8</f>
        <v>32434.553405816394</v>
      </c>
      <c r="D11" s="943">
        <f>huishoudens!C8</f>
        <v>0</v>
      </c>
      <c r="E11" s="943">
        <f>huishoudens!D8</f>
        <v>63223.938414527547</v>
      </c>
      <c r="F11" s="943">
        <f>huishoudens!E8</f>
        <v>1608.3890838975342</v>
      </c>
      <c r="G11" s="943">
        <f>huishoudens!F8</f>
        <v>50739.657736202244</v>
      </c>
      <c r="H11" s="943">
        <f>huishoudens!G8</f>
        <v>0</v>
      </c>
      <c r="I11" s="943">
        <f>huishoudens!H8</f>
        <v>0</v>
      </c>
      <c r="J11" s="943">
        <f>huishoudens!I8</f>
        <v>0</v>
      </c>
      <c r="K11" s="943">
        <f>huishoudens!J8</f>
        <v>1183.246901645992</v>
      </c>
      <c r="L11" s="943">
        <f>huishoudens!K8</f>
        <v>0</v>
      </c>
      <c r="M11" s="943">
        <f>huishoudens!L8</f>
        <v>0</v>
      </c>
      <c r="N11" s="943">
        <f>huishoudens!M8</f>
        <v>0</v>
      </c>
      <c r="O11" s="943">
        <f>huishoudens!N8</f>
        <v>9394.1861883500496</v>
      </c>
      <c r="P11" s="943">
        <f>huishoudens!O8</f>
        <v>386.14333333333337</v>
      </c>
      <c r="Q11" s="944">
        <f>huishoudens!P8</f>
        <v>533.86666666666667</v>
      </c>
      <c r="R11" s="629">
        <f>SUM(C11:Q11)</f>
        <v>159503.98173043979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46250.933199999999</v>
      </c>
      <c r="D13" s="943">
        <f>industrie!C18</f>
        <v>1607.1428571428571</v>
      </c>
      <c r="E13" s="943">
        <f>industrie!D18</f>
        <v>64152.917937683531</v>
      </c>
      <c r="F13" s="943">
        <f>industrie!E18</f>
        <v>2933.9735275362918</v>
      </c>
      <c r="G13" s="943">
        <f>industrie!F18</f>
        <v>13315.559697348719</v>
      </c>
      <c r="H13" s="943">
        <f>industrie!G18</f>
        <v>0</v>
      </c>
      <c r="I13" s="943">
        <f>industrie!H18</f>
        <v>0</v>
      </c>
      <c r="J13" s="943">
        <f>industrie!I18</f>
        <v>0</v>
      </c>
      <c r="K13" s="943">
        <f>industrie!J18</f>
        <v>184.87416011902135</v>
      </c>
      <c r="L13" s="943">
        <f>industrie!K18</f>
        <v>0</v>
      </c>
      <c r="M13" s="943">
        <f>industrie!L18</f>
        <v>0</v>
      </c>
      <c r="N13" s="943">
        <f>industrie!M18</f>
        <v>0</v>
      </c>
      <c r="O13" s="943">
        <f>industrie!N18</f>
        <v>0</v>
      </c>
      <c r="P13" s="943">
        <f>industrie!O18</f>
        <v>0</v>
      </c>
      <c r="Q13" s="944">
        <f>industrie!P18</f>
        <v>0</v>
      </c>
      <c r="R13" s="629">
        <f>SUM(C13:Q13)</f>
        <v>128445.40137983042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100518.60280581639</v>
      </c>
      <c r="D16" s="661">
        <f t="shared" ref="D16:R16" ca="1" si="0">SUM(D9:D15)</f>
        <v>1607.1428571428571</v>
      </c>
      <c r="E16" s="661">
        <f t="shared" ca="1" si="0"/>
        <v>152273.26408432296</v>
      </c>
      <c r="F16" s="661">
        <f t="shared" si="0"/>
        <v>4863.1723530379477</v>
      </c>
      <c r="G16" s="661">
        <f t="shared" ca="1" si="0"/>
        <v>68358.829923876241</v>
      </c>
      <c r="H16" s="661">
        <f t="shared" si="0"/>
        <v>0</v>
      </c>
      <c r="I16" s="661">
        <f t="shared" si="0"/>
        <v>0</v>
      </c>
      <c r="J16" s="661">
        <f t="shared" si="0"/>
        <v>0</v>
      </c>
      <c r="K16" s="661">
        <f t="shared" si="0"/>
        <v>1368.1210617650133</v>
      </c>
      <c r="L16" s="661">
        <f t="shared" si="0"/>
        <v>0</v>
      </c>
      <c r="M16" s="661">
        <f t="shared" ca="1" si="0"/>
        <v>0</v>
      </c>
      <c r="N16" s="661">
        <f t="shared" si="0"/>
        <v>0</v>
      </c>
      <c r="O16" s="661">
        <f t="shared" ca="1" si="0"/>
        <v>10507.334128514338</v>
      </c>
      <c r="P16" s="661">
        <f t="shared" si="0"/>
        <v>390.83333333333337</v>
      </c>
      <c r="Q16" s="661">
        <f t="shared" si="0"/>
        <v>591.06666666666672</v>
      </c>
      <c r="R16" s="661">
        <f t="shared" ca="1" si="0"/>
        <v>340478.36721447576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3.3957639775996507</v>
      </c>
      <c r="D19" s="943">
        <f>transport!C54</f>
        <v>0</v>
      </c>
      <c r="E19" s="943">
        <f>transport!D54</f>
        <v>0</v>
      </c>
      <c r="F19" s="943">
        <f>transport!E54</f>
        <v>0</v>
      </c>
      <c r="G19" s="943">
        <f>transport!F54</f>
        <v>0</v>
      </c>
      <c r="H19" s="943">
        <f>transport!G54</f>
        <v>643.45247969903448</v>
      </c>
      <c r="I19" s="943">
        <f>transport!H54</f>
        <v>0</v>
      </c>
      <c r="J19" s="943">
        <f>transport!I54</f>
        <v>0</v>
      </c>
      <c r="K19" s="943">
        <f>transport!J54</f>
        <v>0</v>
      </c>
      <c r="L19" s="943">
        <f>transport!K54</f>
        <v>0</v>
      </c>
      <c r="M19" s="943">
        <f>transport!L54</f>
        <v>0</v>
      </c>
      <c r="N19" s="943">
        <f>transport!M54</f>
        <v>37.042295538307783</v>
      </c>
      <c r="O19" s="943">
        <f>transport!N54</f>
        <v>0</v>
      </c>
      <c r="P19" s="943">
        <f>transport!O54</f>
        <v>0</v>
      </c>
      <c r="Q19" s="944">
        <f>transport!P54</f>
        <v>0</v>
      </c>
      <c r="R19" s="629">
        <f>SUM(C19:Q19)</f>
        <v>683.89053921494201</v>
      </c>
      <c r="S19" s="67"/>
    </row>
    <row r="20" spans="1:19" s="438" customFormat="1">
      <c r="A20" s="737" t="s">
        <v>296</v>
      </c>
      <c r="B20" s="742"/>
      <c r="C20" s="943">
        <f>transport!B14</f>
        <v>10.956902298256008</v>
      </c>
      <c r="D20" s="943">
        <f>transport!C14</f>
        <v>0</v>
      </c>
      <c r="E20" s="943">
        <f>transport!D14</f>
        <v>18.037185516211469</v>
      </c>
      <c r="F20" s="943">
        <f>transport!E14</f>
        <v>172.70624153049494</v>
      </c>
      <c r="G20" s="943">
        <f>transport!F14</f>
        <v>0</v>
      </c>
      <c r="H20" s="943">
        <f>transport!G14</f>
        <v>64899.898734145041</v>
      </c>
      <c r="I20" s="943">
        <f>transport!H14</f>
        <v>10980.50079048029</v>
      </c>
      <c r="J20" s="943">
        <f>transport!I14</f>
        <v>0</v>
      </c>
      <c r="K20" s="943">
        <f>transport!J14</f>
        <v>0</v>
      </c>
      <c r="L20" s="943">
        <f>transport!K14</f>
        <v>0</v>
      </c>
      <c r="M20" s="943">
        <f>transport!L14</f>
        <v>0</v>
      </c>
      <c r="N20" s="943">
        <f>transport!M14</f>
        <v>4097.6479715451906</v>
      </c>
      <c r="O20" s="943">
        <f>transport!N14</f>
        <v>0</v>
      </c>
      <c r="P20" s="943">
        <f>transport!O14</f>
        <v>0</v>
      </c>
      <c r="Q20" s="944">
        <f>transport!P14</f>
        <v>0</v>
      </c>
      <c r="R20" s="629">
        <f>SUM(C20:Q20)</f>
        <v>80179.747825515471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14.352666275855658</v>
      </c>
      <c r="D22" s="740">
        <f t="shared" ref="D22:R22" si="1">SUM(D18:D21)</f>
        <v>0</v>
      </c>
      <c r="E22" s="740">
        <f t="shared" si="1"/>
        <v>18.037185516211469</v>
      </c>
      <c r="F22" s="740">
        <f t="shared" si="1"/>
        <v>172.70624153049494</v>
      </c>
      <c r="G22" s="740">
        <f t="shared" si="1"/>
        <v>0</v>
      </c>
      <c r="H22" s="740">
        <f t="shared" si="1"/>
        <v>65543.351213844071</v>
      </c>
      <c r="I22" s="740">
        <f t="shared" si="1"/>
        <v>10980.50079048029</v>
      </c>
      <c r="J22" s="740">
        <f t="shared" si="1"/>
        <v>0</v>
      </c>
      <c r="K22" s="740">
        <f t="shared" si="1"/>
        <v>0</v>
      </c>
      <c r="L22" s="740">
        <f t="shared" si="1"/>
        <v>0</v>
      </c>
      <c r="M22" s="740">
        <f t="shared" si="1"/>
        <v>0</v>
      </c>
      <c r="N22" s="740">
        <f t="shared" si="1"/>
        <v>4134.6902670834979</v>
      </c>
      <c r="O22" s="740">
        <f t="shared" si="1"/>
        <v>0</v>
      </c>
      <c r="P22" s="740">
        <f t="shared" si="1"/>
        <v>0</v>
      </c>
      <c r="Q22" s="740">
        <f t="shared" si="1"/>
        <v>0</v>
      </c>
      <c r="R22" s="740">
        <f t="shared" si="1"/>
        <v>80863.638364730417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9302.8564999999999</v>
      </c>
      <c r="D24" s="943">
        <f>+landbouw!C8</f>
        <v>0</v>
      </c>
      <c r="E24" s="943">
        <f>+landbouw!D8</f>
        <v>431.22653901980215</v>
      </c>
      <c r="F24" s="943">
        <f>+landbouw!E8</f>
        <v>199.48616985127435</v>
      </c>
      <c r="G24" s="943">
        <f>+landbouw!F8</f>
        <v>30175.485535177806</v>
      </c>
      <c r="H24" s="943">
        <f>+landbouw!G8</f>
        <v>0</v>
      </c>
      <c r="I24" s="943">
        <f>+landbouw!H8</f>
        <v>0</v>
      </c>
      <c r="J24" s="943">
        <f>+landbouw!I8</f>
        <v>0</v>
      </c>
      <c r="K24" s="943">
        <f>+landbouw!J8</f>
        <v>896.33514015234937</v>
      </c>
      <c r="L24" s="943">
        <f>+landbouw!K8</f>
        <v>0</v>
      </c>
      <c r="M24" s="943">
        <f>+landbouw!L8</f>
        <v>0</v>
      </c>
      <c r="N24" s="943">
        <f>+landbouw!M8</f>
        <v>0</v>
      </c>
      <c r="O24" s="943">
        <f>+landbouw!N8</f>
        <v>0</v>
      </c>
      <c r="P24" s="943">
        <f>+landbouw!O8</f>
        <v>0</v>
      </c>
      <c r="Q24" s="944">
        <f>+landbouw!P8</f>
        <v>0</v>
      </c>
      <c r="R24" s="629">
        <f>SUM(C24:Q24)</f>
        <v>41005.389884201228</v>
      </c>
      <c r="S24" s="67"/>
    </row>
    <row r="25" spans="1:19" s="438" customFormat="1" ht="15" thickBot="1">
      <c r="A25" s="759" t="s">
        <v>802</v>
      </c>
      <c r="B25" s="946"/>
      <c r="C25" s="947">
        <f>IF(Onbekend_ele_kWh="---",0,Onbekend_ele_kWh)/1000+IF(REST_rest_ele_kWh="---",0,REST_rest_ele_kWh)/1000</f>
        <v>1105.0150000000001</v>
      </c>
      <c r="D25" s="947"/>
      <c r="E25" s="947">
        <f>IF(onbekend_gas_kWh="---",0,onbekend_gas_kWh)/1000+IF(REST_rest_gas_kWh="---",0,REST_rest_gas_kWh)/1000</f>
        <v>2359.6248275121998</v>
      </c>
      <c r="F25" s="947"/>
      <c r="G25" s="947"/>
      <c r="H25" s="947"/>
      <c r="I25" s="947"/>
      <c r="J25" s="947"/>
      <c r="K25" s="947"/>
      <c r="L25" s="947"/>
      <c r="M25" s="947"/>
      <c r="N25" s="947"/>
      <c r="O25" s="947"/>
      <c r="P25" s="947"/>
      <c r="Q25" s="948"/>
      <c r="R25" s="629">
        <f>SUM(C25:Q25)</f>
        <v>3464.6398275122001</v>
      </c>
      <c r="S25" s="67"/>
    </row>
    <row r="26" spans="1:19" s="438" customFormat="1" ht="15.75" thickBot="1">
      <c r="A26" s="634" t="s">
        <v>803</v>
      </c>
      <c r="B26" s="745"/>
      <c r="C26" s="740">
        <f>SUM(C24:C25)</f>
        <v>10407.871499999999</v>
      </c>
      <c r="D26" s="740">
        <f t="shared" ref="D26:R26" si="2">SUM(D24:D25)</f>
        <v>0</v>
      </c>
      <c r="E26" s="740">
        <f t="shared" si="2"/>
        <v>2790.851366532002</v>
      </c>
      <c r="F26" s="740">
        <f t="shared" si="2"/>
        <v>199.48616985127435</v>
      </c>
      <c r="G26" s="740">
        <f t="shared" si="2"/>
        <v>30175.485535177806</v>
      </c>
      <c r="H26" s="740">
        <f t="shared" si="2"/>
        <v>0</v>
      </c>
      <c r="I26" s="740">
        <f t="shared" si="2"/>
        <v>0</v>
      </c>
      <c r="J26" s="740">
        <f t="shared" si="2"/>
        <v>0</v>
      </c>
      <c r="K26" s="740">
        <f t="shared" si="2"/>
        <v>896.33514015234937</v>
      </c>
      <c r="L26" s="740">
        <f t="shared" si="2"/>
        <v>0</v>
      </c>
      <c r="M26" s="740">
        <f t="shared" si="2"/>
        <v>0</v>
      </c>
      <c r="N26" s="740">
        <f t="shared" si="2"/>
        <v>0</v>
      </c>
      <c r="O26" s="740">
        <f t="shared" si="2"/>
        <v>0</v>
      </c>
      <c r="P26" s="740">
        <f t="shared" si="2"/>
        <v>0</v>
      </c>
      <c r="Q26" s="740">
        <f t="shared" si="2"/>
        <v>0</v>
      </c>
      <c r="R26" s="740">
        <f t="shared" si="2"/>
        <v>44470.029711713425</v>
      </c>
      <c r="S26" s="67"/>
    </row>
    <row r="27" spans="1:19" s="438" customFormat="1" ht="17.25" thickTop="1" thickBot="1">
      <c r="A27" s="635" t="s">
        <v>109</v>
      </c>
      <c r="B27" s="733"/>
      <c r="C27" s="636">
        <f ca="1">C22+C16+C26</f>
        <v>110940.82697209224</v>
      </c>
      <c r="D27" s="636">
        <f t="shared" ref="D27:R27" ca="1" si="3">D22+D16+D26</f>
        <v>1607.1428571428571</v>
      </c>
      <c r="E27" s="636">
        <f t="shared" ca="1" si="3"/>
        <v>155082.15263637117</v>
      </c>
      <c r="F27" s="636">
        <f t="shared" si="3"/>
        <v>5235.3647644197172</v>
      </c>
      <c r="G27" s="636">
        <f t="shared" ca="1" si="3"/>
        <v>98534.315459054051</v>
      </c>
      <c r="H27" s="636">
        <f t="shared" si="3"/>
        <v>65543.351213844071</v>
      </c>
      <c r="I27" s="636">
        <f t="shared" si="3"/>
        <v>10980.50079048029</v>
      </c>
      <c r="J27" s="636">
        <f t="shared" si="3"/>
        <v>0</v>
      </c>
      <c r="K27" s="636">
        <f t="shared" si="3"/>
        <v>2264.4562019173627</v>
      </c>
      <c r="L27" s="636">
        <f t="shared" si="3"/>
        <v>0</v>
      </c>
      <c r="M27" s="636">
        <f t="shared" ca="1" si="3"/>
        <v>0</v>
      </c>
      <c r="N27" s="636">
        <f t="shared" si="3"/>
        <v>4134.6902670834979</v>
      </c>
      <c r="O27" s="636">
        <f t="shared" ca="1" si="3"/>
        <v>10507.334128514338</v>
      </c>
      <c r="P27" s="636">
        <f t="shared" si="3"/>
        <v>390.83333333333337</v>
      </c>
      <c r="Q27" s="636">
        <f t="shared" si="3"/>
        <v>591.06666666666672</v>
      </c>
      <c r="R27" s="636">
        <f t="shared" ca="1" si="3"/>
        <v>465812.03529091959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3711.0506104421015</v>
      </c>
      <c r="D40" s="943">
        <f ca="1">tertiair!C20</f>
        <v>0</v>
      </c>
      <c r="E40" s="943">
        <f ca="1">tertiair!D20</f>
        <v>5029.0743618866036</v>
      </c>
      <c r="F40" s="943">
        <f>tertiair!E20</f>
        <v>72.823811344135663</v>
      </c>
      <c r="G40" s="943">
        <f ca="1">tertiair!F20</f>
        <v>1149.0645349168467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9962.0133185896866</v>
      </c>
    </row>
    <row r="41" spans="1:18">
      <c r="A41" s="750" t="s">
        <v>214</v>
      </c>
      <c r="B41" s="757"/>
      <c r="C41" s="943">
        <f ca="1">huishoudens!B12</f>
        <v>5513.0137225244953</v>
      </c>
      <c r="D41" s="943">
        <f ca="1">huishoudens!C12</f>
        <v>0</v>
      </c>
      <c r="E41" s="943">
        <f>huishoudens!D12</f>
        <v>12771.235559734565</v>
      </c>
      <c r="F41" s="943">
        <f>huishoudens!E12</f>
        <v>365.10432204474029</v>
      </c>
      <c r="G41" s="943">
        <f>huishoudens!F12</f>
        <v>13547.488615566001</v>
      </c>
      <c r="H41" s="943">
        <f>huishoudens!G12</f>
        <v>0</v>
      </c>
      <c r="I41" s="943">
        <f>huishoudens!H12</f>
        <v>0</v>
      </c>
      <c r="J41" s="943">
        <f>huishoudens!I12</f>
        <v>0</v>
      </c>
      <c r="K41" s="943">
        <f>huishoudens!J12</f>
        <v>418.86940318268114</v>
      </c>
      <c r="L41" s="943">
        <f>huishoudens!K12</f>
        <v>0</v>
      </c>
      <c r="M41" s="943">
        <f>huishoudens!L12</f>
        <v>0</v>
      </c>
      <c r="N41" s="943">
        <f>huishoudens!M12</f>
        <v>0</v>
      </c>
      <c r="O41" s="943">
        <f>huishoudens!N12</f>
        <v>0</v>
      </c>
      <c r="P41" s="943">
        <f>huishoudens!O12</f>
        <v>0</v>
      </c>
      <c r="Q41" s="703">
        <f>huishoudens!P12</f>
        <v>0</v>
      </c>
      <c r="R41" s="778">
        <f t="shared" ca="1" si="4"/>
        <v>32615.711623052484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7861.4317953099544</v>
      </c>
      <c r="D43" s="943">
        <f ca="1">industrie!C22</f>
        <v>0</v>
      </c>
      <c r="E43" s="943">
        <f>industrie!D22</f>
        <v>12958.889423412074</v>
      </c>
      <c r="F43" s="943">
        <f>industrie!E22</f>
        <v>666.01199075073828</v>
      </c>
      <c r="G43" s="943">
        <f>industrie!F22</f>
        <v>3555.2544391921083</v>
      </c>
      <c r="H43" s="943">
        <f>industrie!G22</f>
        <v>0</v>
      </c>
      <c r="I43" s="943">
        <f>industrie!H22</f>
        <v>0</v>
      </c>
      <c r="J43" s="943">
        <f>industrie!I22</f>
        <v>0</v>
      </c>
      <c r="K43" s="943">
        <f>industrie!J22</f>
        <v>65.445452682133549</v>
      </c>
      <c r="L43" s="943">
        <f>industrie!K22</f>
        <v>0</v>
      </c>
      <c r="M43" s="943">
        <f>industrie!L22</f>
        <v>0</v>
      </c>
      <c r="N43" s="943">
        <f>industrie!M22</f>
        <v>0</v>
      </c>
      <c r="O43" s="943">
        <f>industrie!N22</f>
        <v>0</v>
      </c>
      <c r="P43" s="943">
        <f>industrie!O22</f>
        <v>0</v>
      </c>
      <c r="Q43" s="703">
        <f>industrie!P22</f>
        <v>0</v>
      </c>
      <c r="R43" s="777">
        <f t="shared" ca="1" si="4"/>
        <v>25107.033101347006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17085.496128276551</v>
      </c>
      <c r="D46" s="661">
        <f t="shared" ref="D46:Q46" ca="1" si="5">SUM(D39:D45)</f>
        <v>0</v>
      </c>
      <c r="E46" s="661">
        <f t="shared" ca="1" si="5"/>
        <v>30759.199345033245</v>
      </c>
      <c r="F46" s="661">
        <f t="shared" si="5"/>
        <v>1103.9401241396142</v>
      </c>
      <c r="G46" s="661">
        <f t="shared" ca="1" si="5"/>
        <v>18251.807589674954</v>
      </c>
      <c r="H46" s="661">
        <f t="shared" si="5"/>
        <v>0</v>
      </c>
      <c r="I46" s="661">
        <f t="shared" si="5"/>
        <v>0</v>
      </c>
      <c r="J46" s="661">
        <f t="shared" si="5"/>
        <v>0</v>
      </c>
      <c r="K46" s="661">
        <f t="shared" si="5"/>
        <v>484.31485586481472</v>
      </c>
      <c r="L46" s="661">
        <f t="shared" si="5"/>
        <v>0</v>
      </c>
      <c r="M46" s="661">
        <f t="shared" ca="1" si="5"/>
        <v>0</v>
      </c>
      <c r="N46" s="661">
        <f t="shared" si="5"/>
        <v>0</v>
      </c>
      <c r="O46" s="661">
        <f t="shared" ca="1" si="5"/>
        <v>0</v>
      </c>
      <c r="P46" s="661">
        <f t="shared" si="5"/>
        <v>0</v>
      </c>
      <c r="Q46" s="661">
        <f t="shared" si="5"/>
        <v>0</v>
      </c>
      <c r="R46" s="661">
        <f ca="1">SUM(R39:R45)</f>
        <v>67684.758042989182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0.57718980041834256</v>
      </c>
      <c r="D49" s="943">
        <f ca="1">transport!C58</f>
        <v>0</v>
      </c>
      <c r="E49" s="943">
        <f>transport!D58</f>
        <v>0</v>
      </c>
      <c r="F49" s="943">
        <f>transport!E58</f>
        <v>0</v>
      </c>
      <c r="G49" s="943">
        <f>transport!F58</f>
        <v>0</v>
      </c>
      <c r="H49" s="943">
        <f>transport!G58</f>
        <v>171.80181207964222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172.37900188006057</v>
      </c>
    </row>
    <row r="50" spans="1:18">
      <c r="A50" s="753" t="s">
        <v>296</v>
      </c>
      <c r="B50" s="763"/>
      <c r="C50" s="632">
        <f ca="1">transport!B18</f>
        <v>1.862382748757478</v>
      </c>
      <c r="D50" s="632">
        <f>transport!C18</f>
        <v>0</v>
      </c>
      <c r="E50" s="632">
        <f>transport!D18</f>
        <v>3.643511474274717</v>
      </c>
      <c r="F50" s="632">
        <f>transport!E18</f>
        <v>39.204316827422353</v>
      </c>
      <c r="G50" s="632">
        <f>transport!F18</f>
        <v>0</v>
      </c>
      <c r="H50" s="632">
        <f>transport!G18</f>
        <v>17328.272962016727</v>
      </c>
      <c r="I50" s="632">
        <f>transport!H18</f>
        <v>2734.1446968295922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20107.127869896773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2.4395725491758204</v>
      </c>
      <c r="D52" s="661">
        <f t="shared" ref="D52:Q52" ca="1" si="6">SUM(D48:D51)</f>
        <v>0</v>
      </c>
      <c r="E52" s="661">
        <f t="shared" si="6"/>
        <v>3.643511474274717</v>
      </c>
      <c r="F52" s="661">
        <f t="shared" si="6"/>
        <v>39.204316827422353</v>
      </c>
      <c r="G52" s="661">
        <f t="shared" si="6"/>
        <v>0</v>
      </c>
      <c r="H52" s="661">
        <f t="shared" si="6"/>
        <v>17500.074774096367</v>
      </c>
      <c r="I52" s="661">
        <f t="shared" si="6"/>
        <v>2734.1446968295922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20279.506871776834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1581.2388381453432</v>
      </c>
      <c r="D54" s="632">
        <f ca="1">+landbouw!C12</f>
        <v>0</v>
      </c>
      <c r="E54" s="632">
        <f>+landbouw!D12</f>
        <v>87.107760882000036</v>
      </c>
      <c r="F54" s="632">
        <f>+landbouw!E12</f>
        <v>45.28336055623928</v>
      </c>
      <c r="G54" s="632">
        <f>+landbouw!F12</f>
        <v>8056.8546378924748</v>
      </c>
      <c r="H54" s="632">
        <f>+landbouw!G12</f>
        <v>0</v>
      </c>
      <c r="I54" s="632">
        <f>+landbouw!H12</f>
        <v>0</v>
      </c>
      <c r="J54" s="632">
        <f>+landbouw!I12</f>
        <v>0</v>
      </c>
      <c r="K54" s="632">
        <f>+landbouw!J12</f>
        <v>317.30263961393166</v>
      </c>
      <c r="L54" s="632">
        <f>+landbouw!K12</f>
        <v>0</v>
      </c>
      <c r="M54" s="632">
        <f>+landbouw!L12</f>
        <v>0</v>
      </c>
      <c r="N54" s="632">
        <f>+landbouw!M12</f>
        <v>0</v>
      </c>
      <c r="O54" s="632">
        <f>+landbouw!N12</f>
        <v>0</v>
      </c>
      <c r="P54" s="632">
        <f>+landbouw!O12</f>
        <v>0</v>
      </c>
      <c r="Q54" s="633">
        <f>+landbouw!P12</f>
        <v>0</v>
      </c>
      <c r="R54" s="660">
        <f ca="1">SUM(C54:Q54)</f>
        <v>10087.78723708999</v>
      </c>
    </row>
    <row r="55" spans="1:18" ht="15" thickBot="1">
      <c r="A55" s="753" t="s">
        <v>802</v>
      </c>
      <c r="B55" s="763"/>
      <c r="C55" s="632">
        <f ca="1">C25*'EF ele_warmte'!B12</f>
        <v>187.82323845726057</v>
      </c>
      <c r="D55" s="632"/>
      <c r="E55" s="632">
        <f>E25*EF_CO2_aardgas</f>
        <v>476.64421515746437</v>
      </c>
      <c r="F55" s="632"/>
      <c r="G55" s="632"/>
      <c r="H55" s="632"/>
      <c r="I55" s="632"/>
      <c r="J55" s="632"/>
      <c r="K55" s="632"/>
      <c r="L55" s="632"/>
      <c r="M55" s="632"/>
      <c r="N55" s="632"/>
      <c r="O55" s="632"/>
      <c r="P55" s="632"/>
      <c r="Q55" s="633"/>
      <c r="R55" s="660">
        <f ca="1">SUM(C55:Q55)</f>
        <v>664.46745361472495</v>
      </c>
    </row>
    <row r="56" spans="1:18" ht="15.75" thickBot="1">
      <c r="A56" s="751" t="s">
        <v>803</v>
      </c>
      <c r="B56" s="764"/>
      <c r="C56" s="661">
        <f ca="1">SUM(C54:C55)</f>
        <v>1769.0620766026036</v>
      </c>
      <c r="D56" s="661">
        <f t="shared" ref="D56:Q56" ca="1" si="7">SUM(D54:D55)</f>
        <v>0</v>
      </c>
      <c r="E56" s="661">
        <f t="shared" si="7"/>
        <v>563.75197603946435</v>
      </c>
      <c r="F56" s="661">
        <f t="shared" si="7"/>
        <v>45.28336055623928</v>
      </c>
      <c r="G56" s="661">
        <f t="shared" si="7"/>
        <v>8056.8546378924748</v>
      </c>
      <c r="H56" s="661">
        <f t="shared" si="7"/>
        <v>0</v>
      </c>
      <c r="I56" s="661">
        <f t="shared" si="7"/>
        <v>0</v>
      </c>
      <c r="J56" s="661">
        <f t="shared" si="7"/>
        <v>0</v>
      </c>
      <c r="K56" s="661">
        <f t="shared" si="7"/>
        <v>317.30263961393166</v>
      </c>
      <c r="L56" s="661">
        <f t="shared" si="7"/>
        <v>0</v>
      </c>
      <c r="M56" s="661">
        <f t="shared" si="7"/>
        <v>0</v>
      </c>
      <c r="N56" s="661">
        <f t="shared" si="7"/>
        <v>0</v>
      </c>
      <c r="O56" s="661">
        <f t="shared" si="7"/>
        <v>0</v>
      </c>
      <c r="P56" s="661">
        <f t="shared" si="7"/>
        <v>0</v>
      </c>
      <c r="Q56" s="662">
        <f t="shared" si="7"/>
        <v>0</v>
      </c>
      <c r="R56" s="663">
        <f ca="1">SUM(R54:R55)</f>
        <v>10752.254690704714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18856.997777428329</v>
      </c>
      <c r="D61" s="669">
        <f t="shared" ref="D61:Q61" ca="1" si="8">D46+D52+D56</f>
        <v>0</v>
      </c>
      <c r="E61" s="669">
        <f t="shared" ca="1" si="8"/>
        <v>31326.594832546984</v>
      </c>
      <c r="F61" s="669">
        <f t="shared" si="8"/>
        <v>1188.427801523276</v>
      </c>
      <c r="G61" s="669">
        <f t="shared" ca="1" si="8"/>
        <v>26308.662227567431</v>
      </c>
      <c r="H61" s="669">
        <f t="shared" si="8"/>
        <v>17500.074774096367</v>
      </c>
      <c r="I61" s="669">
        <f t="shared" si="8"/>
        <v>2734.1446968295922</v>
      </c>
      <c r="J61" s="669">
        <f t="shared" si="8"/>
        <v>0</v>
      </c>
      <c r="K61" s="669">
        <f t="shared" si="8"/>
        <v>801.61749547874638</v>
      </c>
      <c r="L61" s="669">
        <f t="shared" si="8"/>
        <v>0</v>
      </c>
      <c r="M61" s="669">
        <f t="shared" ca="1" si="8"/>
        <v>0</v>
      </c>
      <c r="N61" s="669">
        <f t="shared" si="8"/>
        <v>0</v>
      </c>
      <c r="O61" s="669">
        <f t="shared" ca="1" si="8"/>
        <v>0</v>
      </c>
      <c r="P61" s="669">
        <f t="shared" si="8"/>
        <v>0</v>
      </c>
      <c r="Q61" s="669">
        <f t="shared" si="8"/>
        <v>0</v>
      </c>
      <c r="R61" s="669">
        <f ca="1">R46+R52+R56</f>
        <v>98716.519605470734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0.16997347407705829</v>
      </c>
      <c r="D63" s="710">
        <f t="shared" ca="1" si="9"/>
        <v>0</v>
      </c>
      <c r="E63" s="954">
        <f t="shared" ca="1" si="9"/>
        <v>0.20200000000000004</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14365.913149339714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10124.132024434301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1125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1323.5294117647061</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25615.045173774015</v>
      </c>
      <c r="C78" s="684">
        <f>SUM(C72:C77)</f>
        <v>0</v>
      </c>
      <c r="D78" s="685">
        <f t="shared" ref="D78:H78" si="10">SUM(D76:D77)</f>
        <v>0</v>
      </c>
      <c r="E78" s="685">
        <f t="shared" si="10"/>
        <v>0</v>
      </c>
      <c r="F78" s="685">
        <f t="shared" si="10"/>
        <v>0</v>
      </c>
      <c r="G78" s="685">
        <f t="shared" si="10"/>
        <v>0</v>
      </c>
      <c r="H78" s="685">
        <f t="shared" si="10"/>
        <v>0</v>
      </c>
      <c r="I78" s="685">
        <f>SUM(I76:I77)</f>
        <v>0</v>
      </c>
      <c r="J78" s="685">
        <f>SUM(J76:J77)</f>
        <v>1323.5294117647061</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1607.1428571428571</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1890.7563025210086</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1607.1428571428571</v>
      </c>
      <c r="C90" s="684">
        <f>SUM(C87:C89)</f>
        <v>0</v>
      </c>
      <c r="D90" s="684">
        <f t="shared" ref="D90:H90" si="12">SUM(D87:D89)</f>
        <v>0</v>
      </c>
      <c r="E90" s="684">
        <f t="shared" si="12"/>
        <v>0</v>
      </c>
      <c r="F90" s="684">
        <f t="shared" si="12"/>
        <v>0</v>
      </c>
      <c r="G90" s="684">
        <f t="shared" si="12"/>
        <v>0</v>
      </c>
      <c r="H90" s="684">
        <f t="shared" si="12"/>
        <v>0</v>
      </c>
      <c r="I90" s="684">
        <f>SUM(I87:I89)</f>
        <v>0</v>
      </c>
      <c r="J90" s="684">
        <f>SUM(J87:J89)</f>
        <v>1890.7563025210086</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32434.553405816394</v>
      </c>
      <c r="C4" s="442">
        <f>huishoudens!C8</f>
        <v>0</v>
      </c>
      <c r="D4" s="442">
        <f>huishoudens!D8</f>
        <v>63223.938414527547</v>
      </c>
      <c r="E4" s="442">
        <f>huishoudens!E8</f>
        <v>1608.3890838975342</v>
      </c>
      <c r="F4" s="442">
        <f>huishoudens!F8</f>
        <v>50739.657736202244</v>
      </c>
      <c r="G4" s="442">
        <f>huishoudens!G8</f>
        <v>0</v>
      </c>
      <c r="H4" s="442">
        <f>huishoudens!H8</f>
        <v>0</v>
      </c>
      <c r="I4" s="442">
        <f>huishoudens!I8</f>
        <v>0</v>
      </c>
      <c r="J4" s="442">
        <f>huishoudens!J8</f>
        <v>1183.246901645992</v>
      </c>
      <c r="K4" s="442">
        <f>huishoudens!K8</f>
        <v>0</v>
      </c>
      <c r="L4" s="442">
        <f>huishoudens!L8</f>
        <v>0</v>
      </c>
      <c r="M4" s="442">
        <f>huishoudens!M8</f>
        <v>0</v>
      </c>
      <c r="N4" s="442">
        <f>huishoudens!N8</f>
        <v>9394.1861883500496</v>
      </c>
      <c r="O4" s="442">
        <f>huishoudens!O8</f>
        <v>386.14333333333337</v>
      </c>
      <c r="P4" s="443">
        <f>huishoudens!P8</f>
        <v>533.86666666666667</v>
      </c>
      <c r="Q4" s="444">
        <f>SUM(B4:P4)</f>
        <v>159503.98173043979</v>
      </c>
    </row>
    <row r="5" spans="1:17">
      <c r="A5" s="441" t="s">
        <v>149</v>
      </c>
      <c r="B5" s="442">
        <f ca="1">tertiair!B16</f>
        <v>20379.946199999998</v>
      </c>
      <c r="C5" s="442">
        <f ca="1">tertiair!C16</f>
        <v>0</v>
      </c>
      <c r="D5" s="442">
        <f ca="1">tertiair!D16</f>
        <v>24896.407732111897</v>
      </c>
      <c r="E5" s="442">
        <f>tertiair!E16</f>
        <v>320.80974160412188</v>
      </c>
      <c r="F5" s="442">
        <f ca="1">tertiair!F16</f>
        <v>4303.6124903252685</v>
      </c>
      <c r="G5" s="442">
        <f>tertiair!G16</f>
        <v>0</v>
      </c>
      <c r="H5" s="442">
        <f>tertiair!H16</f>
        <v>0</v>
      </c>
      <c r="I5" s="442">
        <f>tertiair!I16</f>
        <v>0</v>
      </c>
      <c r="J5" s="442">
        <f>tertiair!J16</f>
        <v>0</v>
      </c>
      <c r="K5" s="442">
        <f>tertiair!K16</f>
        <v>0</v>
      </c>
      <c r="L5" s="442">
        <f ca="1">tertiair!L16</f>
        <v>0</v>
      </c>
      <c r="M5" s="442">
        <f>tertiair!M16</f>
        <v>0</v>
      </c>
      <c r="N5" s="442">
        <f ca="1">tertiair!N16</f>
        <v>1113.1479401642887</v>
      </c>
      <c r="O5" s="442">
        <f>tertiair!O16</f>
        <v>4.6900000000000004</v>
      </c>
      <c r="P5" s="443">
        <f>tertiair!P16</f>
        <v>57.2</v>
      </c>
      <c r="Q5" s="441">
        <f t="shared" ref="Q5:Q14" ca="1" si="0">SUM(B5:P5)</f>
        <v>51075.814104205572</v>
      </c>
    </row>
    <row r="6" spans="1:17">
      <c r="A6" s="441" t="s">
        <v>187</v>
      </c>
      <c r="B6" s="442">
        <f>'openbare verlichting'!B8</f>
        <v>1453.17</v>
      </c>
      <c r="C6" s="442"/>
      <c r="D6" s="442"/>
      <c r="E6" s="442"/>
      <c r="F6" s="442"/>
      <c r="G6" s="442"/>
      <c r="H6" s="442"/>
      <c r="I6" s="442"/>
      <c r="J6" s="442"/>
      <c r="K6" s="442"/>
      <c r="L6" s="442"/>
      <c r="M6" s="442"/>
      <c r="N6" s="442"/>
      <c r="O6" s="442"/>
      <c r="P6" s="443"/>
      <c r="Q6" s="441">
        <f t="shared" si="0"/>
        <v>1453.17</v>
      </c>
    </row>
    <row r="7" spans="1:17">
      <c r="A7" s="441" t="s">
        <v>105</v>
      </c>
      <c r="B7" s="442">
        <f>landbouw!B8</f>
        <v>9302.8564999999999</v>
      </c>
      <c r="C7" s="442">
        <f>landbouw!C8</f>
        <v>0</v>
      </c>
      <c r="D7" s="442">
        <f>landbouw!D8</f>
        <v>431.22653901980215</v>
      </c>
      <c r="E7" s="442">
        <f>landbouw!E8</f>
        <v>199.48616985127435</v>
      </c>
      <c r="F7" s="442">
        <f>landbouw!F8</f>
        <v>30175.485535177806</v>
      </c>
      <c r="G7" s="442">
        <f>landbouw!G8</f>
        <v>0</v>
      </c>
      <c r="H7" s="442">
        <f>landbouw!H8</f>
        <v>0</v>
      </c>
      <c r="I7" s="442">
        <f>landbouw!I8</f>
        <v>0</v>
      </c>
      <c r="J7" s="442">
        <f>landbouw!J8</f>
        <v>896.33514015234937</v>
      </c>
      <c r="K7" s="442">
        <f>landbouw!K8</f>
        <v>0</v>
      </c>
      <c r="L7" s="442">
        <f>landbouw!L8</f>
        <v>0</v>
      </c>
      <c r="M7" s="442">
        <f>landbouw!M8</f>
        <v>0</v>
      </c>
      <c r="N7" s="442">
        <f>landbouw!N8</f>
        <v>0</v>
      </c>
      <c r="O7" s="442">
        <f>landbouw!O8</f>
        <v>0</v>
      </c>
      <c r="P7" s="443">
        <f>landbouw!P8</f>
        <v>0</v>
      </c>
      <c r="Q7" s="441">
        <f t="shared" si="0"/>
        <v>41005.389884201228</v>
      </c>
    </row>
    <row r="8" spans="1:17">
      <c r="A8" s="441" t="s">
        <v>612</v>
      </c>
      <c r="B8" s="442">
        <f>industrie!B18</f>
        <v>46250.933199999999</v>
      </c>
      <c r="C8" s="442">
        <f>industrie!C18</f>
        <v>1607.1428571428571</v>
      </c>
      <c r="D8" s="442">
        <f>industrie!D18</f>
        <v>64152.917937683531</v>
      </c>
      <c r="E8" s="442">
        <f>industrie!E18</f>
        <v>2933.9735275362918</v>
      </c>
      <c r="F8" s="442">
        <f>industrie!F18</f>
        <v>13315.559697348719</v>
      </c>
      <c r="G8" s="442">
        <f>industrie!G18</f>
        <v>0</v>
      </c>
      <c r="H8" s="442">
        <f>industrie!H18</f>
        <v>0</v>
      </c>
      <c r="I8" s="442">
        <f>industrie!I18</f>
        <v>0</v>
      </c>
      <c r="J8" s="442">
        <f>industrie!J18</f>
        <v>184.87416011902135</v>
      </c>
      <c r="K8" s="442">
        <f>industrie!K18</f>
        <v>0</v>
      </c>
      <c r="L8" s="442">
        <f>industrie!L18</f>
        <v>0</v>
      </c>
      <c r="M8" s="442">
        <f>industrie!M18</f>
        <v>0</v>
      </c>
      <c r="N8" s="442">
        <f>industrie!N18</f>
        <v>0</v>
      </c>
      <c r="O8" s="442">
        <f>industrie!O18</f>
        <v>0</v>
      </c>
      <c r="P8" s="443">
        <f>industrie!P18</f>
        <v>0</v>
      </c>
      <c r="Q8" s="441">
        <f t="shared" si="0"/>
        <v>128445.40137983042</v>
      </c>
    </row>
    <row r="9" spans="1:17" s="447" customFormat="1">
      <c r="A9" s="445" t="s">
        <v>556</v>
      </c>
      <c r="B9" s="446">
        <f>transport!B14</f>
        <v>10.956902298256008</v>
      </c>
      <c r="C9" s="446">
        <f>transport!C14</f>
        <v>0</v>
      </c>
      <c r="D9" s="446">
        <f>transport!D14</f>
        <v>18.037185516211469</v>
      </c>
      <c r="E9" s="446">
        <f>transport!E14</f>
        <v>172.70624153049494</v>
      </c>
      <c r="F9" s="446">
        <f>transport!F14</f>
        <v>0</v>
      </c>
      <c r="G9" s="446">
        <f>transport!G14</f>
        <v>64899.898734145041</v>
      </c>
      <c r="H9" s="446">
        <f>transport!H14</f>
        <v>10980.50079048029</v>
      </c>
      <c r="I9" s="446">
        <f>transport!I14</f>
        <v>0</v>
      </c>
      <c r="J9" s="446">
        <f>transport!J14</f>
        <v>0</v>
      </c>
      <c r="K9" s="446">
        <f>transport!K14</f>
        <v>0</v>
      </c>
      <c r="L9" s="446">
        <f>transport!L14</f>
        <v>0</v>
      </c>
      <c r="M9" s="446">
        <f>transport!M14</f>
        <v>4097.6479715451906</v>
      </c>
      <c r="N9" s="446">
        <f>transport!N14</f>
        <v>0</v>
      </c>
      <c r="O9" s="446">
        <f>transport!O14</f>
        <v>0</v>
      </c>
      <c r="P9" s="446">
        <f>transport!P14</f>
        <v>0</v>
      </c>
      <c r="Q9" s="445">
        <f>SUM(B9:P9)</f>
        <v>80179.747825515471</v>
      </c>
    </row>
    <row r="10" spans="1:17">
      <c r="A10" s="441" t="s">
        <v>546</v>
      </c>
      <c r="B10" s="442">
        <f>transport!B54</f>
        <v>3.3957639775996507</v>
      </c>
      <c r="C10" s="442">
        <f>transport!C54</f>
        <v>0</v>
      </c>
      <c r="D10" s="442">
        <f>transport!D54</f>
        <v>0</v>
      </c>
      <c r="E10" s="442">
        <f>transport!E54</f>
        <v>0</v>
      </c>
      <c r="F10" s="442">
        <f>transport!F54</f>
        <v>0</v>
      </c>
      <c r="G10" s="442">
        <f>transport!G54</f>
        <v>643.45247969903448</v>
      </c>
      <c r="H10" s="442">
        <f>transport!H54</f>
        <v>0</v>
      </c>
      <c r="I10" s="442">
        <f>transport!I54</f>
        <v>0</v>
      </c>
      <c r="J10" s="442">
        <f>transport!J54</f>
        <v>0</v>
      </c>
      <c r="K10" s="442">
        <f>transport!K54</f>
        <v>0</v>
      </c>
      <c r="L10" s="442">
        <f>transport!L54</f>
        <v>0</v>
      </c>
      <c r="M10" s="442">
        <f>transport!M54</f>
        <v>37.042295538307783</v>
      </c>
      <c r="N10" s="442">
        <f>transport!N54</f>
        <v>0</v>
      </c>
      <c r="O10" s="442">
        <f>transport!O54</f>
        <v>0</v>
      </c>
      <c r="P10" s="443">
        <f>transport!P54</f>
        <v>0</v>
      </c>
      <c r="Q10" s="441">
        <f t="shared" si="0"/>
        <v>683.89053921494201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1105.0150000000001</v>
      </c>
      <c r="C14" s="449"/>
      <c r="D14" s="449">
        <f>'SEAP template'!E25</f>
        <v>2359.6248275121998</v>
      </c>
      <c r="E14" s="449"/>
      <c r="F14" s="449"/>
      <c r="G14" s="449"/>
      <c r="H14" s="449"/>
      <c r="I14" s="449"/>
      <c r="J14" s="449"/>
      <c r="K14" s="449"/>
      <c r="L14" s="449"/>
      <c r="M14" s="449"/>
      <c r="N14" s="449"/>
      <c r="O14" s="449"/>
      <c r="P14" s="450"/>
      <c r="Q14" s="441">
        <f t="shared" si="0"/>
        <v>3464.6398275122001</v>
      </c>
    </row>
    <row r="15" spans="1:17" s="451" customFormat="1">
      <c r="A15" s="969" t="s">
        <v>550</v>
      </c>
      <c r="B15" s="909">
        <f ca="1">SUM(B4:B14)</f>
        <v>110940.82697209225</v>
      </c>
      <c r="C15" s="909">
        <f t="shared" ref="C15:Q15" ca="1" si="1">SUM(C4:C14)</f>
        <v>1607.1428571428571</v>
      </c>
      <c r="D15" s="909">
        <f t="shared" ca="1" si="1"/>
        <v>155082.15263637117</v>
      </c>
      <c r="E15" s="909">
        <f t="shared" si="1"/>
        <v>5235.3647644197172</v>
      </c>
      <c r="F15" s="909">
        <f t="shared" ca="1" si="1"/>
        <v>98534.315459054051</v>
      </c>
      <c r="G15" s="909">
        <f t="shared" si="1"/>
        <v>65543.351213844071</v>
      </c>
      <c r="H15" s="909">
        <f t="shared" si="1"/>
        <v>10980.50079048029</v>
      </c>
      <c r="I15" s="909">
        <f t="shared" si="1"/>
        <v>0</v>
      </c>
      <c r="J15" s="909">
        <f t="shared" si="1"/>
        <v>2264.4562019173627</v>
      </c>
      <c r="K15" s="909">
        <f t="shared" si="1"/>
        <v>0</v>
      </c>
      <c r="L15" s="909">
        <f t="shared" ca="1" si="1"/>
        <v>0</v>
      </c>
      <c r="M15" s="909">
        <f t="shared" si="1"/>
        <v>4134.6902670834979</v>
      </c>
      <c r="N15" s="909">
        <f t="shared" ca="1" si="1"/>
        <v>10507.334128514338</v>
      </c>
      <c r="O15" s="909">
        <f t="shared" si="1"/>
        <v>390.83333333333337</v>
      </c>
      <c r="P15" s="909">
        <f t="shared" si="1"/>
        <v>591.06666666666672</v>
      </c>
      <c r="Q15" s="909">
        <f t="shared" ca="1" si="1"/>
        <v>465812.03529091965</v>
      </c>
    </row>
    <row r="17" spans="1:17">
      <c r="A17" s="452" t="s">
        <v>551</v>
      </c>
      <c r="B17" s="715">
        <f ca="1">huishoudens!B10</f>
        <v>0.16997347407705829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5513.0137225244953</v>
      </c>
      <c r="C22" s="442">
        <f t="shared" ref="C22:C32" ca="1" si="3">C4*$C$17</f>
        <v>0</v>
      </c>
      <c r="D22" s="442">
        <f t="shared" ref="D22:D32" si="4">D4*$D$17</f>
        <v>12771.235559734565</v>
      </c>
      <c r="E22" s="442">
        <f t="shared" ref="E22:E32" si="5">E4*$E$17</f>
        <v>365.10432204474029</v>
      </c>
      <c r="F22" s="442">
        <f t="shared" ref="F22:F32" si="6">F4*$F$17</f>
        <v>13547.488615566001</v>
      </c>
      <c r="G22" s="442">
        <f t="shared" ref="G22:G32" si="7">G4*$G$17</f>
        <v>0</v>
      </c>
      <c r="H22" s="442">
        <f t="shared" ref="H22:H32" si="8">H4*$H$17</f>
        <v>0</v>
      </c>
      <c r="I22" s="442">
        <f t="shared" ref="I22:I32" si="9">I4*$I$17</f>
        <v>0</v>
      </c>
      <c r="J22" s="442">
        <f t="shared" ref="J22:J32" si="10">J4*$J$17</f>
        <v>418.86940318268114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32615.711623052484</v>
      </c>
    </row>
    <row r="23" spans="1:17">
      <c r="A23" s="441" t="s">
        <v>149</v>
      </c>
      <c r="B23" s="442">
        <f t="shared" ca="1" si="2"/>
        <v>3464.0502571175425</v>
      </c>
      <c r="C23" s="442">
        <f t="shared" ca="1" si="3"/>
        <v>0</v>
      </c>
      <c r="D23" s="442">
        <f t="shared" ca="1" si="4"/>
        <v>5029.0743618866036</v>
      </c>
      <c r="E23" s="442">
        <f t="shared" si="5"/>
        <v>72.823811344135663</v>
      </c>
      <c r="F23" s="442">
        <f t="shared" ca="1" si="6"/>
        <v>1149.0645349168467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9715.0129652651267</v>
      </c>
    </row>
    <row r="24" spans="1:17">
      <c r="A24" s="441" t="s">
        <v>187</v>
      </c>
      <c r="B24" s="442">
        <f t="shared" ca="1" si="2"/>
        <v>247.0003533245588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247.0003533245588</v>
      </c>
    </row>
    <row r="25" spans="1:17">
      <c r="A25" s="441" t="s">
        <v>105</v>
      </c>
      <c r="B25" s="442">
        <f t="shared" ca="1" si="2"/>
        <v>1581.2388381453432</v>
      </c>
      <c r="C25" s="442">
        <f t="shared" ca="1" si="3"/>
        <v>0</v>
      </c>
      <c r="D25" s="442">
        <f t="shared" si="4"/>
        <v>87.107760882000036</v>
      </c>
      <c r="E25" s="442">
        <f t="shared" si="5"/>
        <v>45.28336055623928</v>
      </c>
      <c r="F25" s="442">
        <f t="shared" si="6"/>
        <v>8056.8546378924748</v>
      </c>
      <c r="G25" s="442">
        <f t="shared" si="7"/>
        <v>0</v>
      </c>
      <c r="H25" s="442">
        <f t="shared" si="8"/>
        <v>0</v>
      </c>
      <c r="I25" s="442">
        <f t="shared" si="9"/>
        <v>0</v>
      </c>
      <c r="J25" s="442">
        <f t="shared" si="10"/>
        <v>317.30263961393166</v>
      </c>
      <c r="K25" s="442">
        <f t="shared" si="11"/>
        <v>0</v>
      </c>
      <c r="L25" s="442">
        <f t="shared" si="12"/>
        <v>0</v>
      </c>
      <c r="M25" s="442">
        <f t="shared" si="13"/>
        <v>0</v>
      </c>
      <c r="N25" s="442">
        <f t="shared" si="14"/>
        <v>0</v>
      </c>
      <c r="O25" s="442">
        <f t="shared" si="15"/>
        <v>0</v>
      </c>
      <c r="P25" s="443">
        <f t="shared" si="16"/>
        <v>0</v>
      </c>
      <c r="Q25" s="441">
        <f t="shared" ca="1" si="17"/>
        <v>10087.78723708999</v>
      </c>
    </row>
    <row r="26" spans="1:17">
      <c r="A26" s="441" t="s">
        <v>612</v>
      </c>
      <c r="B26" s="442">
        <f t="shared" ca="1" si="2"/>
        <v>7861.4317953099544</v>
      </c>
      <c r="C26" s="442">
        <f t="shared" ca="1" si="3"/>
        <v>0</v>
      </c>
      <c r="D26" s="442">
        <f t="shared" si="4"/>
        <v>12958.889423412074</v>
      </c>
      <c r="E26" s="442">
        <f t="shared" si="5"/>
        <v>666.01199075073828</v>
      </c>
      <c r="F26" s="442">
        <f t="shared" si="6"/>
        <v>3555.2544391921083</v>
      </c>
      <c r="G26" s="442">
        <f t="shared" si="7"/>
        <v>0</v>
      </c>
      <c r="H26" s="442">
        <f t="shared" si="8"/>
        <v>0</v>
      </c>
      <c r="I26" s="442">
        <f t="shared" si="9"/>
        <v>0</v>
      </c>
      <c r="J26" s="442">
        <f t="shared" si="10"/>
        <v>65.445452682133549</v>
      </c>
      <c r="K26" s="442">
        <f t="shared" si="11"/>
        <v>0</v>
      </c>
      <c r="L26" s="442">
        <f t="shared" si="12"/>
        <v>0</v>
      </c>
      <c r="M26" s="442">
        <f t="shared" si="13"/>
        <v>0</v>
      </c>
      <c r="N26" s="442">
        <f t="shared" si="14"/>
        <v>0</v>
      </c>
      <c r="O26" s="442">
        <f t="shared" si="15"/>
        <v>0</v>
      </c>
      <c r="P26" s="443">
        <f t="shared" si="16"/>
        <v>0</v>
      </c>
      <c r="Q26" s="441">
        <f t="shared" ca="1" si="17"/>
        <v>25107.033101347006</v>
      </c>
    </row>
    <row r="27" spans="1:17" s="447" customFormat="1">
      <c r="A27" s="445" t="s">
        <v>556</v>
      </c>
      <c r="B27" s="709">
        <f t="shared" ca="1" si="2"/>
        <v>1.862382748757478</v>
      </c>
      <c r="C27" s="446">
        <f t="shared" ca="1" si="3"/>
        <v>0</v>
      </c>
      <c r="D27" s="446">
        <f t="shared" si="4"/>
        <v>3.643511474274717</v>
      </c>
      <c r="E27" s="446">
        <f t="shared" si="5"/>
        <v>39.204316827422353</v>
      </c>
      <c r="F27" s="446">
        <f t="shared" si="6"/>
        <v>0</v>
      </c>
      <c r="G27" s="446">
        <f t="shared" si="7"/>
        <v>17328.272962016727</v>
      </c>
      <c r="H27" s="446">
        <f t="shared" si="8"/>
        <v>2734.1446968295922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20107.127869896773</v>
      </c>
    </row>
    <row r="28" spans="1:17">
      <c r="A28" s="441" t="s">
        <v>546</v>
      </c>
      <c r="B28" s="442">
        <f t="shared" ca="1" si="2"/>
        <v>0.57718980041834256</v>
      </c>
      <c r="C28" s="442">
        <f t="shared" ca="1" si="3"/>
        <v>0</v>
      </c>
      <c r="D28" s="442">
        <f t="shared" si="4"/>
        <v>0</v>
      </c>
      <c r="E28" s="442">
        <f t="shared" si="5"/>
        <v>0</v>
      </c>
      <c r="F28" s="442">
        <f t="shared" si="6"/>
        <v>0</v>
      </c>
      <c r="G28" s="442">
        <f t="shared" si="7"/>
        <v>171.80181207964222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172.37900188006057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187.82323845726057</v>
      </c>
      <c r="C32" s="442">
        <f t="shared" ca="1" si="3"/>
        <v>0</v>
      </c>
      <c r="D32" s="442">
        <f t="shared" si="4"/>
        <v>476.64421515746437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664.46745361472495</v>
      </c>
    </row>
    <row r="33" spans="1:17" s="451" customFormat="1">
      <c r="A33" s="969" t="s">
        <v>550</v>
      </c>
      <c r="B33" s="909">
        <f ca="1">SUM(B22:B32)</f>
        <v>18856.997777428329</v>
      </c>
      <c r="C33" s="909">
        <f t="shared" ref="C33:Q33" ca="1" si="18">SUM(C22:C32)</f>
        <v>0</v>
      </c>
      <c r="D33" s="909">
        <f t="shared" ca="1" si="18"/>
        <v>31326.594832546984</v>
      </c>
      <c r="E33" s="909">
        <f t="shared" si="18"/>
        <v>1188.427801523276</v>
      </c>
      <c r="F33" s="909">
        <f t="shared" ca="1" si="18"/>
        <v>26308.662227567427</v>
      </c>
      <c r="G33" s="909">
        <f t="shared" si="18"/>
        <v>17500.074774096367</v>
      </c>
      <c r="H33" s="909">
        <f t="shared" si="18"/>
        <v>2734.1446968295922</v>
      </c>
      <c r="I33" s="909">
        <f t="shared" si="18"/>
        <v>0</v>
      </c>
      <c r="J33" s="909">
        <f t="shared" si="18"/>
        <v>801.61749547874638</v>
      </c>
      <c r="K33" s="909">
        <f t="shared" si="18"/>
        <v>0</v>
      </c>
      <c r="L33" s="909">
        <f t="shared" ca="1" si="18"/>
        <v>0</v>
      </c>
      <c r="M33" s="909">
        <f t="shared" si="18"/>
        <v>0</v>
      </c>
      <c r="N33" s="909">
        <f t="shared" ca="1" si="18"/>
        <v>0</v>
      </c>
      <c r="O33" s="909">
        <f t="shared" si="18"/>
        <v>0</v>
      </c>
      <c r="P33" s="909">
        <f t="shared" si="18"/>
        <v>0</v>
      </c>
      <c r="Q33" s="909">
        <f t="shared" ca="1" si="18"/>
        <v>98716.519605470705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14365.913149339714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10124.132024434301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1125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1323.5294117647061</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25615.045173774015</v>
      </c>
      <c r="C10" s="990">
        <f>SUM(C4:C9)</f>
        <v>0</v>
      </c>
      <c r="D10" s="990">
        <f t="shared" ref="D10:H10" si="0">SUM(D8:D9)</f>
        <v>0</v>
      </c>
      <c r="E10" s="990">
        <f t="shared" si="0"/>
        <v>0</v>
      </c>
      <c r="F10" s="990">
        <f t="shared" si="0"/>
        <v>0</v>
      </c>
      <c r="G10" s="990">
        <f t="shared" si="0"/>
        <v>0</v>
      </c>
      <c r="H10" s="990">
        <f t="shared" si="0"/>
        <v>0</v>
      </c>
      <c r="I10" s="990">
        <f>SUM(I8:I9)</f>
        <v>0</v>
      </c>
      <c r="J10" s="990">
        <f>SUM(J8:J9)</f>
        <v>1323.5294117647061</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0.16997347407705829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1607.1428571428571</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1890.7563025210086</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1607.1428571428571</v>
      </c>
      <c r="C20" s="990">
        <f>SUM(C17:C19)</f>
        <v>0</v>
      </c>
      <c r="D20" s="990">
        <f t="shared" ref="D20:H20" si="2">SUM(D17:D19)</f>
        <v>0</v>
      </c>
      <c r="E20" s="990">
        <f t="shared" si="2"/>
        <v>0</v>
      </c>
      <c r="F20" s="990">
        <f t="shared" si="2"/>
        <v>0</v>
      </c>
      <c r="G20" s="990">
        <f t="shared" si="2"/>
        <v>0</v>
      </c>
      <c r="H20" s="990">
        <f t="shared" si="2"/>
        <v>0</v>
      </c>
      <c r="I20" s="990">
        <f>SUM(I17:I19)</f>
        <v>0</v>
      </c>
      <c r="J20" s="990">
        <f>SUM(J17:J19)</f>
        <v>1890.7563025210086</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0.16997347407705829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2022-07-26T11:35:48Z</dcterms:modified>
</cp:coreProperties>
</file>