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225431FA-64BF-446E-B3F9-3A42B41E57F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<sst xmlns="http://schemas.openxmlformats.org/spreadsheetml/2006/main" count="2441" uniqueCount="910">
  <si>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</si>
  <si>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</si>
  <si>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</si>
  <si>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</si>
  <si>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</si>
  <si>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</si>
  <si>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</si>
  <si>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</si>
  <si>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</si>
  <si>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</si>
  <si>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</si>
  <si>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</si>
  <si>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</si>
  <si>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</si>
  <si>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</si>
  <si>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</si>
  <si>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</si>
  <si>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</si>
  <si>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</si>
  <si>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</si>
  <si>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</si>
  <si>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</si>
  <si>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</si>
  <si>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</si>
  <si>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</si>
  <si>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</si>
  <si>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</si>
  <si>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</si>
  <si>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</si>
  <si>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</si>
  <si>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</si>
  <si>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</si>
  <si>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</si>
  <si>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</si>
  <si>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</si>
  <si>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</si>
  <si>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</si>
  <si>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</si>
  <si>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</si>
  <si>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</si>
  <si>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</si>
  <si>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</si>
  <si>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</si>
  <si>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</si>
  <si>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</si>
  <si>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</si>
  <si>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</si>
  <si>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</si>
  <si>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</si>
  <si>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</si>
  <si>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</si>
  <si>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</si>
  <si>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</si>
  <si>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</si>
  <si>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</si>
  <si>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</si>
  <si>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</si>
  <si>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</si>
  <si>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</si>
  <si>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</si>
  <si>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</si>
  <si>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</si>
  <si>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</si>
  <si>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</si>
  <si>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</si>
  <si>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</si>
  <si>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</si>
  <si>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</si>
  <si>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</si>
  <si>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</si>
  <si>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</si>
  <si>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</si>
  <si>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</si>
  <si>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</si>
  <si>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</si>
  <si>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</si>
  <si>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</si>
  <si>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</si>
  <si>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</si>
  <si>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</si>
  <si>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</si>
  <si>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</si>
  <si>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</si>
  <si>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</si>
  <si>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</si>
  <si>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</si>
  <si>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</si>
  <si>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</si>
  <si>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</si>
  <si>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</si>
  <si>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</si>
  <si>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</si>
  <si>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</si>
  <si>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</si>
  <si>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</si>
  <si>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</si>
  <si>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</si>
  <si>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</si>
  <si>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</si>
  <si>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</si>
  <si>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</si>
  <si>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</si>
  <si>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</si>
  <si>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</si>
  <si>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</si>
  <si>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</si>
  <si>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</si>
  <si>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</si>
  <si>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</si>
  <si>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</si>
  <si>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</si>
  <si>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</si>
  <si>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</si>
  <si>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</si>
  <si>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</si>
  <si>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</si>
  <si>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</si>
  <si>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</si>
  <si>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</si>
  <si>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</si>
  <si>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</si>
  <si>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</si>
  <si>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</si>
  <si>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</si>
  <si>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</si>
  <si>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</si>
  <si>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</si>
  <si>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</si>
  <si>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</si>
  <si>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</si>
  <si>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</si>
  <si>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</si>
  <si>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</si>
  <si>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</si>
  <si>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</si>
  <si>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</si>
  <si>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</si>
  <si>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</si>
  <si>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</si>
  <si>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</si>
  <si>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</si>
  <si>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</si>
  <si>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</si>
  <si>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</si>
  <si>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</si>
  <si>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</si>
  <si>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</si>
  <si>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</si>
  <si>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</si>
  <si>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</si>
  <si>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</si>
  <si>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</si>
  <si>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</si>
  <si>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</si>
  <si>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</si>
  <si>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</si>
  <si>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</si>
  <si>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</si>
  <si>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</si>
  <si>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</si>
  <si>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</si>
  <si>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</si>
  <si>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</si>
  <si>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</si>
  <si>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</si>
  <si>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</si>
  <si>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</si>
  <si>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</si>
  <si>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</si>
  <si>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</si>
  <si>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</si>
  <si>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</si>
  <si>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</si>
  <si>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</si>
  <si>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</si>
  <si>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</si>
  <si>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</si>
  <si>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</si>
  <si>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</si>
  <si>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</si>
  <si>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</si>
  <si>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</si>
  <si>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</si>
  <si>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</si>
  <si>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</si>
  <si>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</si>
  <si>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</si>
  <si>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</si>
  <si>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</si>
  <si>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</si>
  <si>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</si>
  <si>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</si>
  <si>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</si>
  <si>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</si>
  <si>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</si>
  <si>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</si>
  <si>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</si>
  <si>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</si>
  <si>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</si>
  <si>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</si>
  <si>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</si>
  <si>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</si>
  <si>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</si>
  <si>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</si>
  <si>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</si>
  <si>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</si>
  <si>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</si>
  <si>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</si>
  <si>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</si>
  <si>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</si>
  <si>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</si>
  <si>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</si>
  <si>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</si>
  <si>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</si>
  <si>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</si>
  <si>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</si>
  <si>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</si>
  <si>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</si>
  <si>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</si>
  <si>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</si>
  <si>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</si>
  <si>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</si>
  <si>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</si>
  <si>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</si>
  <si>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</si>
  <si>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</si>
  <si>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</si>
  <si>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</si>
  <si>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</si>
  <si>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</si>
  <si>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</si>
  <si>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</si>
  <si>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</si>
  <si>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</si>
  <si>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</si>
  <si>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</si>
  <si>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</si>
  <si>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</si>
  <si>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</si>
  <si>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</si>
  <si>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</si>
  <si>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</si>
  <si>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</si>
  <si>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</si>
  <si>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</si>
  <si>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</si>
  <si>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</si>
  <si>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</si>
  <si>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</si>
  <si>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</si>
  <si>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</si>
  <si>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</si>
  <si>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</si>
  <si>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</si>
  <si>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</si>
  <si>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</si>
  <si>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</si>
  <si>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</si>
  <si>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</si>
  <si>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</si>
  <si>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</si>
  <si>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</si>
  <si>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</si>
  <si>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</si>
  <si>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</si>
  <si>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</si>
  <si>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</si>
  <si>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</si>
  <si>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</si>
  <si>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</si>
  <si>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</si>
  <si>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</si>
  <si>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</si>
  <si>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</si>
  <si>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</si>
  <si>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</si>
  <si>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</si>
  <si>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</si>
  <si>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</si>
  <si>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</si>
  <si>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</si>
  <si>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</si>
  <si>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</si>
  <si>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</si>
  <si>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</si>
  <si>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</si>
  <si>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</si>
  <si>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</si>
  <si>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</si>
  <si>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</si>
  <si>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</si>
  <si>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</si>
  <si>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</si>
  <si>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</si>
  <si>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</si>
  <si>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</si>
  <si>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</si>
  <si>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</si>
  <si>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</si>
  <si>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</si>
  <si>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</si>
  <si>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</si>
  <si>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</si>
  <si>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</si>
  <si>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</si>
  <si>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</si>
  <si>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</si>
  <si>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</si>
  <si>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</si>
  <si>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</si>
  <si>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</si>
  <si>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</si>
  <si>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</si>
  <si>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</si>
  <si>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</si>
  <si>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</si>
  <si>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</si>
  <si>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</si>
  <si>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</si>
  <si>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</si>
  <si>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</si>
  <si>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</si>
  <si>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</si>
  <si>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</si>
  <si>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</si>
  <si>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</si>
  <si>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</si>
  <si>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</si>
  <si>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</si>
  <si>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</si>
  <si>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</si>
  <si>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</si>
  <si>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</si>
  <si>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</si>
  <si>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</si>
  <si>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</si>
  <si>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</si>
  <si>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</si>
  <si>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</si>
  <si>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</si>
  <si>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</si>
  <si>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</si>
  <si>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</si>
  <si>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</si>
  <si>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</si>
  <si>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</si>
  <si>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</si>
  <si>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</si>
  <si>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</si>
  <si>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</si>
  <si>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</si>
  <si>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</si>
  <si>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</si>
  <si>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</si>
  <si>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</si>
  <si>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</si>
  <si>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</si>
  <si>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</si>
  <si>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</si>
  <si>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</si>
  <si>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</si>
  <si>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</si>
  <si>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</si>
  <si>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</si>
  <si>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</si>
  <si>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</si>
  <si>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</si>
  <si>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</si>
  <si>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</si>
  <si>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</si>
  <si>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</si>
  <si>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</si>
  <si>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</si>
  <si>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</si>
  <si>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</si>
  <si>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</si>
  <si>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</si>
  <si>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</si>
  <si>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</si>
  <si>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</si>
  <si>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</si>
  <si>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</si>
  <si>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</si>
  <si>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</si>
  <si>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</si>
  <si>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</si>
  <si>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</si>
  <si>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</si>
  <si>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</si>
  <si>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</si>
  <si>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</si>
  <si>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</si>
  <si>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</si>
  <si>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</si>
  <si>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</si>
  <si>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</si>
  <si>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</si>
  <si>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</si>
  <si>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</si>
  <si>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</si>
  <si>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</si>
  <si>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</si>
  <si>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</si>
  <si>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</si>
  <si>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</si>
  <si>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</si>
  <si>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</si>
  <si>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</si>
  <si>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</si>
  <si>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</si>
  <si>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</si>
  <si>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</si>
  <si>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</si>
  <si>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</si>
  <si>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</si>
  <si>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</si>
  <si>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</si>
  <si>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</si>
  <si>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</si>
  <si>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</si>
  <si>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</si>
  <si>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</si>
  <si>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</si>
  <si>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</si>
  <si>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</si>
  <si>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</si>
  <si>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</si>
  <si>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</si>
  <si>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</si>
  <si>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</si>
  <si>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</si>
  <si>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</si>
  <si>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</si>
  <si>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</si>
  <si>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</si>
  <si>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</si>
  <si>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</si>
  <si>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</si>
  <si>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</si>
  <si>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</si>
  <si>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</si>
  <si>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</si>
  <si>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</si>
  <si>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</si>
  <si>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</si>
  <si>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</si>
  <si>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</si>
  <si>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</si>
  <si>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</si>
  <si>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</si>
  <si>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</si>
  <si>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</si>
  <si>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</si>
  <si>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</si>
  <si>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</si>
  <si>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</si>
  <si>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</si>
  <si>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</si>
  <si>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</si>
  <si>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</si>
  <si>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</si>
  <si>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</si>
  <si>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</si>
  <si>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</si>
  <si>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</si>
  <si>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</si>
  <si>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</si>
  <si>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</si>
  <si>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</si>
  <si>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</si>
  <si>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</si>
  <si>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</si>
  <si>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</si>
  <si>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</si>
  <si>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</si>
  <si>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</si>
  <si>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</si>
  <si>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</si>
  <si>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</si>
  <si>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</si>
  <si>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</si>
  <si>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</si>
  <si>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</si>
  <si>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</si>
  <si>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</si>
  <si>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</si>
  <si>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</si>
  <si>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</si>
  <si>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</si>
  <si>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</si>
  <si>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</si>
  <si>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</si>
  <si>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</si>
  <si>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</si>
  <si>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</si>
  <si>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</si>
  <si>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</si>
  <si>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</si>
  <si>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</si>
  <si>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</si>
  <si>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</si>
  <si>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</si>
  <si>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</si>
  <si>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</si>
  <si>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</si>
  <si>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</si>
  <si>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</si>
  <si>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</si>
  <si>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</si>
  <si>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</si>
  <si>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</si>
  <si>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</si>
  <si>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</si>
  <si>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</si>
  <si>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</si>
  <si>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</si>
  <si>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</si>
  <si>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</si>
  <si>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</si>
  <si>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</si>
  <si>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</si>
  <si>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</si>
  <si>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</si>
  <si>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</si>
  <si>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</si>
  <si>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</si>
  <si>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</si>
  <si>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</si>
  <si>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</si>
  <si>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</si>
  <si>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</si>
  <si>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</si>
  <si>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</si>
  <si>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</si>
  <si>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</si>
  <si>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</si>
  <si>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</si>
  <si>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</si>
  <si>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</si>
  <si>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</si>
  <si>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</si>
  <si>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</si>
  <si>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</si>
  <si>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</si>
  <si>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</si>
  <si>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</si>
  <si>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</si>
  <si>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</si>
  <si>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</si>
  <si>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</si>
  <si>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</si>
  <si>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</si>
  <si>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</si>
  <si>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</si>
  <si>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</si>
  <si>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</si>
  <si>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</si>
  <si>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</si>
  <si>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</si>
  <si>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</si>
  <si>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</si>
  <si>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</si>
  <si>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</si>
  <si>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</si>
  <si>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</si>
  <si>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</si>
  <si>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</si>
  <si>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</si>
  <si>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</si>
  <si>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</si>
  <si>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</si>
  <si>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</si>
  <si>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</si>
  <si>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</si>
  <si>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</si>
  <si>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</si>
  <si>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</si>
  <si>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</si>
  <si>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</si>
  <si>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</si>
  <si>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</si>
  <si>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</si>
  <si>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</si>
  <si>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</si>
  <si>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</si>
  <si>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</si>
  <si>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</si>
  <si>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</si>
  <si>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</si>
  <si>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</si>
  <si>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</si>
  <si>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</si>
  <si>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</si>
  <si>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</si>
  <si>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</si>
  <si>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</si>
  <si>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</si>
  <si>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</si>
  <si>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</si>
  <si>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</si>
  <si>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</si>
  <si>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</si>
  <si>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</si>
  <si>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</si>
  <si>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</si>
  <si>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</si>
  <si>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</si>
  <si>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</si>
  <si>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</si>
  <si>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</si>
  <si>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</si>
  <si>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</si>
  <si>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</si>
  <si>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</si>
  <si>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</si>
  <si>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</si>
  <si>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</si>
  <si>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</si>
  <si>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</si>
  <si>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</si>
  <si>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</si>
  <si>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</si>
  <si>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</si>
  <si>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</si>
  <si>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</si>
  <si>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</si>
  <si>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</si>
  <si>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</si>
  <si>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</si>
  <si>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</si>
  <si>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</si>
  <si>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</si>
  <si>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</si>
  <si>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</si>
  <si>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</si>
  <si>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</si>
  <si>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</si>
  <si>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</si>
  <si>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</si>
  <si>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</si>
  <si>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</si>
  <si>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</si>
  <si>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</si>
  <si>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</si>
  <si>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</si>
  <si>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</si>
  <si>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</si>
  <si>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</si>
  <si>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</si>
  <si>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</si>
  <si>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</si>
  <si>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</si>
  <si>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</si>
  <si>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</si>
  <si>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</si>
  <si>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</si>
  <si>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</si>
  <si>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</si>
  <si>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</si>
  <si>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</si>
  <si>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</si>
  <si>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</si>
  <si>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</si>
  <si>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</si>
  <si>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</si>
  <si>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</si>
  <si>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</si>
  <si>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</si>
  <si>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</si>
  <si>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</si>
  <si>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</si>
  <si>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</si>
  <si>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</si>
  <si>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</si>
  <si>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</si>
  <si>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</si>
  <si>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</si>
  <si>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</si>
  <si>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</si>
  <si>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</si>
  <si>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</si>
  <si>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</si>
  <si>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</si>
  <si>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</si>
  <si>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</si>
  <si>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</si>
  <si>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</si>
  <si>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</si>
  <si>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</si>
  <si>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</si>
  <si>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</si>
  <si>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</si>
  <si>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</si>
  <si>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</si>
  <si>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</si>
  <si>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</si>
  <si>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</si>
  <si>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</si>
  <si>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</si>
  <si>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</si>
  <si>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</si>
  <si>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</si>
  <si>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</si>
  <si>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</si>
  <si>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</si>
  <si>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</si>
  <si>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</si>
  <si>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</si>
  <si>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</si>
  <si>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</si>
  <si>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</si>
  <si>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</si>
  <si>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</si>
  <si>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</si>
  <si>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</si>
  <si>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</si>
  <si>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</si>
  <si>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</si>
  <si>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</si>
  <si>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</si>
  <si>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</si>
  <si>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</si>
  <si>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</si>
  <si>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</si>
  <si>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</si>
  <si>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</si>
  <si>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</si>
  <si>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</si>
  <si>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</si>
  <si>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</si>
  <si>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</si>
  <si>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</si>
  <si>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</si>
  <si>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</si>
  <si>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</si>
  <si>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</si>
  <si>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</si>
  <si>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</si>
  <si>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</si>
  <si>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</si>
  <si>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</si>
  <si>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</si>
  <si>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</si>
  <si>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</si>
  <si>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</si>
  <si>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</si>
  <si>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</si>
  <si>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</si>
  <si>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</si>
  <si>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</si>
  <si>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</si>
  <si>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</si>
  <si>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</si>
  <si>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</si>
  <si>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</si>
  <si>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</si>
  <si>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</si>
  <si>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</si>
  <si>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</si>
  <si>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</si>
  <si>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</si>
  <si>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</si>
  <si>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</si>
  <si>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</si>
  <si>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</si>
  <si>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</si>
  <si>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</si>
  <si>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</si>
  <si>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</si>
  <si>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</si>
  <si>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</si>
  <si>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</si>
  <si>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</si>
  <si>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</si>
  <si>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</si>
  <si>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</si>
  <si>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</si>
  <si>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</si>
  <si>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</si>
  <si>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</si>
  <si>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</si>
  <si>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</si>
  <si>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</si>
  <si>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</si>
  <si>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</si>
  <si>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</si>
  <si>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</si>
  <si>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</si>
  <si>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</si>
  <si>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</si>
  <si>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</si>
  <si>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</si>
  <si>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</si>
  <si>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</si>
  <si>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</si>
  <si>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</si>
  <si>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</si>
  <si>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</si>
  <si>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</si>
  <si>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</si>
  <si>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</si>
  <si>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</si>
  <si>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</si>
  <si>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</si>
  <si>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</si>
  <si>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</si>
  <si>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</si>
  <si>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</si>
  <si>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</si>
  <si>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</si>
  <si>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</si>
  <si>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</si>
  <si>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</si>
  <si>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</si>
  <si>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</si>
  <si>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</si>
  <si>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</si>
  <si>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</si>
  <si>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</si>
  <si>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</si>
  <si>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</si>
  <si>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</si>
  <si>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</si>
  <si>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</si>
  <si>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</si>
  <si>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</si>
  <si>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</si>
  <si>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</si>
  <si>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</si>
  <si>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</si>
  <si>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</si>
  <si>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</si>
  <si>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</si>
  <si>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</si>
  <si>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</si>
  <si>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</si>
  <si>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</si>
  <si>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</si>
  <si>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</si>
  <si>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</si>
  <si>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</si>
  <si>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</si>
  <si>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</si>
  <si>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</si>
  <si>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</si>
  <si>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</si>
  <si>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</si>
  <si>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</si>
  <si>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</si>
  <si>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</si>
  <si>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</si>
  <si>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</si>
  <si>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</si>
  <si>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</si>
  <si>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</si>
  <si>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</si>
  <si>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</si>
  <si>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</si>
  <si>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</si>
  <si>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</si>
  <si>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</si>
  <si>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</si>
  <si>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</si>
  <si>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</si>
  <si>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</si>
  <si>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</si>
  <si>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</si>
  <si>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</si>
  <si>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</si>
  <si>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</si>
  <si>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</si>
  <si>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</si>
  <si>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</si>
  <si>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</si>
  <si>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</si>
  <si>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</si>
  <si>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</si>
  <si>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</si>
  <si>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</si>
  <si>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</si>
  <si>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</si>
  <si>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</si>
  <si>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</si>
  <si>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</si>
  <si>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</si>
  <si>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</si>
  <si>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</si>
  <si>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</si>
  <si>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</si>
  <si>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</si>
  <si>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</si>
  <si>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</si>
  <si>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</si>
  <si>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</si>
  <si>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</si>
  <si>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</si>
  <si>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</si>
  <si>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</si>
  <si>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</si>
  <si>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24062</t>
  </si>
  <si>
    <t>LEUVEN</t>
  </si>
  <si>
    <t>Paarden&amp;pony's 200 - 600 kg</t>
  </si>
  <si>
    <t>Paarden&amp;pony's &lt; 200 kg</t>
  </si>
  <si>
    <t>vloeibaar gas (MWh)</t>
  </si>
  <si>
    <t>interne verbrandingsmotor</t>
  </si>
  <si>
    <t>WKK interne verbrandinsgmotor (gas)</t>
  </si>
  <si>
    <t>IVERLEK</t>
  </si>
  <si>
    <t>biogas - RWZI</t>
  </si>
  <si>
    <t>niet WKK interne verbrandingsmotor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</si>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</sst>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544905E8-71A6-4B5B-8539-18B3B00399D1}"/>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920559.70833819686</c:v>
                </c:pt>
                <c:pt idx="1">
                  <c:v>974357.8526632901</c:v>
                </c:pt>
                <c:pt idx="2">
                  <c:v>5466.5839999999998</c:v>
                </c:pt>
                <c:pt idx="3">
                  <c:v>9589.3903549143415</c:v>
                </c:pt>
                <c:pt idx="4">
                  <c:v>291176.96214331512</c:v>
                </c:pt>
                <c:pt idx="5">
                  <c:v>556510.4549702676</c:v>
                </c:pt>
                <c:pt idx="6">
                  <c:v>24983.76860120759</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920559.70833819686</c:v>
                </c:pt>
                <c:pt idx="1">
                  <c:v>974357.8526632901</c:v>
                </c:pt>
                <c:pt idx="2">
                  <c:v>5466.5839999999998</c:v>
                </c:pt>
                <c:pt idx="3">
                  <c:v>9589.3903549143415</c:v>
                </c:pt>
                <c:pt idx="4">
                  <c:v>291176.96214331512</c:v>
                </c:pt>
                <c:pt idx="5">
                  <c:v>556510.4549702676</c:v>
                </c:pt>
                <c:pt idx="6">
                  <c:v>24983.76860120759</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199191.038431497</c:v>
                </c:pt>
                <c:pt idx="2">
                  <c:v>207067.4219600595</c:v>
                </c:pt>
                <c:pt idx="3">
                  <c:v>1186.5742952224296</c:v>
                </c:pt>
                <c:pt idx="4">
                  <c:v>2396.9684375901961</c:v>
                </c:pt>
                <c:pt idx="5">
                  <c:v>62477.828861029062</c:v>
                </c:pt>
                <c:pt idx="6">
                  <c:v>139400.12174007404</c:v>
                </c:pt>
                <c:pt idx="7">
                  <c:v>6303.1604953142478</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199191.038431497</c:v>
                </c:pt>
                <c:pt idx="2">
                  <c:v>207067.4219600595</c:v>
                </c:pt>
                <c:pt idx="3">
                  <c:v>1186.5742952224296</c:v>
                </c:pt>
                <c:pt idx="4">
                  <c:v>2396.9684375901961</c:v>
                </c:pt>
                <c:pt idx="5">
                  <c:v>62477.828861029062</c:v>
                </c:pt>
                <c:pt idx="6">
                  <c:v>139400.12174007404</c:v>
                </c:pt>
                <c:pt idx="7">
                  <c:v>6303.1604953142478</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24062</v>
      </c>
      <c r="B6" s="381"/>
      <c r="C6" s="382"/>
    </row>
    <row r="7" spans="1:7" s="379" customFormat="1" ht="15.75" customHeight="1">
      <c r="A7" s="383" t="str">
        <f>txtMunicipality</f>
        <v>LEUVEN</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0.21705955588031384</v>
      </c>
      <c r="C17" s="489">
        <f ca="1">'EF ele_warmte'!B22</f>
        <v>0.23764705882352946</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0.21705955588031384</v>
      </c>
      <c r="C29" s="490">
        <f ca="1">'EF ele_warmte'!B22</f>
        <v>0.23764705882352946</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48197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1077</v>
      </c>
      <c r="C14" s="322"/>
      <c r="D14" s="322"/>
      <c r="E14" s="322"/>
      <c r="F14" s="322"/>
    </row>
    <row r="15" spans="1:6">
      <c r="A15" s="1261" t="s">
        <v>177</v>
      </c>
      <c r="B15" s="1262">
        <v>2</v>
      </c>
      <c r="C15" s="322"/>
      <c r="D15" s="322"/>
      <c r="E15" s="322"/>
      <c r="F15" s="322"/>
    </row>
    <row r="16" spans="1:6">
      <c r="A16" s="1261" t="s">
        <v>6</v>
      </c>
      <c r="B16" s="1262">
        <v>102</v>
      </c>
      <c r="C16" s="322"/>
      <c r="D16" s="322"/>
      <c r="E16" s="322"/>
      <c r="F16" s="322"/>
    </row>
    <row r="17" spans="1:6">
      <c r="A17" s="1261" t="s">
        <v>7</v>
      </c>
      <c r="B17" s="1262">
        <v>129</v>
      </c>
      <c r="C17" s="322"/>
      <c r="D17" s="322"/>
      <c r="E17" s="322"/>
      <c r="F17" s="322"/>
    </row>
    <row r="18" spans="1:6">
      <c r="A18" s="1261" t="s">
        <v>8</v>
      </c>
      <c r="B18" s="1262">
        <v>160</v>
      </c>
      <c r="C18" s="322"/>
      <c r="D18" s="322"/>
      <c r="E18" s="322"/>
      <c r="F18" s="322"/>
    </row>
    <row r="19" spans="1:6">
      <c r="A19" s="1261" t="s">
        <v>9</v>
      </c>
      <c r="B19" s="1262">
        <v>152</v>
      </c>
      <c r="C19" s="322"/>
      <c r="D19" s="322"/>
      <c r="E19" s="322"/>
      <c r="F19" s="322"/>
    </row>
    <row r="20" spans="1:6">
      <c r="A20" s="1261" t="s">
        <v>10</v>
      </c>
      <c r="B20" s="1262">
        <v>129</v>
      </c>
      <c r="C20" s="322"/>
      <c r="D20" s="322"/>
      <c r="E20" s="322"/>
      <c r="F20" s="322"/>
    </row>
    <row r="21" spans="1:6">
      <c r="A21" s="1261" t="s">
        <v>11</v>
      </c>
      <c r="B21" s="1262">
        <v>0</v>
      </c>
      <c r="C21" s="322"/>
      <c r="D21" s="322"/>
      <c r="E21" s="322"/>
      <c r="F21" s="322"/>
    </row>
    <row r="22" spans="1:6">
      <c r="A22" s="1261" t="s">
        <v>12</v>
      </c>
      <c r="B22" s="1262">
        <v>50</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229</v>
      </c>
      <c r="C26" s="322"/>
      <c r="D26" s="322"/>
      <c r="E26" s="322"/>
      <c r="F26" s="322"/>
    </row>
    <row r="27" spans="1:6">
      <c r="A27" s="1261" t="s">
        <v>17</v>
      </c>
      <c r="B27" s="1262">
        <v>0</v>
      </c>
      <c r="C27" s="322"/>
      <c r="D27" s="322"/>
      <c r="E27" s="322"/>
      <c r="F27" s="322"/>
    </row>
    <row r="28" spans="1:6">
      <c r="A28" s="1261" t="s">
        <v>18</v>
      </c>
      <c r="B28" s="1263">
        <v>0</v>
      </c>
      <c r="C28" s="322"/>
      <c r="D28" s="322"/>
      <c r="E28" s="322"/>
      <c r="F28" s="322"/>
    </row>
    <row r="29" spans="1:6">
      <c r="A29" s="1261" t="s">
        <v>901</v>
      </c>
      <c r="B29" s="1263">
        <v>81</v>
      </c>
      <c r="C29" s="322"/>
      <c r="D29" s="322"/>
      <c r="E29" s="322"/>
      <c r="F29" s="322"/>
    </row>
    <row r="30" spans="1:6">
      <c r="A30" s="1256" t="s">
        <v>902</v>
      </c>
      <c r="B30" s="1264">
        <v>9</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13</v>
      </c>
      <c r="D36" s="1262">
        <v>4059786.3369289101</v>
      </c>
      <c r="E36" s="1262">
        <v>10</v>
      </c>
      <c r="F36" s="1262">
        <v>659692.4</v>
      </c>
    </row>
    <row r="37" spans="1:6">
      <c r="A37" s="1261" t="s">
        <v>24</v>
      </c>
      <c r="B37" s="1261" t="s">
        <v>27</v>
      </c>
      <c r="C37" s="1262">
        <v>0</v>
      </c>
      <c r="D37" s="1262">
        <v>0</v>
      </c>
      <c r="E37" s="1262">
        <v>0</v>
      </c>
      <c r="F37" s="1262">
        <v>0</v>
      </c>
    </row>
    <row r="38" spans="1:6">
      <c r="A38" s="1261" t="s">
        <v>24</v>
      </c>
      <c r="B38" s="1261" t="s">
        <v>28</v>
      </c>
      <c r="C38" s="1262">
        <v>5</v>
      </c>
      <c r="D38" s="1262">
        <v>1302059.65582481</v>
      </c>
      <c r="E38" s="1262">
        <v>12</v>
      </c>
      <c r="F38" s="1262">
        <v>151619.70000000001</v>
      </c>
    </row>
    <row r="39" spans="1:6">
      <c r="A39" s="1261" t="s">
        <v>29</v>
      </c>
      <c r="B39" s="1261" t="s">
        <v>30</v>
      </c>
      <c r="C39" s="1262">
        <v>29046</v>
      </c>
      <c r="D39" s="1262">
        <v>407771785.43588901</v>
      </c>
      <c r="E39" s="1262">
        <v>46144</v>
      </c>
      <c r="F39" s="1262">
        <v>143000000</v>
      </c>
    </row>
    <row r="40" spans="1:6">
      <c r="A40" s="1261" t="s">
        <v>29</v>
      </c>
      <c r="B40" s="1261" t="s">
        <v>28</v>
      </c>
      <c r="C40" s="1262">
        <v>0</v>
      </c>
      <c r="D40" s="1262">
        <v>0</v>
      </c>
      <c r="E40" s="1262">
        <v>0</v>
      </c>
      <c r="F40" s="1262">
        <v>0</v>
      </c>
    </row>
    <row r="41" spans="1:6">
      <c r="A41" s="1261" t="s">
        <v>31</v>
      </c>
      <c r="B41" s="1261" t="s">
        <v>32</v>
      </c>
      <c r="C41" s="1262">
        <v>218</v>
      </c>
      <c r="D41" s="1262">
        <v>27446570.6397053</v>
      </c>
      <c r="E41" s="1262">
        <v>456</v>
      </c>
      <c r="F41" s="1262">
        <v>35034294</v>
      </c>
    </row>
    <row r="42" spans="1:6">
      <c r="A42" s="1261" t="s">
        <v>31</v>
      </c>
      <c r="B42" s="1261" t="s">
        <v>33</v>
      </c>
      <c r="C42" s="1262">
        <v>0</v>
      </c>
      <c r="D42" s="1262">
        <v>0</v>
      </c>
      <c r="E42" s="1262">
        <v>3</v>
      </c>
      <c r="F42" s="1262">
        <v>33950.47</v>
      </c>
    </row>
    <row r="43" spans="1:6">
      <c r="A43" s="1261" t="s">
        <v>31</v>
      </c>
      <c r="B43" s="1261" t="s">
        <v>34</v>
      </c>
      <c r="C43" s="1262">
        <v>0</v>
      </c>
      <c r="D43" s="1262">
        <v>0</v>
      </c>
      <c r="E43" s="1262">
        <v>0</v>
      </c>
      <c r="F43" s="1262">
        <v>0</v>
      </c>
    </row>
    <row r="44" spans="1:6">
      <c r="A44" s="1261" t="s">
        <v>31</v>
      </c>
      <c r="B44" s="1261" t="s">
        <v>35</v>
      </c>
      <c r="C44" s="1262">
        <v>7</v>
      </c>
      <c r="D44" s="1262">
        <v>223284.74083154401</v>
      </c>
      <c r="E44" s="1262">
        <v>47</v>
      </c>
      <c r="F44" s="1262">
        <v>2010542</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28</v>
      </c>
      <c r="D47" s="1262">
        <v>1050375.2769585899</v>
      </c>
      <c r="E47" s="1262">
        <v>37</v>
      </c>
      <c r="F47" s="1262">
        <v>1028870</v>
      </c>
    </row>
    <row r="48" spans="1:6">
      <c r="A48" s="1261" t="s">
        <v>31</v>
      </c>
      <c r="B48" s="1261" t="s">
        <v>28</v>
      </c>
      <c r="C48" s="1262">
        <v>104</v>
      </c>
      <c r="D48" s="1262">
        <v>77117239.242834896</v>
      </c>
      <c r="E48" s="1262">
        <v>122</v>
      </c>
      <c r="F48" s="1262">
        <v>66777422</v>
      </c>
    </row>
    <row r="49" spans="1:6">
      <c r="A49" s="1261" t="s">
        <v>31</v>
      </c>
      <c r="B49" s="1261" t="s">
        <v>39</v>
      </c>
      <c r="C49" s="1262">
        <v>4</v>
      </c>
      <c r="D49" s="1262">
        <v>131839.20948482701</v>
      </c>
      <c r="E49" s="1262">
        <v>13</v>
      </c>
      <c r="F49" s="1262">
        <v>137716.20000000001</v>
      </c>
    </row>
    <row r="50" spans="1:6">
      <c r="A50" s="1261" t="s">
        <v>31</v>
      </c>
      <c r="B50" s="1261" t="s">
        <v>40</v>
      </c>
      <c r="C50" s="1262">
        <v>38</v>
      </c>
      <c r="D50" s="1262">
        <v>7096502.1390361004</v>
      </c>
      <c r="E50" s="1262">
        <v>61</v>
      </c>
      <c r="F50" s="1262">
        <v>6008373</v>
      </c>
    </row>
    <row r="51" spans="1:6">
      <c r="A51" s="1261" t="s">
        <v>41</v>
      </c>
      <c r="B51" s="1261" t="s">
        <v>42</v>
      </c>
      <c r="C51" s="1262">
        <v>16</v>
      </c>
      <c r="D51" s="1262">
        <v>613826.54433864402</v>
      </c>
      <c r="E51" s="1262">
        <v>37</v>
      </c>
      <c r="F51" s="1262">
        <v>689722.8</v>
      </c>
    </row>
    <row r="52" spans="1:6">
      <c r="A52" s="1261" t="s">
        <v>41</v>
      </c>
      <c r="B52" s="1261" t="s">
        <v>28</v>
      </c>
      <c r="C52" s="1262">
        <v>15</v>
      </c>
      <c r="D52" s="1262">
        <v>792993.05273801601</v>
      </c>
      <c r="E52" s="1262">
        <v>24</v>
      </c>
      <c r="F52" s="1262">
        <v>1217990</v>
      </c>
    </row>
    <row r="53" spans="1:6">
      <c r="A53" s="1261" t="s">
        <v>43</v>
      </c>
      <c r="B53" s="1261" t="s">
        <v>44</v>
      </c>
      <c r="C53" s="1262">
        <v>1472</v>
      </c>
      <c r="D53" s="1262">
        <v>34283873.993089102</v>
      </c>
      <c r="E53" s="1262">
        <v>2877</v>
      </c>
      <c r="F53" s="1262">
        <v>15668961</v>
      </c>
    </row>
    <row r="54" spans="1:6">
      <c r="A54" s="1261" t="s">
        <v>45</v>
      </c>
      <c r="B54" s="1261" t="s">
        <v>46</v>
      </c>
      <c r="C54" s="1262">
        <v>0</v>
      </c>
      <c r="D54" s="1262">
        <v>0</v>
      </c>
      <c r="E54" s="1262">
        <v>1</v>
      </c>
      <c r="F54" s="1262">
        <v>5466584</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272</v>
      </c>
      <c r="D57" s="1262">
        <v>19573267.615934599</v>
      </c>
      <c r="E57" s="1262">
        <v>491</v>
      </c>
      <c r="F57" s="1262">
        <v>24741889</v>
      </c>
    </row>
    <row r="58" spans="1:6">
      <c r="A58" s="1261" t="s">
        <v>48</v>
      </c>
      <c r="B58" s="1261" t="s">
        <v>50</v>
      </c>
      <c r="C58" s="1262">
        <v>280</v>
      </c>
      <c r="D58" s="1262">
        <v>20518133.501915399</v>
      </c>
      <c r="E58" s="1262">
        <v>408</v>
      </c>
      <c r="F58" s="1262">
        <v>21189154</v>
      </c>
    </row>
    <row r="59" spans="1:6">
      <c r="A59" s="1261" t="s">
        <v>48</v>
      </c>
      <c r="B59" s="1261" t="s">
        <v>51</v>
      </c>
      <c r="C59" s="1262">
        <v>630</v>
      </c>
      <c r="D59" s="1262">
        <v>25924212.0573426</v>
      </c>
      <c r="E59" s="1262">
        <v>1186</v>
      </c>
      <c r="F59" s="1262">
        <v>45616242</v>
      </c>
    </row>
    <row r="60" spans="1:6">
      <c r="A60" s="1261" t="s">
        <v>48</v>
      </c>
      <c r="B60" s="1261" t="s">
        <v>52</v>
      </c>
      <c r="C60" s="1262">
        <v>621</v>
      </c>
      <c r="D60" s="1262">
        <v>186515915.7965</v>
      </c>
      <c r="E60" s="1262">
        <v>727</v>
      </c>
      <c r="F60" s="1262">
        <v>231000000</v>
      </c>
    </row>
    <row r="61" spans="1:6">
      <c r="A61" s="1261" t="s">
        <v>48</v>
      </c>
      <c r="B61" s="1261" t="s">
        <v>53</v>
      </c>
      <c r="C61" s="1262">
        <v>1667</v>
      </c>
      <c r="D61" s="1262">
        <v>130669761.13410699</v>
      </c>
      <c r="E61" s="1262">
        <v>3426</v>
      </c>
      <c r="F61" s="1262">
        <v>94545598</v>
      </c>
    </row>
    <row r="62" spans="1:6">
      <c r="A62" s="1261" t="s">
        <v>48</v>
      </c>
      <c r="B62" s="1261" t="s">
        <v>54</v>
      </c>
      <c r="C62" s="1262">
        <v>83</v>
      </c>
      <c r="D62" s="1262">
        <v>12543445.2609876</v>
      </c>
      <c r="E62" s="1262">
        <v>135</v>
      </c>
      <c r="F62" s="1262">
        <v>6229833</v>
      </c>
    </row>
    <row r="63" spans="1:6">
      <c r="A63" s="1261" t="s">
        <v>48</v>
      </c>
      <c r="B63" s="1261" t="s">
        <v>28</v>
      </c>
      <c r="C63" s="1262">
        <v>394</v>
      </c>
      <c r="D63" s="1262">
        <v>77169709.970976397</v>
      </c>
      <c r="E63" s="1262">
        <v>455</v>
      </c>
      <c r="F63" s="1262">
        <v>24501717</v>
      </c>
    </row>
    <row r="64" spans="1:6">
      <c r="A64" s="1261" t="s">
        <v>55</v>
      </c>
      <c r="B64" s="1261" t="s">
        <v>56</v>
      </c>
      <c r="C64" s="1262">
        <v>0</v>
      </c>
      <c r="D64" s="1262">
        <v>0</v>
      </c>
      <c r="E64" s="1262">
        <v>0</v>
      </c>
      <c r="F64" s="1262">
        <v>0</v>
      </c>
    </row>
    <row r="65" spans="1:6">
      <c r="A65" s="1261" t="s">
        <v>55</v>
      </c>
      <c r="B65" s="1261" t="s">
        <v>28</v>
      </c>
      <c r="C65" s="1262">
        <v>12</v>
      </c>
      <c r="D65" s="1262">
        <v>2128402.2692689402</v>
      </c>
      <c r="E65" s="1262">
        <v>9</v>
      </c>
      <c r="F65" s="1262">
        <v>109832.1</v>
      </c>
    </row>
    <row r="66" spans="1:6">
      <c r="A66" s="1261" t="s">
        <v>55</v>
      </c>
      <c r="B66" s="1261" t="s">
        <v>57</v>
      </c>
      <c r="C66" s="1262">
        <v>3</v>
      </c>
      <c r="D66" s="1262">
        <v>606147.58256045205</v>
      </c>
      <c r="E66" s="1262">
        <v>65</v>
      </c>
      <c r="F66" s="1262">
        <v>3828233</v>
      </c>
    </row>
    <row r="67" spans="1:6">
      <c r="A67" s="1261" t="s">
        <v>55</v>
      </c>
      <c r="B67" s="1261" t="s">
        <v>58</v>
      </c>
      <c r="C67" s="1262">
        <v>0</v>
      </c>
      <c r="D67" s="1262">
        <v>0</v>
      </c>
      <c r="E67" s="1262">
        <v>0</v>
      </c>
      <c r="F67" s="1262">
        <v>0</v>
      </c>
    </row>
    <row r="68" spans="1:6">
      <c r="A68" s="1256" t="s">
        <v>55</v>
      </c>
      <c r="B68" s="1256" t="s">
        <v>59</v>
      </c>
      <c r="C68" s="1264">
        <v>10</v>
      </c>
      <c r="D68" s="1264">
        <v>605239.52986883803</v>
      </c>
      <c r="E68" s="1264">
        <v>20</v>
      </c>
      <c r="F68" s="1264">
        <v>1233025</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171818355</v>
      </c>
      <c r="E73" s="440"/>
      <c r="F73" s="322"/>
    </row>
    <row r="74" spans="1:6">
      <c r="A74" s="1261" t="s">
        <v>63</v>
      </c>
      <c r="B74" s="1261" t="s">
        <v>670</v>
      </c>
      <c r="C74" s="1274" t="s">
        <v>672</v>
      </c>
      <c r="D74" s="1262">
        <v>6237643.7674972331</v>
      </c>
      <c r="E74" s="440"/>
      <c r="F74" s="322"/>
    </row>
    <row r="75" spans="1:6">
      <c r="A75" s="1261" t="s">
        <v>64</v>
      </c>
      <c r="B75" s="1261" t="s">
        <v>669</v>
      </c>
      <c r="C75" s="1274" t="s">
        <v>673</v>
      </c>
      <c r="D75" s="1262">
        <v>109290397</v>
      </c>
      <c r="E75" s="440"/>
      <c r="F75" s="322"/>
    </row>
    <row r="76" spans="1:6">
      <c r="A76" s="1261" t="s">
        <v>64</v>
      </c>
      <c r="B76" s="1261" t="s">
        <v>670</v>
      </c>
      <c r="C76" s="1274" t="s">
        <v>674</v>
      </c>
      <c r="D76" s="1262">
        <v>656591.76749723312</v>
      </c>
      <c r="E76" s="440"/>
      <c r="F76" s="322"/>
    </row>
    <row r="77" spans="1:6">
      <c r="A77" s="1261" t="s">
        <v>65</v>
      </c>
      <c r="B77" s="1261" t="s">
        <v>669</v>
      </c>
      <c r="C77" s="1274" t="s">
        <v>675</v>
      </c>
      <c r="D77" s="1262">
        <v>363903560</v>
      </c>
      <c r="E77" s="440"/>
      <c r="F77" s="322"/>
    </row>
    <row r="78" spans="1:6">
      <c r="A78" s="1256" t="s">
        <v>65</v>
      </c>
      <c r="B78" s="1256" t="s">
        <v>670</v>
      </c>
      <c r="C78" s="1256" t="s">
        <v>676</v>
      </c>
      <c r="D78" s="1264">
        <v>33380411</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6710214.4650055338</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81.360538116591925</v>
      </c>
      <c r="C89" s="322"/>
      <c r="D89" s="322"/>
      <c r="E89" s="322"/>
      <c r="F89" s="322"/>
    </row>
    <row r="90" spans="1:6">
      <c r="A90" s="1261" t="s">
        <v>544</v>
      </c>
      <c r="B90" s="1262">
        <v>0</v>
      </c>
      <c r="C90" s="322"/>
      <c r="D90" s="322"/>
      <c r="E90" s="322"/>
      <c r="F90" s="322"/>
    </row>
    <row r="91" spans="1:6">
      <c r="A91" s="1261" t="s">
        <v>67</v>
      </c>
      <c r="B91" s="1262">
        <v>7776.9443204328472</v>
      </c>
      <c r="C91" s="322"/>
      <c r="D91" s="322"/>
      <c r="E91" s="322"/>
      <c r="F91" s="322"/>
    </row>
    <row r="92" spans="1:6">
      <c r="A92" s="1256" t="s">
        <v>68</v>
      </c>
      <c r="B92" s="1257">
        <v>3834.2115818773254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21126</v>
      </c>
      <c r="C97" s="322"/>
      <c r="D97" s="322"/>
      <c r="E97" s="322"/>
      <c r="F97" s="322"/>
    </row>
    <row r="98" spans="1:6">
      <c r="A98" s="1261" t="s">
        <v>71</v>
      </c>
      <c r="B98" s="1262">
        <v>27</v>
      </c>
      <c r="C98" s="322"/>
      <c r="D98" s="322"/>
      <c r="E98" s="322"/>
      <c r="F98" s="322"/>
    </row>
    <row r="99" spans="1:6">
      <c r="A99" s="1261" t="s">
        <v>72</v>
      </c>
      <c r="B99" s="1262">
        <v>177</v>
      </c>
      <c r="C99" s="322"/>
      <c r="D99" s="322"/>
      <c r="E99" s="322"/>
      <c r="F99" s="322"/>
    </row>
    <row r="100" spans="1:6">
      <c r="A100" s="1261" t="s">
        <v>73</v>
      </c>
      <c r="B100" s="1262">
        <v>3087</v>
      </c>
      <c r="C100" s="322"/>
      <c r="D100" s="322"/>
      <c r="E100" s="322"/>
      <c r="F100" s="322"/>
    </row>
    <row r="101" spans="1:6">
      <c r="A101" s="1261" t="s">
        <v>74</v>
      </c>
      <c r="B101" s="1262">
        <v>75</v>
      </c>
      <c r="C101" s="322"/>
      <c r="D101" s="322"/>
      <c r="E101" s="322"/>
      <c r="F101" s="322"/>
    </row>
    <row r="102" spans="1:6">
      <c r="A102" s="1261" t="s">
        <v>75</v>
      </c>
      <c r="B102" s="1262">
        <v>1071</v>
      </c>
      <c r="C102" s="322"/>
      <c r="D102" s="322"/>
      <c r="E102" s="322"/>
      <c r="F102" s="322"/>
    </row>
    <row r="103" spans="1:6">
      <c r="A103" s="1261" t="s">
        <v>76</v>
      </c>
      <c r="B103" s="1262">
        <v>267</v>
      </c>
      <c r="C103" s="322"/>
      <c r="D103" s="322"/>
      <c r="E103" s="322"/>
      <c r="F103" s="322"/>
    </row>
    <row r="104" spans="1:6">
      <c r="A104" s="1261" t="s">
        <v>77</v>
      </c>
      <c r="B104" s="1262">
        <v>12359</v>
      </c>
      <c r="C104" s="322"/>
      <c r="D104" s="322"/>
      <c r="E104" s="322"/>
      <c r="F104" s="322"/>
    </row>
    <row r="105" spans="1:6">
      <c r="A105" s="1256" t="s">
        <v>78</v>
      </c>
      <c r="B105" s="1264">
        <v>69</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2</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29</v>
      </c>
      <c r="C123" s="1262">
        <v>46</v>
      </c>
      <c r="D123" s="322"/>
      <c r="E123" s="322"/>
      <c r="F123" s="322"/>
    </row>
    <row r="124" spans="1:6">
      <c r="A124" s="1261" t="s">
        <v>88</v>
      </c>
      <c r="B124" s="1262">
        <v>1</v>
      </c>
      <c r="C124" s="1262">
        <v>2</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391</v>
      </c>
      <c r="C129" s="322"/>
      <c r="D129" s="322"/>
      <c r="E129" s="322"/>
      <c r="F129" s="322"/>
    </row>
    <row r="130" spans="1:6">
      <c r="A130" s="1261" t="s">
        <v>284</v>
      </c>
      <c r="B130" s="1262">
        <v>7</v>
      </c>
      <c r="C130" s="322"/>
      <c r="D130" s="322"/>
      <c r="E130" s="322"/>
      <c r="F130" s="322"/>
    </row>
    <row r="131" spans="1:6">
      <c r="A131" s="1261" t="s">
        <v>285</v>
      </c>
      <c r="B131" s="1262">
        <v>18</v>
      </c>
      <c r="C131" s="322"/>
      <c r="D131" s="322"/>
      <c r="E131" s="322"/>
      <c r="F131" s="322"/>
    </row>
    <row r="132" spans="1:6">
      <c r="A132" s="1256" t="s">
        <v>286</v>
      </c>
      <c r="B132" s="1257">
        <v>23</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734340.05783503782</v>
      </c>
      <c r="C3" s="43" t="s">
        <v>163</v>
      </c>
      <c r="D3" s="43"/>
      <c r="E3" s="153"/>
      <c r="F3" s="43"/>
      <c r="G3" s="43"/>
      <c r="H3" s="43"/>
      <c r="I3" s="43"/>
      <c r="J3" s="43"/>
      <c r="K3" s="96"/>
    </row>
    <row r="4" spans="1:11">
      <c r="A4" s="349" t="s">
        <v>164</v>
      </c>
      <c r="B4" s="49">
        <f>IF(ISERROR('SEAP template'!B78+'SEAP template'!C78),0,'SEAP template'!B78+'SEAP template'!C78)</f>
        <v>13138.816440426765</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10.052470588235296</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0.21705955588031384</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14.360672268907567</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60.428571428571438</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0.23764705882352946</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5466.5839999999998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5466.5839999999998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0.21705955588031384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1186.5742952224296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143000</v>
      </c>
      <c r="C5" s="17">
        <f>IF(ISERROR('Eigen informatie GS &amp; warmtenet'!B57),0,'Eigen informatie GS &amp; warmtenet'!B57)</f>
        <v>0</v>
      </c>
      <c r="D5" s="30">
        <f>(SUM(HH_hh_gas_kWh,HH_rest_gas_kWh)/1000)*0.902</f>
        <v>367810.15046317194</v>
      </c>
      <c r="E5" s="17">
        <f>B32*B41</f>
        <v>10343.570080056172</v>
      </c>
      <c r="F5" s="17">
        <f>B36*B45</f>
        <v>326307.36610116629</v>
      </c>
      <c r="G5" s="18"/>
      <c r="H5" s="17"/>
      <c r="I5" s="17"/>
      <c r="J5" s="17">
        <f>B35*B44+C35*C44</f>
        <v>7609.4754507575108</v>
      </c>
      <c r="K5" s="17"/>
      <c r="L5" s="17"/>
      <c r="M5" s="17"/>
      <c r="N5" s="17">
        <f>B34*B43+C34*C43</f>
        <v>56015.365255945493</v>
      </c>
      <c r="O5" s="17">
        <f>B52*B53*B54</f>
        <v>686.3033333333334</v>
      </c>
      <c r="P5" s="17">
        <f>B60*B61*B62/1000-B60*B61*B62/1000/B63</f>
        <v>1010.5333333333333</v>
      </c>
    </row>
    <row r="6" spans="1:16">
      <c r="A6" s="16" t="s">
        <v>593</v>
      </c>
      <c r="B6" s="717">
        <f>kWh_PV_kleiner_dan_10kW</f>
        <v>7776.9443204328472</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150776.94432043284</v>
      </c>
      <c r="C8" s="21">
        <f>C5</f>
        <v>0</v>
      </c>
      <c r="D8" s="21">
        <f>D5</f>
        <v>367810.15046317194</v>
      </c>
      <c r="E8" s="21">
        <f>E5</f>
        <v>10343.570080056172</v>
      </c>
      <c r="F8" s="21">
        <f>F5</f>
        <v>326307.36610116629</v>
      </c>
      <c r="G8" s="21"/>
      <c r="H8" s="21"/>
      <c r="I8" s="21"/>
      <c r="J8" s="21">
        <f>J5</f>
        <v>7609.4754507575108</v>
      </c>
      <c r="K8" s="21"/>
      <c r="L8" s="21">
        <f>L5</f>
        <v>0</v>
      </c>
      <c r="M8" s="21">
        <f>M5</f>
        <v>0</v>
      </c>
      <c r="N8" s="21">
        <f>N5</f>
        <v>56015.365255945493</v>
      </c>
      <c r="O8" s="21">
        <f>O5</f>
        <v>686.3033333333334</v>
      </c>
      <c r="P8" s="21">
        <f>P5</f>
        <v>1010.5333333333333</v>
      </c>
    </row>
    <row r="9" spans="1:16">
      <c r="B9" s="19"/>
      <c r="C9" s="19"/>
      <c r="D9" s="253"/>
      <c r="E9" s="19"/>
      <c r="F9" s="19"/>
      <c r="G9" s="19"/>
      <c r="H9" s="19"/>
      <c r="I9" s="19"/>
      <c r="J9" s="19"/>
      <c r="K9" s="19"/>
      <c r="L9" s="19"/>
      <c r="M9" s="19"/>
      <c r="N9" s="19"/>
      <c r="O9" s="19"/>
      <c r="P9" s="19"/>
    </row>
    <row r="10" spans="1:16">
      <c r="A10" s="24" t="s">
        <v>207</v>
      </c>
      <c r="B10" s="25">
        <f ca="1">'EF ele_warmte'!B12</f>
        <v>0.21705955588031384</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32727.576571183959</v>
      </c>
      <c r="C12" s="23">
        <f ca="1">C10*C8</f>
        <v>0</v>
      </c>
      <c r="D12" s="23">
        <f>D8*D10</f>
        <v>74297.650393560732</v>
      </c>
      <c r="E12" s="23">
        <f>E10*E8</f>
        <v>2347.9904081727509</v>
      </c>
      <c r="F12" s="23">
        <f>F10*F8</f>
        <v>87124.066749011399</v>
      </c>
      <c r="G12" s="23"/>
      <c r="H12" s="23"/>
      <c r="I12" s="23"/>
      <c r="J12" s="23">
        <f>J10*J8</f>
        <v>2693.7543095681585</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48197</v>
      </c>
      <c r="C26" s="36"/>
      <c r="D26" s="224"/>
    </row>
    <row r="27" spans="1:5" s="15" customFormat="1">
      <c r="A27" s="226" t="s">
        <v>696</v>
      </c>
      <c r="B27" s="37">
        <f>SUM(HH_hh_gas_aantal,HH_rest_gas_aantal)</f>
        <v>29046</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27593.7</v>
      </c>
      <c r="C31" s="34" t="s">
        <v>104</v>
      </c>
      <c r="D31" s="170"/>
    </row>
    <row r="32" spans="1:5">
      <c r="A32" s="167" t="s">
        <v>72</v>
      </c>
      <c r="B32" s="33">
        <f>IF((B21*($B$26-($B$27-0.05*$B$27)-$B$60))&lt;0,0,B21*($B$26-($B$27-0.05*$B$27)-$B$60))</f>
        <v>129.57417180551153</v>
      </c>
      <c r="C32" s="34" t="s">
        <v>104</v>
      </c>
      <c r="D32" s="170"/>
    </row>
    <row r="33" spans="1:6">
      <c r="A33" s="167" t="s">
        <v>73</v>
      </c>
      <c r="B33" s="33">
        <f>IF((B22*($B$26-($B$27-0.05*$B$27)-$B$60))&lt;0,0,B22*($B$26-($B$27-0.05*$B$27)-$B$60))</f>
        <v>4512.2433682407518</v>
      </c>
      <c r="C33" s="34" t="s">
        <v>104</v>
      </c>
      <c r="D33" s="170"/>
    </row>
    <row r="34" spans="1:6">
      <c r="A34" s="167" t="s">
        <v>74</v>
      </c>
      <c r="B34" s="33">
        <f>IF((B24*($B$26-($B$27-0.05*$B$27)-$B$60))&lt;0,0,B24*($B$26-($B$27-0.05*$B$27)-$B$60))</f>
        <v>895.66034676646859</v>
      </c>
      <c r="C34" s="33">
        <f>B26*C24</f>
        <v>9861.0908938135763</v>
      </c>
      <c r="D34" s="229"/>
    </row>
    <row r="35" spans="1:6">
      <c r="A35" s="167" t="s">
        <v>76</v>
      </c>
      <c r="B35" s="33">
        <f>IF((B19*($B$26-($B$27-0.05*$B$27)-$B$60))&lt;0,0,B19*($B$26-($B$27-0.05*$B$27)-$B$60))</f>
        <v>437.58101522177384</v>
      </c>
      <c r="C35" s="33">
        <f>B35/2</f>
        <v>218.79050761088692</v>
      </c>
      <c r="D35" s="229"/>
    </row>
    <row r="36" spans="1:6">
      <c r="A36" s="167" t="s">
        <v>77</v>
      </c>
      <c r="B36" s="33">
        <f>IF((B18*($B$26-($B$27-0.05*$B$27)-$B$60))&lt;0,0,B18*($B$26-($B$27-0.05*$B$27)-$B$60))</f>
        <v>14575.2410979655</v>
      </c>
      <c r="C36" s="34" t="s">
        <v>104</v>
      </c>
      <c r="D36" s="170"/>
    </row>
    <row r="37" spans="1:6">
      <c r="A37" s="167" t="s">
        <v>78</v>
      </c>
      <c r="B37" s="33">
        <f>B60</f>
        <v>53</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439</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53</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447824.43299999996</v>
      </c>
      <c r="C5" s="17">
        <f>IF(ISERROR('Eigen informatie GS &amp; warmtenet'!B58),0,'Eigen informatie GS &amp; warmtenet'!B58)</f>
        <v>0</v>
      </c>
      <c r="D5" s="30">
        <f>SUM(D6:D12)</f>
        <v>426568.82969466271</v>
      </c>
      <c r="E5" s="17">
        <f>SUM(E6:E12)</f>
        <v>5654.8636304692855</v>
      </c>
      <c r="F5" s="17">
        <f>SUM(F6:F12)</f>
        <v>82803.037502645195</v>
      </c>
      <c r="G5" s="18"/>
      <c r="H5" s="17"/>
      <c r="I5" s="17"/>
      <c r="J5" s="17">
        <f>SUM(J6:J12)</f>
        <v>0</v>
      </c>
      <c r="K5" s="17"/>
      <c r="L5" s="17"/>
      <c r="M5" s="17"/>
      <c r="N5" s="17">
        <f>SUM(N6:N12)</f>
        <v>13778.10264503677</v>
      </c>
      <c r="O5" s="17">
        <f>B38*B39*B40</f>
        <v>10.943333333333335</v>
      </c>
      <c r="P5" s="17">
        <f>B46*B47*B48/1000-B46*B47*B48/1000/B49</f>
        <v>343.2</v>
      </c>
      <c r="R5" s="32"/>
    </row>
    <row r="6" spans="1:18">
      <c r="A6" s="32" t="s">
        <v>53</v>
      </c>
      <c r="B6" s="37">
        <f>B26</f>
        <v>94545.597999999998</v>
      </c>
      <c r="C6" s="33"/>
      <c r="D6" s="37">
        <f>IF(ISERROR(TER_kantoor_gas_kWh/1000),0,TER_kantoor_gas_kWh/1000)*0.902</f>
        <v>117864.12454296452</v>
      </c>
      <c r="E6" s="33">
        <f>$C$26*'E Balans VL '!I12/100/3.6*1000000</f>
        <v>1.3259065445885305</v>
      </c>
      <c r="F6" s="33">
        <f>$C$26*('E Balans VL '!L12+'E Balans VL '!N12)/100/3.6*1000000</f>
        <v>13141.682982035529</v>
      </c>
      <c r="G6" s="34"/>
      <c r="H6" s="33"/>
      <c r="I6" s="33"/>
      <c r="J6" s="33">
        <f>$C$26*('E Balans VL '!D12+'E Balans VL '!E12)/100/3.6*1000000</f>
        <v>0</v>
      </c>
      <c r="K6" s="33"/>
      <c r="L6" s="33"/>
      <c r="M6" s="33"/>
      <c r="N6" s="33">
        <f>$C$26*'E Balans VL '!Y12/100/3.6*1000000</f>
        <v>1170.170329435095</v>
      </c>
      <c r="O6" s="33"/>
      <c r="P6" s="33"/>
      <c r="R6" s="32"/>
    </row>
    <row r="7" spans="1:18">
      <c r="A7" s="32" t="s">
        <v>52</v>
      </c>
      <c r="B7" s="37">
        <f t="shared" ref="B7:B12" si="0">B27</f>
        <v>231000</v>
      </c>
      <c r="C7" s="33"/>
      <c r="D7" s="37">
        <f>IF(ISERROR(TER_horeca_gas_kWh/1000),0,TER_horeca_gas_kWh/1000)*0.902</f>
        <v>168237.35604844301</v>
      </c>
      <c r="E7" s="33">
        <f>$C$27*'E Balans VL '!I9/100/3.6*1000000</f>
        <v>3297.3494375009855</v>
      </c>
      <c r="F7" s="33">
        <f>$C$27*('E Balans VL '!L9+'E Balans VL '!N9)/100/3.6*1000000</f>
        <v>35911.211457075966</v>
      </c>
      <c r="G7" s="34"/>
      <c r="H7" s="33"/>
      <c r="I7" s="33"/>
      <c r="J7" s="33">
        <f>$C$27*('E Balans VL '!D9+'E Balans VL '!E9)/100/3.6*1000000</f>
        <v>0</v>
      </c>
      <c r="K7" s="33"/>
      <c r="L7" s="33"/>
      <c r="M7" s="33"/>
      <c r="N7" s="33">
        <f>$C$27*'E Balans VL '!Y9/100/3.6*1000000</f>
        <v>59.525065407980925</v>
      </c>
      <c r="O7" s="33"/>
      <c r="P7" s="33"/>
      <c r="R7" s="32"/>
    </row>
    <row r="8" spans="1:18">
      <c r="A8" s="6" t="s">
        <v>51</v>
      </c>
      <c r="B8" s="37">
        <f t="shared" si="0"/>
        <v>45616.241999999998</v>
      </c>
      <c r="C8" s="33"/>
      <c r="D8" s="37">
        <f>IF(ISERROR(TER_handel_gas_kWh/1000),0,TER_handel_gas_kWh/1000)*0.902</f>
        <v>23383.639275723024</v>
      </c>
      <c r="E8" s="33">
        <f>$C$28*'E Balans VL '!I13/100/3.6*1000000</f>
        <v>1234.6141767002455</v>
      </c>
      <c r="F8" s="33">
        <f>$C$28*('E Balans VL '!L13+'E Balans VL '!N13)/100/3.6*1000000</f>
        <v>7083.352370038856</v>
      </c>
      <c r="G8" s="34"/>
      <c r="H8" s="33"/>
      <c r="I8" s="33"/>
      <c r="J8" s="33">
        <f>$C$28*('E Balans VL '!D13+'E Balans VL '!E13)/100/3.6*1000000</f>
        <v>0</v>
      </c>
      <c r="K8" s="33"/>
      <c r="L8" s="33"/>
      <c r="M8" s="33"/>
      <c r="N8" s="33">
        <f>$C$28*'E Balans VL '!Y13/100/3.6*1000000</f>
        <v>369.61378583257988</v>
      </c>
      <c r="O8" s="33"/>
      <c r="P8" s="33"/>
      <c r="R8" s="32"/>
    </row>
    <row r="9" spans="1:18">
      <c r="A9" s="32" t="s">
        <v>50</v>
      </c>
      <c r="B9" s="37">
        <f t="shared" si="0"/>
        <v>21189.153999999999</v>
      </c>
      <c r="C9" s="33"/>
      <c r="D9" s="37">
        <f>IF(ISERROR(TER_gezond_gas_kWh/1000),0,TER_gezond_gas_kWh/1000)*0.902</f>
        <v>18507.35641872769</v>
      </c>
      <c r="E9" s="33">
        <f>$C$29*'E Balans VL '!I10/100/3.6*1000000</f>
        <v>1.3221921949445474</v>
      </c>
      <c r="F9" s="33">
        <f>$C$29*('E Balans VL '!L10+'E Balans VL '!N10)/100/3.6*1000000</f>
        <v>2743.1377346785421</v>
      </c>
      <c r="G9" s="34"/>
      <c r="H9" s="33"/>
      <c r="I9" s="33"/>
      <c r="J9" s="33">
        <f>$C$29*('E Balans VL '!D10+'E Balans VL '!E10)/100/3.6*1000000</f>
        <v>0</v>
      </c>
      <c r="K9" s="33"/>
      <c r="L9" s="33"/>
      <c r="M9" s="33"/>
      <c r="N9" s="33">
        <f>$C$29*'E Balans VL '!Y10/100/3.6*1000000</f>
        <v>173.73035684918059</v>
      </c>
      <c r="O9" s="33"/>
      <c r="P9" s="33"/>
      <c r="R9" s="32"/>
    </row>
    <row r="10" spans="1:18">
      <c r="A10" s="32" t="s">
        <v>49</v>
      </c>
      <c r="B10" s="37">
        <f t="shared" si="0"/>
        <v>24741.888999999999</v>
      </c>
      <c r="C10" s="33"/>
      <c r="D10" s="37">
        <f>IF(ISERROR(TER_ander_gas_kWh/1000),0,TER_ander_gas_kWh/1000)*0.902</f>
        <v>17655.087389573007</v>
      </c>
      <c r="E10" s="33">
        <f>$C$30*'E Balans VL '!I14/100/3.6*1000000</f>
        <v>746.94607793964565</v>
      </c>
      <c r="F10" s="33">
        <f>$C$30*('E Balans VL '!L14+'E Balans VL '!N14)/100/3.6*1000000</f>
        <v>15665.274348388908</v>
      </c>
      <c r="G10" s="34"/>
      <c r="H10" s="33"/>
      <c r="I10" s="33"/>
      <c r="J10" s="33">
        <f>$C$30*('E Balans VL '!D14+'E Balans VL '!E14)/100/3.6*1000000</f>
        <v>0</v>
      </c>
      <c r="K10" s="33"/>
      <c r="L10" s="33"/>
      <c r="M10" s="33"/>
      <c r="N10" s="33">
        <f>$C$30*'E Balans VL '!Y14/100/3.6*1000000</f>
        <v>10014.594662230189</v>
      </c>
      <c r="O10" s="33"/>
      <c r="P10" s="33"/>
      <c r="R10" s="32"/>
    </row>
    <row r="11" spans="1:18">
      <c r="A11" s="32" t="s">
        <v>54</v>
      </c>
      <c r="B11" s="37">
        <f t="shared" si="0"/>
        <v>6229.8329999999996</v>
      </c>
      <c r="C11" s="33"/>
      <c r="D11" s="37">
        <f>IF(ISERROR(TER_onderwijs_gas_kWh/1000),0,TER_onderwijs_gas_kWh/1000)*0.902</f>
        <v>11314.187625410816</v>
      </c>
      <c r="E11" s="33">
        <f>$C$31*'E Balans VL '!I11/100/3.6*1000000</f>
        <v>7.8456929381074492</v>
      </c>
      <c r="F11" s="33">
        <f>$C$31*('E Balans VL '!L11+'E Balans VL '!N11)/100/3.6*1000000</f>
        <v>2314.0996352351558</v>
      </c>
      <c r="G11" s="34"/>
      <c r="H11" s="33"/>
      <c r="I11" s="33"/>
      <c r="J11" s="33">
        <f>$C$31*('E Balans VL '!D11+'E Balans VL '!E11)/100/3.6*1000000</f>
        <v>0</v>
      </c>
      <c r="K11" s="33"/>
      <c r="L11" s="33"/>
      <c r="M11" s="33"/>
      <c r="N11" s="33">
        <f>$C$31*'E Balans VL '!Y11/100/3.6*1000000</f>
        <v>7.8889359109016004</v>
      </c>
      <c r="O11" s="33"/>
      <c r="P11" s="33"/>
      <c r="R11" s="32"/>
    </row>
    <row r="12" spans="1:18">
      <c r="A12" s="32" t="s">
        <v>249</v>
      </c>
      <c r="B12" s="37">
        <f t="shared" si="0"/>
        <v>24501.717000000001</v>
      </c>
      <c r="C12" s="33"/>
      <c r="D12" s="37">
        <f>IF(ISERROR(TER_rest_gas_kWh/1000),0,TER_rest_gas_kWh/1000)*0.902</f>
        <v>69607.078393820717</v>
      </c>
      <c r="E12" s="33">
        <f>$C$32*'E Balans VL '!I8/100/3.6*1000000</f>
        <v>365.46014665076837</v>
      </c>
      <c r="F12" s="33">
        <f>$C$32*('E Balans VL '!L8+'E Balans VL '!N8)/100/3.6*1000000</f>
        <v>5944.2789751922319</v>
      </c>
      <c r="G12" s="34"/>
      <c r="H12" s="33"/>
      <c r="I12" s="33"/>
      <c r="J12" s="33">
        <f>$C$32*('E Balans VL '!D8+'E Balans VL '!E8)/100/3.6*1000000</f>
        <v>0</v>
      </c>
      <c r="K12" s="33"/>
      <c r="L12" s="33"/>
      <c r="M12" s="33"/>
      <c r="N12" s="33">
        <f>$C$32*'E Balans VL '!Y8/100/3.6*1000000</f>
        <v>1982.5795093708423</v>
      </c>
      <c r="O12" s="33"/>
      <c r="P12" s="33"/>
      <c r="R12" s="32"/>
    </row>
    <row r="13" spans="1:18">
      <c r="A13" s="16" t="s">
        <v>480</v>
      </c>
      <c r="B13" s="242">
        <f ca="1">'lokale energieproductie'!N38+'lokale energieproductie'!N31</f>
        <v>1446.3</v>
      </c>
      <c r="C13" s="242">
        <f ca="1">'lokale energieproductie'!O38+'lokale energieproductie'!O31</f>
        <v>60.428571428571438</v>
      </c>
      <c r="D13" s="300">
        <f ca="1">('lokale energieproductie'!P31+'lokale energieproductie'!P38)*(-1)</f>
        <v>-120.85714285714288</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-4011.4285714285716</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449270.73299999995</v>
      </c>
      <c r="C16" s="21">
        <f t="shared" ca="1" si="1"/>
        <v>60.428571428571438</v>
      </c>
      <c r="D16" s="21">
        <f t="shared" ca="1" si="1"/>
        <v>426447.97255180555</v>
      </c>
      <c r="E16" s="21">
        <f t="shared" si="1"/>
        <v>5654.8636304692855</v>
      </c>
      <c r="F16" s="21">
        <f t="shared" ca="1" si="1"/>
        <v>82803.037502645195</v>
      </c>
      <c r="G16" s="21">
        <f t="shared" si="1"/>
        <v>0</v>
      </c>
      <c r="H16" s="21">
        <f t="shared" si="1"/>
        <v>0</v>
      </c>
      <c r="I16" s="21">
        <f t="shared" si="1"/>
        <v>0</v>
      </c>
      <c r="J16" s="21">
        <f t="shared" si="1"/>
        <v>0</v>
      </c>
      <c r="K16" s="21">
        <f t="shared" si="1"/>
        <v>0</v>
      </c>
      <c r="L16" s="21">
        <f t="shared" ca="1" si="1"/>
        <v>0</v>
      </c>
      <c r="M16" s="21">
        <f t="shared" si="1"/>
        <v>0</v>
      </c>
      <c r="N16" s="21">
        <f t="shared" ca="1" si="1"/>
        <v>9766.6740736081993</v>
      </c>
      <c r="O16" s="21">
        <f>O5</f>
        <v>10.943333333333335</v>
      </c>
      <c r="P16" s="21">
        <f>P5</f>
        <v>343.2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0.21705955588031384</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97518.505775003054</v>
      </c>
      <c r="C20" s="23">
        <f t="shared" ref="C20:P20" ca="1" si="2">C16*C18</f>
        <v>14.360672268907567</v>
      </c>
      <c r="D20" s="23">
        <f t="shared" ca="1" si="2"/>
        <v>86142.490455464722</v>
      </c>
      <c r="E20" s="23">
        <f t="shared" si="2"/>
        <v>1283.6540441165278</v>
      </c>
      <c r="F20" s="23">
        <f t="shared" ca="1" si="2"/>
        <v>22108.411013206267</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94545.597999999998</v>
      </c>
      <c r="C26" s="39">
        <f>IF(ISERROR(B26*3.6/1000000/'E Balans VL '!Z12*100),0,B26*3.6/1000000/'E Balans VL '!Z12*100)</f>
        <v>2.5680355995532795</v>
      </c>
      <c r="D26" s="232" t="s">
        <v>651</v>
      </c>
      <c r="F26" s="6"/>
    </row>
    <row r="27" spans="1:18">
      <c r="A27" s="227" t="s">
        <v>52</v>
      </c>
      <c r="B27" s="33">
        <f>IF(ISERROR(TER_horeca_ele_kWh/1000),0,TER_horeca_ele_kWh/1000)</f>
        <v>231000</v>
      </c>
      <c r="C27" s="39">
        <f>IF(ISERROR(B27*3.6/1000000/'E Balans VL '!Z9*100),0,B27*3.6/1000000/'E Balans VL '!Z9*100)</f>
        <v>18.562649183731576</v>
      </c>
      <c r="D27" s="232" t="s">
        <v>651</v>
      </c>
      <c r="F27" s="6"/>
    </row>
    <row r="28" spans="1:18">
      <c r="A28" s="167" t="s">
        <v>51</v>
      </c>
      <c r="B28" s="33">
        <f>IF(ISERROR(TER_handel_ele_kWh/1000),0,TER_handel_ele_kWh/1000)</f>
        <v>45616.241999999998</v>
      </c>
      <c r="C28" s="39">
        <f>IF(ISERROR(B28*3.6/1000000/'E Balans VL '!Z13*100),0,B28*3.6/1000000/'E Balans VL '!Z13*100)</f>
        <v>1.3472815415047081</v>
      </c>
      <c r="D28" s="232" t="s">
        <v>651</v>
      </c>
      <c r="F28" s="6"/>
    </row>
    <row r="29" spans="1:18">
      <c r="A29" s="227" t="s">
        <v>50</v>
      </c>
      <c r="B29" s="33">
        <f>IF(ISERROR(TER_gezond_ele_kWh/1000),0,TER_gezond_ele_kWh/1000)</f>
        <v>21189.153999999999</v>
      </c>
      <c r="C29" s="39">
        <f>IF(ISERROR(B29*3.6/1000000/'E Balans VL '!Z10*100),0,B29*3.6/1000000/'E Balans VL '!Z10*100)</f>
        <v>2.4233186321564415</v>
      </c>
      <c r="D29" s="232" t="s">
        <v>651</v>
      </c>
      <c r="F29" s="6"/>
    </row>
    <row r="30" spans="1:18">
      <c r="A30" s="227" t="s">
        <v>49</v>
      </c>
      <c r="B30" s="33">
        <f>IF(ISERROR(TER_ander_ele_kWh/1000),0,TER_ander_ele_kWh/1000)</f>
        <v>24741.888999999999</v>
      </c>
      <c r="C30" s="39">
        <f>IF(ISERROR(B30*3.6/1000000/'E Balans VL '!Z14*100),0,B30*3.6/1000000/'E Balans VL '!Z14*100)</f>
        <v>1.1562400254690604</v>
      </c>
      <c r="D30" s="232" t="s">
        <v>651</v>
      </c>
      <c r="F30" s="6"/>
    </row>
    <row r="31" spans="1:18">
      <c r="A31" s="227" t="s">
        <v>54</v>
      </c>
      <c r="B31" s="33">
        <f>IF(ISERROR(TER_onderwijs_ele_kWh/1000),0,TER_onderwijs_ele_kWh/1000)</f>
        <v>6229.8329999999996</v>
      </c>
      <c r="C31" s="39">
        <f>IF(ISERROR(B31*3.6/1000000/'E Balans VL '!Z11*100),0,B31*3.6/1000000/'E Balans VL '!Z11*100)</f>
        <v>1.6451030439626935</v>
      </c>
      <c r="D31" s="232" t="s">
        <v>651</v>
      </c>
    </row>
    <row r="32" spans="1:18">
      <c r="A32" s="227" t="s">
        <v>249</v>
      </c>
      <c r="B32" s="33">
        <f>IF(ISERROR(TER_rest_ele_kWh/1000),0,TER_rest_ele_kWh/1000)</f>
        <v>24501.717000000001</v>
      </c>
      <c r="C32" s="39">
        <f>IF(ISERROR(B32*3.6/1000000/'E Balans VL '!Z8*100),0,B32*3.6/1000000/'E Balans VL '!Z8*100)</f>
        <v>0.20933055568858699</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7</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18</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111031.16767000002</v>
      </c>
      <c r="C5" s="17">
        <f>IF(ISERROR('Eigen informatie GS &amp; warmtenet'!B59),0,'Eigen informatie GS &amp; warmtenet'!B59)</f>
        <v>0</v>
      </c>
      <c r="D5" s="30">
        <f>SUM(D6:D15)</f>
        <v>101985.36174646384</v>
      </c>
      <c r="E5" s="17">
        <f>SUM(E6:E15)</f>
        <v>13144.361117312183</v>
      </c>
      <c r="F5" s="17">
        <f>SUM(F6:F15)</f>
        <v>54841.050104292866</v>
      </c>
      <c r="G5" s="18"/>
      <c r="H5" s="17"/>
      <c r="I5" s="17"/>
      <c r="J5" s="17">
        <f>SUM(J6:J15)</f>
        <v>423.95337131198482</v>
      </c>
      <c r="K5" s="17"/>
      <c r="L5" s="17"/>
      <c r="M5" s="17"/>
      <c r="N5" s="17">
        <f>SUM(N6:N15)</f>
        <v>9751.0681339341972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2010.5419999999999</v>
      </c>
      <c r="C8" s="33"/>
      <c r="D8" s="37">
        <f>IF( ISERROR(IND_metaal_Gas_kWH/1000),0,IND_metaal_Gas_kWH/1000)*0.902</f>
        <v>201.40283623005271</v>
      </c>
      <c r="E8" s="33">
        <f>C30*'E Balans VL '!I18/100/3.6*1000000</f>
        <v>50.316829513752445</v>
      </c>
      <c r="F8" s="33">
        <f>C30*'E Balans VL '!L18/100/3.6*1000000+C30*'E Balans VL '!N18/100/3.6*1000000</f>
        <v>630.11386375023642</v>
      </c>
      <c r="G8" s="34"/>
      <c r="H8" s="33"/>
      <c r="I8" s="33"/>
      <c r="J8" s="40">
        <f>C30*'E Balans VL '!D18/100/3.6*1000000+C30*'E Balans VL '!E18/100/3.6*1000000</f>
        <v>0</v>
      </c>
      <c r="K8" s="33"/>
      <c r="L8" s="33"/>
      <c r="M8" s="33"/>
      <c r="N8" s="33">
        <f>C30*'E Balans VL '!Y18/100/3.6*1000000</f>
        <v>50.510032851486663</v>
      </c>
      <c r="O8" s="33"/>
      <c r="P8" s="33"/>
      <c r="R8" s="32"/>
    </row>
    <row r="9" spans="1:18">
      <c r="A9" s="6" t="s">
        <v>32</v>
      </c>
      <c r="B9" s="37">
        <f t="shared" si="0"/>
        <v>35034.294000000002</v>
      </c>
      <c r="C9" s="33"/>
      <c r="D9" s="37">
        <f>IF( ISERROR(IND_andere_gas_kWh/1000),0,IND_andere_gas_kWh/1000)*0.902</f>
        <v>24756.80671701418</v>
      </c>
      <c r="E9" s="33">
        <f>C31*'E Balans VL '!I19/100/3.6*1000000</f>
        <v>9632.993916483887</v>
      </c>
      <c r="F9" s="33">
        <f>C31*'E Balans VL '!L19/100/3.6*1000000+C31*'E Balans VL '!N19/100/3.6*1000000</f>
        <v>27613.120076865434</v>
      </c>
      <c r="G9" s="34"/>
      <c r="H9" s="33"/>
      <c r="I9" s="33"/>
      <c r="J9" s="40">
        <f>C31*'E Balans VL '!D19/100/3.6*1000000+C31*'E Balans VL '!E19/100/3.6*1000000</f>
        <v>0</v>
      </c>
      <c r="K9" s="33"/>
      <c r="L9" s="33"/>
      <c r="M9" s="33"/>
      <c r="N9" s="33">
        <f>C31*'E Balans VL '!Y19/100/3.6*1000000</f>
        <v>2822.3848016921102</v>
      </c>
      <c r="O9" s="33"/>
      <c r="P9" s="33"/>
      <c r="R9" s="32"/>
    </row>
    <row r="10" spans="1:18">
      <c r="A10" s="6" t="s">
        <v>40</v>
      </c>
      <c r="B10" s="37">
        <f t="shared" si="0"/>
        <v>6008.3729999999996</v>
      </c>
      <c r="C10" s="33"/>
      <c r="D10" s="37">
        <f>IF( ISERROR(IND_voed_gas_kWh/1000),0,IND_voed_gas_kWh/1000)*0.902</f>
        <v>6401.0449294105629</v>
      </c>
      <c r="E10" s="33">
        <f>C32*'E Balans VL '!I20/100/3.6*1000000</f>
        <v>61.252052703427168</v>
      </c>
      <c r="F10" s="33">
        <f>C32*'E Balans VL '!L20/100/3.6*1000000+C32*'E Balans VL '!N20/100/3.6*1000000</f>
        <v>11349.779018254398</v>
      </c>
      <c r="G10" s="34"/>
      <c r="H10" s="33"/>
      <c r="I10" s="33"/>
      <c r="J10" s="40">
        <f>C32*'E Balans VL '!D20/100/3.6*1000000+C32*'E Balans VL '!E20/100/3.6*1000000</f>
        <v>143.80002537546227</v>
      </c>
      <c r="K10" s="33"/>
      <c r="L10" s="33"/>
      <c r="M10" s="33"/>
      <c r="N10" s="33">
        <f>C32*'E Balans VL '!Y20/100/3.6*1000000</f>
        <v>3167.1046507043184</v>
      </c>
      <c r="O10" s="33"/>
      <c r="P10" s="33"/>
      <c r="R10" s="32"/>
    </row>
    <row r="11" spans="1:18">
      <c r="A11" s="6" t="s">
        <v>39</v>
      </c>
      <c r="B11" s="37">
        <f t="shared" si="0"/>
        <v>137.71620000000001</v>
      </c>
      <c r="C11" s="33"/>
      <c r="D11" s="37">
        <f>IF( ISERROR(IND_textiel_gas_kWh/1000),0,IND_textiel_gas_kWh/1000)*0.902</f>
        <v>118.91896695531395</v>
      </c>
      <c r="E11" s="33">
        <f>C33*'E Balans VL '!I21/100/3.6*1000000</f>
        <v>0.36501530317540942</v>
      </c>
      <c r="F11" s="33">
        <f>C33*'E Balans VL '!L21/100/3.6*1000000+C33*'E Balans VL '!N21/100/3.6*1000000</f>
        <v>6.1505475568387284</v>
      </c>
      <c r="G11" s="34"/>
      <c r="H11" s="33"/>
      <c r="I11" s="33"/>
      <c r="J11" s="40">
        <f>C33*'E Balans VL '!D21/100/3.6*1000000+C33*'E Balans VL '!E21/100/3.6*1000000</f>
        <v>0</v>
      </c>
      <c r="K11" s="33"/>
      <c r="L11" s="33"/>
      <c r="M11" s="33"/>
      <c r="N11" s="33">
        <f>C33*'E Balans VL '!Y21/100/3.6*1000000</f>
        <v>1.2978767396609194</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1028.8699999999999</v>
      </c>
      <c r="C13" s="33"/>
      <c r="D13" s="37">
        <f>IF( ISERROR(IND_papier_gas_kWh/1000),0,IND_papier_gas_kWh/1000)*0.902</f>
        <v>947.43849981664812</v>
      </c>
      <c r="E13" s="33">
        <f>C35*'E Balans VL '!I23/100/3.6*1000000</f>
        <v>2.1308592170527434</v>
      </c>
      <c r="F13" s="33">
        <f>C35*'E Balans VL '!L23/100/3.6*1000000+C35*'E Balans VL '!N23/100/3.6*1000000</f>
        <v>20.404697821967492</v>
      </c>
      <c r="G13" s="34"/>
      <c r="H13" s="33"/>
      <c r="I13" s="33"/>
      <c r="J13" s="40">
        <f>C35*'E Balans VL '!D23/100/3.6*1000000+C35*'E Balans VL '!E23/100/3.6*1000000</f>
        <v>0</v>
      </c>
      <c r="K13" s="33"/>
      <c r="L13" s="33"/>
      <c r="M13" s="33"/>
      <c r="N13" s="33">
        <f>C35*'E Balans VL '!Y23/100/3.6*1000000</f>
        <v>71.35733497163865</v>
      </c>
      <c r="O13" s="33"/>
      <c r="P13" s="33"/>
      <c r="R13" s="32"/>
    </row>
    <row r="14" spans="1:18">
      <c r="A14" s="6" t="s">
        <v>33</v>
      </c>
      <c r="B14" s="37">
        <f t="shared" si="0"/>
        <v>33.950470000000003</v>
      </c>
      <c r="C14" s="33"/>
      <c r="D14" s="37">
        <f>IF( ISERROR(IND_chemie_gas_kWh/1000),0,IND_chemie_gas_kWh/1000)*0.902</f>
        <v>0</v>
      </c>
      <c r="E14" s="33">
        <f>C36*'E Balans VL '!I24/100/3.6*1000000</f>
        <v>0.12728589155929187</v>
      </c>
      <c r="F14" s="33">
        <f>C36*'E Balans VL '!L24/100/3.6*1000000+C36*'E Balans VL '!N24/100/3.6*1000000</f>
        <v>0.39497815594505459</v>
      </c>
      <c r="G14" s="34"/>
      <c r="H14" s="33"/>
      <c r="I14" s="33"/>
      <c r="J14" s="40">
        <f>C36*'E Balans VL '!D24/100/3.6*1000000+C36*'E Balans VL '!E24/100/3.6*1000000</f>
        <v>0</v>
      </c>
      <c r="K14" s="33"/>
      <c r="L14" s="33"/>
      <c r="M14" s="33"/>
      <c r="N14" s="33">
        <f>C36*'E Balans VL '!Y24/100/3.6*1000000</f>
        <v>0.58002748645718927</v>
      </c>
      <c r="O14" s="33"/>
      <c r="P14" s="33"/>
      <c r="R14" s="32"/>
    </row>
    <row r="15" spans="1:18">
      <c r="A15" s="6" t="s">
        <v>259</v>
      </c>
      <c r="B15" s="37">
        <f t="shared" si="0"/>
        <v>66777.422000000006</v>
      </c>
      <c r="C15" s="33"/>
      <c r="D15" s="37">
        <f>IF( ISERROR(IND_rest_gas_kWh/1000),0,IND_rest_gas_kWh/1000)*0.902</f>
        <v>69559.749797037075</v>
      </c>
      <c r="E15" s="33">
        <f>C37*'E Balans VL '!I15/100/3.6*1000000</f>
        <v>3397.1751581993267</v>
      </c>
      <c r="F15" s="33">
        <f>C37*'E Balans VL '!L15/100/3.6*1000000+C37*'E Balans VL '!N15/100/3.6*1000000</f>
        <v>15221.086921888047</v>
      </c>
      <c r="G15" s="34"/>
      <c r="H15" s="33"/>
      <c r="I15" s="33"/>
      <c r="J15" s="40">
        <f>C37*'E Balans VL '!D15/100/3.6*1000000+C37*'E Balans VL '!E15/100/3.6*1000000</f>
        <v>280.15334593652256</v>
      </c>
      <c r="K15" s="33"/>
      <c r="L15" s="33"/>
      <c r="M15" s="33"/>
      <c r="N15" s="33">
        <f>C37*'E Balans VL '!Y15/100/3.6*1000000</f>
        <v>3637.8334094885254</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111031.16767000002</v>
      </c>
      <c r="C18" s="21">
        <f>C5+C16</f>
        <v>0</v>
      </c>
      <c r="D18" s="21">
        <f>MAX((D5+D16),0)</f>
        <v>101985.36174646384</v>
      </c>
      <c r="E18" s="21">
        <f>MAX((E5+E16),0)</f>
        <v>13144.361117312183</v>
      </c>
      <c r="F18" s="21">
        <f>MAX((F5+F16),0)</f>
        <v>54841.050104292866</v>
      </c>
      <c r="G18" s="21"/>
      <c r="H18" s="21"/>
      <c r="I18" s="21"/>
      <c r="J18" s="21">
        <f>MAX((J5+J16),0)</f>
        <v>423.95337131198482</v>
      </c>
      <c r="K18" s="21"/>
      <c r="L18" s="21">
        <f>MAX((L5+L16),0)</f>
        <v>0</v>
      </c>
      <c r="M18" s="21"/>
      <c r="N18" s="21">
        <f>MAX((N5+N16),0)</f>
        <v>9751.0681339341972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0.21705955588031384</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24100.375943322866</v>
      </c>
      <c r="C22" s="23">
        <f ca="1">C18*C20</f>
        <v>0</v>
      </c>
      <c r="D22" s="23">
        <f>D18*D20</f>
        <v>20601.043072785695</v>
      </c>
      <c r="E22" s="23">
        <f>E18*E20</f>
        <v>2983.7699736298655</v>
      </c>
      <c r="F22" s="23">
        <f>F18*F20</f>
        <v>14642.560377846195</v>
      </c>
      <c r="G22" s="23"/>
      <c r="H22" s="23"/>
      <c r="I22" s="23"/>
      <c r="J22" s="23">
        <f>J18*J20</f>
        <v>150.07949344444262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2010.5419999999999</v>
      </c>
      <c r="C30" s="39">
        <f>IF(ISERROR(B30*3.6/1000000/'E Balans VL '!Z18*100),0,B30*3.6/1000000/'E Balans VL '!Z18*100)</f>
        <v>0.28140887794765784</v>
      </c>
      <c r="D30" s="232" t="s">
        <v>651</v>
      </c>
    </row>
    <row r="31" spans="1:18">
      <c r="A31" s="6" t="s">
        <v>32</v>
      </c>
      <c r="B31" s="37">
        <f>IF( ISERROR(IND_ander_ele_kWh/1000),0,IND_ander_ele_kWh/1000)</f>
        <v>35034.294000000002</v>
      </c>
      <c r="C31" s="39">
        <f>IF(ISERROR(B31*3.6/1000000/'E Balans VL '!Z19*100),0,B31*3.6/1000000/'E Balans VL '!Z19*100)</f>
        <v>1.5334453650100521</v>
      </c>
      <c r="D31" s="232" t="s">
        <v>651</v>
      </c>
    </row>
    <row r="32" spans="1:18">
      <c r="A32" s="167" t="s">
        <v>40</v>
      </c>
      <c r="B32" s="37">
        <f>IF( ISERROR(IND_voed_ele_kWh/1000),0,IND_voed_ele_kWh/1000)</f>
        <v>6008.3729999999996</v>
      </c>
      <c r="C32" s="39">
        <f>IF(ISERROR(B32*3.6/1000000/'E Balans VL '!Z20*100),0,B32*3.6/1000000/'E Balans VL '!Z20*100)</f>
        <v>1.4874736265744954</v>
      </c>
      <c r="D32" s="232" t="s">
        <v>651</v>
      </c>
    </row>
    <row r="33" spans="1:5">
      <c r="A33" s="167" t="s">
        <v>39</v>
      </c>
      <c r="B33" s="37">
        <f>IF( ISERROR(IND_textiel_ele_kWh/1000),0,IND_textiel_ele_kWh/1000)</f>
        <v>137.71620000000001</v>
      </c>
      <c r="C33" s="39">
        <f>IF(ISERROR(B33*3.6/1000000/'E Balans VL '!Z21*100),0,B33*3.6/1000000/'E Balans VL '!Z21*100)</f>
        <v>1.5518189846787194E-2</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1028.8699999999999</v>
      </c>
      <c r="C35" s="39">
        <f>IF(ISERROR(B35*3.6/1000000/'E Balans VL '!Z22*100),0,B35*3.6/1000000/'E Balans VL '!Z22*100)</f>
        <v>2.9195133035995784E-2</v>
      </c>
      <c r="D35" s="232" t="s">
        <v>651</v>
      </c>
    </row>
    <row r="36" spans="1:5">
      <c r="A36" s="167" t="s">
        <v>33</v>
      </c>
      <c r="B36" s="37">
        <f>IF( ISERROR(IND_chemie_ele_kWh/1000),0,IND_chemie_ele_kWh/1000)</f>
        <v>33.950470000000003</v>
      </c>
      <c r="C36" s="39">
        <f>IF(ISERROR(B36*3.6/1000000/'E Balans VL '!Z24*100),0,B36*3.6/1000000/'E Balans VL '!Z24*100)</f>
        <v>8.6568516514422332E-4</v>
      </c>
      <c r="D36" s="232" t="s">
        <v>651</v>
      </c>
    </row>
    <row r="37" spans="1:5">
      <c r="A37" s="167" t="s">
        <v>259</v>
      </c>
      <c r="B37" s="37">
        <f>IF( ISERROR(IND_rest_ele_kWh/1000),0,IND_rest_ele_kWh/1000)</f>
        <v>66777.422000000006</v>
      </c>
      <c r="C37" s="39">
        <f>IF(ISERROR(B37*3.6/1000000/'E Balans VL '!Z15*100),0,B37*3.6/1000000/'E Balans VL '!Z15*100)</f>
        <v>0.49514315135155912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1907.7128</v>
      </c>
      <c r="C5" s="17">
        <f>'Eigen informatie GS &amp; warmtenet'!B60</f>
        <v>0</v>
      </c>
      <c r="D5" s="30">
        <f>IF(ISERROR(SUM(LB_lb_gas_kWh,LB_rest_gas_kWh)/1000),0,SUM(LB_lb_gas_kWh,LB_rest_gas_kWh)/1000)*0.902</f>
        <v>1268.9512765631475</v>
      </c>
      <c r="E5" s="17">
        <f>B17*'E Balans VL '!I25/3.6*1000000/100</f>
        <v>40.908114582682224</v>
      </c>
      <c r="F5" s="17">
        <f>B17*('E Balans VL '!L25/3.6*1000000+'E Balans VL '!N25/3.6*1000000)/100</f>
        <v>6188.009027299684</v>
      </c>
      <c r="G5" s="18"/>
      <c r="H5" s="17"/>
      <c r="I5" s="17"/>
      <c r="J5" s="17">
        <f>('E Balans VL '!D25+'E Balans VL '!E25)/3.6*1000000*landbouw!B17/100</f>
        <v>183.80913646882874</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1907.7128</v>
      </c>
      <c r="C8" s="21">
        <f>C5+C6</f>
        <v>0</v>
      </c>
      <c r="D8" s="21">
        <f>MAX((D5+D6),0)</f>
        <v>1268.9512765631475</v>
      </c>
      <c r="E8" s="21">
        <f>MAX((E5+E6),0)</f>
        <v>40.908114582682224</v>
      </c>
      <c r="F8" s="21">
        <f>MAX((F5+F6),0)</f>
        <v>6188.009027299684</v>
      </c>
      <c r="G8" s="21"/>
      <c r="H8" s="21"/>
      <c r="I8" s="21"/>
      <c r="J8" s="21">
        <f>MAX((J5+J6),0)</f>
        <v>183.80913646882874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0.21705955588031384</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414.08729311518999</v>
      </c>
      <c r="C12" s="23">
        <f ca="1">C8*C10</f>
        <v>0</v>
      </c>
      <c r="D12" s="23">
        <f>D8*D10</f>
        <v>256.32815786575583</v>
      </c>
      <c r="E12" s="23">
        <f>E8*E10</f>
        <v>9.2861420102688648</v>
      </c>
      <c r="F12" s="23">
        <f>F8*F10</f>
        <v>1652.1984102890158</v>
      </c>
      <c r="G12" s="23"/>
      <c r="H12" s="23"/>
      <c r="I12" s="23"/>
      <c r="J12" s="23">
        <f>J8*J10</f>
        <v>65.068434309965369</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0.27123630965680812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42.486159808604498</v>
      </c>
      <c r="C26" s="242">
        <f>B26*'GWP N2O_CH4'!B5</f>
        <v>892.20935598069445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5.1350570211863378</v>
      </c>
      <c r="C27" s="242">
        <f>B27*'GWP N2O_CH4'!B5</f>
        <v>107.8361974449131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0.62294452552097357</v>
      </c>
      <c r="C28" s="242">
        <f>B28*'GWP N2O_CH4'!B4</f>
        <v>193.1128029115018</v>
      </c>
      <c r="D28" s="50"/>
    </row>
    <row r="29" spans="1:4">
      <c r="A29" s="41" t="s">
        <v>266</v>
      </c>
      <c r="B29" s="242">
        <f>B34*'ha_N2O bodem landbouw'!B4</f>
        <v>7.12951075795376</v>
      </c>
      <c r="C29" s="242">
        <f>B29*'GWP N2O_CH4'!B4</f>
        <v>2210.1483349656655</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1.5990236602052451E-3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3.3804573726872012E-4</v>
      </c>
      <c r="C5" s="428" t="s">
        <v>204</v>
      </c>
      <c r="D5" s="413">
        <f>SUM(D6:D11)</f>
        <v>5.1615712103184161E-4</v>
      </c>
      <c r="E5" s="413">
        <f>SUM(E6:E11)</f>
        <v>5.5754638604323939E-3</v>
      </c>
      <c r="F5" s="426" t="s">
        <v>204</v>
      </c>
      <c r="G5" s="413">
        <f>SUM(G6:G11)</f>
        <v>1.5720706118864356</v>
      </c>
      <c r="H5" s="413">
        <f>SUM(H6:H11)</f>
        <v>0.32391291083623652</v>
      </c>
      <c r="I5" s="428" t="s">
        <v>204</v>
      </c>
      <c r="J5" s="428" t="s">
        <v>204</v>
      </c>
      <c r="K5" s="428" t="s">
        <v>204</v>
      </c>
      <c r="L5" s="428" t="s">
        <v>204</v>
      </c>
      <c r="M5" s="413">
        <f>SUM(M6:M11)</f>
        <v>0.10102444845155853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8.0591269668069858E-5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1.2188839307061421E-4</v>
      </c>
      <c r="E6" s="819">
        <f>vkm_GW_PW*SUMIFS(TableVerdeelsleutelVkm[LPG],TableVerdeelsleutelVkm[Voertuigtype],"Lichte voertuigen")*SUMIFS(TableECFTransport[EnergieConsumptieFactor (PJ per km)],TableECFTransport[Index],CONCATENATE($A6,"_LPG_LPG"))</f>
        <v>1.1907020453165819E-3</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0.27646475021447792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7.5303762005498709E-2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1.8325619678512726E-2</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1.5205030589074672E-6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5.8357230777764779E-2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1.3076406765098718E-6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3.3834256746062517E-3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5.8401792161914907E-5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1.3301768360844909E-4</v>
      </c>
      <c r="E8" s="416">
        <f>vkm_NGW_PW*SUMIFS(TableVerdeelsleutelVkm[LPG],TableVerdeelsleutelVkm[Voertuigtype],"Lichte voertuigen")*SUMIFS(TableECFTransport[EnergieConsumptieFactor (PJ per km)],TableECFTransport[Index],CONCATENATE($A8,"_LPG_LPG"))</f>
        <v>1.2357220139700359E-3</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0.26743572306774399</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7.9197752935322427E-2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1.7920920397209432E-2</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1.6005238967559336E-7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7.8924145182526582E-3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1.6614211412664797E-7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4.5758474999779345E-4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1.8923523065742705E-4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2.6125104435277834E-4</v>
      </c>
      <c r="E10" s="416">
        <f>vkm_SW_PW*SUMIFS(TableVerdeelsleutelVkm[LPG],TableVerdeelsleutelVkm[Voertuigtype],"Lichte voertuigen")*SUMIFS(TableECFTransport[EnergieConsumptieFactor (PJ per km)],TableECFTransport[Index],CONCATENATE($A10,"_LPG_LPG"))</f>
        <v>3.1490398011457758E-3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0.66423249443579824</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0.16940271950142274</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4.3677577173568009E-2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8.136889332725265E-6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0.29768799887239822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7.2026112020450139E-6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1.7259320777664316E-2</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93.901593685755586</v>
      </c>
      <c r="C14" s="21"/>
      <c r="D14" s="21">
        <f t="shared" ref="D14:M14" si="0">((D5)*10^9/3600)+D12</f>
        <v>143.37697806440045</v>
      </c>
      <c r="E14" s="21">
        <f t="shared" si="0"/>
        <v>1548.7399612312206</v>
      </c>
      <c r="F14" s="21"/>
      <c r="G14" s="21">
        <f t="shared" si="0"/>
        <v>436686.28107956541</v>
      </c>
      <c r="H14" s="21">
        <f t="shared" si="0"/>
        <v>89975.808565621264</v>
      </c>
      <c r="I14" s="21"/>
      <c r="J14" s="21"/>
      <c r="K14" s="21"/>
      <c r="L14" s="21"/>
      <c r="M14" s="21">
        <f t="shared" si="0"/>
        <v>28062.34679209959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0.21705955588031384</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20.382238221883789</v>
      </c>
      <c r="C18" s="23"/>
      <c r="D18" s="23">
        <f t="shared" ref="D18:M18" si="1">D14*D16</f>
        <v>28.962149569008893</v>
      </c>
      <c r="E18" s="23">
        <f t="shared" si="1"/>
        <v>351.56397119948707</v>
      </c>
      <c r="F18" s="23"/>
      <c r="G18" s="23">
        <f t="shared" si="1"/>
        <v>116595.23704824397</v>
      </c>
      <c r="H18" s="23">
        <f t="shared" si="1"/>
        <v>22403.976332839695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4.4659242330943546E-4</v>
      </c>
      <c r="C50" s="311">
        <f t="shared" ref="C50:P50" si="2">SUM(C51:C52)</f>
        <v>0</v>
      </c>
      <c r="D50" s="311">
        <f t="shared" si="2"/>
        <v>0</v>
      </c>
      <c r="E50" s="311">
        <f t="shared" si="2"/>
        <v>0</v>
      </c>
      <c r="F50" s="311">
        <f t="shared" si="2"/>
        <v>0</v>
      </c>
      <c r="G50" s="311">
        <f t="shared" si="2"/>
        <v>8.4623373146322969E-2</v>
      </c>
      <c r="H50" s="311">
        <f t="shared" si="2"/>
        <v>0</v>
      </c>
      <c r="I50" s="311">
        <f t="shared" si="2"/>
        <v>0</v>
      </c>
      <c r="J50" s="311">
        <f t="shared" si="2"/>
        <v>0</v>
      </c>
      <c r="K50" s="311">
        <f t="shared" si="2"/>
        <v>0</v>
      </c>
      <c r="L50" s="311">
        <f t="shared" si="2"/>
        <v>0</v>
      </c>
      <c r="M50" s="311">
        <f t="shared" si="2"/>
        <v>4.8716013947149263E-3</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4.4659242330943546E-4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8.4623373146322969E-2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4.8716013947149263E-3</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124.05345091928764</v>
      </c>
      <c r="C54" s="21">
        <f t="shared" ref="C54:P54" si="3">(C50)*10^9/3600</f>
        <v>0</v>
      </c>
      <c r="D54" s="21">
        <f t="shared" si="3"/>
        <v>0</v>
      </c>
      <c r="E54" s="21">
        <f t="shared" si="3"/>
        <v>0</v>
      </c>
      <c r="F54" s="21">
        <f t="shared" si="3"/>
        <v>0</v>
      </c>
      <c r="G54" s="21">
        <f t="shared" si="3"/>
        <v>23506.492540645268</v>
      </c>
      <c r="H54" s="21">
        <f t="shared" si="3"/>
        <v>0</v>
      </c>
      <c r="I54" s="21">
        <f t="shared" si="3"/>
        <v>0</v>
      </c>
      <c r="J54" s="21">
        <f t="shared" si="3"/>
        <v>0</v>
      </c>
      <c r="K54" s="21">
        <f t="shared" si="3"/>
        <v>0</v>
      </c>
      <c r="L54" s="21">
        <f t="shared" si="3"/>
        <v>0</v>
      </c>
      <c r="M54" s="21">
        <f t="shared" si="3"/>
        <v>1353.2226096430352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0.21705955588031384</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26.926986961960885</v>
      </c>
      <c r="C58" s="23">
        <f t="shared" ref="C58:P58" ca="1" si="4">C54*C56</f>
        <v>0</v>
      </c>
      <c r="D58" s="23">
        <f t="shared" si="4"/>
        <v>0</v>
      </c>
      <c r="E58" s="23">
        <f t="shared" si="4"/>
        <v>0</v>
      </c>
      <c r="F58" s="23">
        <f t="shared" si="4"/>
        <v>0</v>
      </c>
      <c r="G58" s="23">
        <f t="shared" si="4"/>
        <v>6276.2335083522867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81.360538116591925</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11611.155902310173</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42.300000000000004</v>
      </c>
      <c r="C8" s="535">
        <f>B48</f>
        <v>49.764705882352949</v>
      </c>
      <c r="D8" s="974"/>
      <c r="E8" s="974">
        <f>E48</f>
        <v>0</v>
      </c>
      <c r="F8" s="975"/>
      <c r="G8" s="536"/>
      <c r="H8" s="974">
        <f>I48</f>
        <v>0</v>
      </c>
      <c r="I8" s="974">
        <f>G48+F48</f>
        <v>0</v>
      </c>
      <c r="J8" s="974">
        <f>H48+D48+C48</f>
        <v>0</v>
      </c>
      <c r="K8" s="974"/>
      <c r="L8" s="974"/>
      <c r="M8" s="974"/>
      <c r="N8" s="537"/>
      <c r="O8" s="538">
        <f>C8*$C$12+D8*$D$12+E8*$E$12+F8*$F$12+G8*$G$12+H8*$H$12+I8*$I$12+J8*$J$12</f>
        <v>10.052470588235296</v>
      </c>
      <c r="P8" s="1218"/>
      <c r="Q8" s="1219"/>
      <c r="S8" s="938"/>
      <c r="T8" s="1193"/>
      <c r="U8" s="1193"/>
    </row>
    <row r="9" spans="1:21" s="524" customFormat="1" ht="17.45" customHeight="1" thickBot="1">
      <c r="A9" s="539" t="s">
        <v>237</v>
      </c>
      <c r="B9" s="540">
        <f>N36+'Eigen informatie GS &amp; warmtenet'!B12</f>
        <v>1404</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4011.4285714285716</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13138.816440426765</v>
      </c>
      <c r="C10" s="548">
        <f t="shared" ref="C10:L10" si="0">SUM(C8:C9)</f>
        <v>49.764705882352949</v>
      </c>
      <c r="D10" s="548">
        <f t="shared" si="0"/>
        <v>0</v>
      </c>
      <c r="E10" s="548">
        <f t="shared" si="0"/>
        <v>0</v>
      </c>
      <c r="F10" s="548">
        <f t="shared" si="0"/>
        <v>0</v>
      </c>
      <c r="G10" s="548">
        <f t="shared" si="0"/>
        <v>0</v>
      </c>
      <c r="H10" s="548">
        <f t="shared" si="0"/>
        <v>0</v>
      </c>
      <c r="I10" s="548">
        <f t="shared" si="0"/>
        <v>0</v>
      </c>
      <c r="J10" s="548">
        <f t="shared" si="0"/>
        <v>4011.4285714285716</v>
      </c>
      <c r="K10" s="548">
        <f t="shared" si="0"/>
        <v>0</v>
      </c>
      <c r="L10" s="548">
        <f t="shared" si="0"/>
        <v>0</v>
      </c>
      <c r="M10" s="977"/>
      <c r="N10" s="977"/>
      <c r="O10" s="549">
        <f>SUM(O4:O9)</f>
        <v>10.052470588235296</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60.428571428571438</v>
      </c>
      <c r="C17" s="560">
        <f>B49</f>
        <v>71.092436974789933</v>
      </c>
      <c r="D17" s="561"/>
      <c r="E17" s="561">
        <f>E49</f>
        <v>0</v>
      </c>
      <c r="F17" s="980"/>
      <c r="G17" s="562"/>
      <c r="H17" s="560">
        <f>I49</f>
        <v>0</v>
      </c>
      <c r="I17" s="561">
        <f>G49+F49</f>
        <v>0</v>
      </c>
      <c r="J17" s="561">
        <f>H49+D49+C49</f>
        <v>0</v>
      </c>
      <c r="K17" s="561"/>
      <c r="L17" s="561"/>
      <c r="M17" s="561"/>
      <c r="N17" s="981"/>
      <c r="O17" s="563">
        <f>C17*$C$22+E17*$E$22+H17*$H$22+I17*$I$22+J17*$J$22+D17*$D$22+F17*$F$22+G17*$G$22+K17*$K$22+L17*$L$22</f>
        <v>14.360672268907567</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60.428571428571438</v>
      </c>
      <c r="C20" s="547">
        <f>SUM(C17:C19)</f>
        <v>71.092436974789933</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14.360672268907567</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51" hidden="1">
      <c r="A28" s="570"/>
      <c r="B28" s="725">
        <v>24062</v>
      </c>
      <c r="C28" s="725">
        <v>3001</v>
      </c>
      <c r="D28" s="618"/>
      <c r="E28" s="617"/>
      <c r="F28" s="617"/>
      <c r="G28" s="617" t="s">
        <v>904</v>
      </c>
      <c r="H28" s="617" t="s">
        <v>905</v>
      </c>
      <c r="I28" s="617"/>
      <c r="J28" s="724"/>
      <c r="K28" s="724"/>
      <c r="L28" s="617" t="s">
        <v>906</v>
      </c>
      <c r="M28" s="617">
        <v>9.4</v>
      </c>
      <c r="N28" s="617">
        <v>42.300000000000004</v>
      </c>
      <c r="O28" s="617">
        <v>60.428571428571438</v>
      </c>
      <c r="P28" s="617">
        <v>120.85714285714288</v>
      </c>
      <c r="Q28" s="617">
        <v>0</v>
      </c>
      <c r="R28" s="617">
        <v>0</v>
      </c>
      <c r="S28" s="617">
        <v>0</v>
      </c>
      <c r="T28" s="617">
        <v>0</v>
      </c>
      <c r="U28" s="617">
        <v>0</v>
      </c>
      <c r="V28" s="617">
        <v>0</v>
      </c>
      <c r="W28" s="617">
        <v>0</v>
      </c>
      <c r="X28" s="617"/>
      <c r="Y28" s="617">
        <v>1500</v>
      </c>
      <c r="Z28" s="617" t="s">
        <v>50</v>
      </c>
      <c r="AA28" s="619" t="s">
        <v>149</v>
      </c>
    </row>
    <row r="29" spans="1:27" s="555" customFormat="1" hidden="1">
      <c r="A29" s="573" t="s">
        <v>269</v>
      </c>
      <c r="B29" s="574"/>
      <c r="C29" s="574"/>
      <c r="D29" s="574"/>
      <c r="E29" s="574"/>
      <c r="F29" s="574"/>
      <c r="G29" s="574"/>
      <c r="H29" s="574"/>
      <c r="I29" s="574"/>
      <c r="J29" s="574"/>
      <c r="K29" s="574"/>
      <c r="L29" s="575"/>
      <c r="M29" s="575">
        <f>SUM(M28:M28)</f>
        <v>9.4</v>
      </c>
      <c r="N29" s="575">
        <f>SUM(N28:N28)</f>
        <v>42.300000000000004</v>
      </c>
      <c r="O29" s="575">
        <f>SUM(O28:O28)</f>
        <v>60.428571428571438</v>
      </c>
      <c r="P29" s="575">
        <f>SUM(P28:P28)</f>
        <v>120.85714285714288</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9.4</v>
      </c>
      <c r="N31" s="575">
        <f ca="1">SUMIF($AA$28:AE28,"tertiair",N28:N28)</f>
        <v>42.300000000000004</v>
      </c>
      <c r="O31" s="575">
        <f ca="1">SUMIF($AA$28:AF28,"tertiair",O28:O28)</f>
        <v>60.428571428571438</v>
      </c>
      <c r="P31" s="575">
        <f ca="1">SUMIF($AA$28:AG28,"tertiair",P28:P28)</f>
        <v>120.85714285714288</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63.75" hidden="1">
      <c r="A35" s="572"/>
      <c r="B35" s="725">
        <v>24062</v>
      </c>
      <c r="C35" s="725">
        <v>3010</v>
      </c>
      <c r="D35" s="620"/>
      <c r="E35" s="620"/>
      <c r="F35" s="620"/>
      <c r="G35" s="620" t="s">
        <v>907</v>
      </c>
      <c r="H35" s="620" t="s">
        <v>908</v>
      </c>
      <c r="I35" s="620"/>
      <c r="J35" s="724"/>
      <c r="K35" s="724"/>
      <c r="L35" s="620" t="s">
        <v>909</v>
      </c>
      <c r="M35" s="620">
        <v>312</v>
      </c>
      <c r="N35" s="620">
        <v>1404</v>
      </c>
      <c r="O35" s="620">
        <v>0</v>
      </c>
      <c r="P35" s="620">
        <v>0</v>
      </c>
      <c r="Q35" s="620">
        <v>4011.4285714285716</v>
      </c>
      <c r="R35" s="620">
        <v>0</v>
      </c>
      <c r="S35" s="620">
        <v>0</v>
      </c>
      <c r="T35" s="620">
        <v>0</v>
      </c>
      <c r="U35" s="620">
        <v>0</v>
      </c>
      <c r="V35" s="620">
        <v>0</v>
      </c>
      <c r="W35" s="620">
        <v>0</v>
      </c>
      <c r="X35" s="620"/>
      <c r="Y35" s="620">
        <v>1600</v>
      </c>
      <c r="Z35" s="620" t="s">
        <v>49</v>
      </c>
      <c r="AA35" s="621" t="s">
        <v>149</v>
      </c>
    </row>
    <row r="36" spans="1:28" s="555" customFormat="1" hidden="1">
      <c r="A36" s="573" t="s">
        <v>269</v>
      </c>
      <c r="B36" s="574"/>
      <c r="C36" s="574"/>
      <c r="D36" s="574"/>
      <c r="E36" s="574"/>
      <c r="F36" s="574"/>
      <c r="G36" s="574"/>
      <c r="H36" s="574"/>
      <c r="I36" s="574"/>
      <c r="J36" s="574"/>
      <c r="K36" s="574"/>
      <c r="L36" s="575"/>
      <c r="M36" s="575">
        <f>SUM(M35:M35)</f>
        <v>312</v>
      </c>
      <c r="N36" s="575">
        <f>SUM(N35:N35)</f>
        <v>1404</v>
      </c>
      <c r="O36" s="575">
        <f>SUM(O35:O35)</f>
        <v>0</v>
      </c>
      <c r="P36" s="575">
        <f>SUM(P35:P35)</f>
        <v>0</v>
      </c>
      <c r="Q36" s="575">
        <f>SUM(Q35:Q35)</f>
        <v>4011.4285714285716</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312</v>
      </c>
      <c r="N38" s="575">
        <f>SUMIF($AA$35:$AA$36,"tertiair",N35:N36)</f>
        <v>1404</v>
      </c>
      <c r="O38" s="575">
        <f>SUMIF($AA$35:$AA$36,"tertiair",O35:O36)</f>
        <v>0</v>
      </c>
      <c r="P38" s="575">
        <f>SUMIF($AA$35:$AA$36,"tertiair",P35:P36)</f>
        <v>0</v>
      </c>
      <c r="Q38" s="575">
        <f>SUMIF($AA$35:$AA$36,"tertiair",Q35:Q36)</f>
        <v>4011.4285714285716</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0.41176470588235292</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49.764705882352949</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71.092436974789933</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454737.31699999992</v>
      </c>
      <c r="D10" s="943">
        <f ca="1">tertiair!C16</f>
        <v>60.428571428571438</v>
      </c>
      <c r="E10" s="943">
        <f ca="1">tertiair!D16</f>
        <v>426447.97255180555</v>
      </c>
      <c r="F10" s="943">
        <f>tertiair!E16</f>
        <v>5654.8636304692855</v>
      </c>
      <c r="G10" s="943">
        <f ca="1">tertiair!F16</f>
        <v>82803.037502645195</v>
      </c>
      <c r="H10" s="943">
        <f>tertiair!G16</f>
        <v>0</v>
      </c>
      <c r="I10" s="943">
        <f>tertiair!H16</f>
        <v>0</v>
      </c>
      <c r="J10" s="943">
        <f>tertiair!I16</f>
        <v>0</v>
      </c>
      <c r="K10" s="943">
        <f>tertiair!J16</f>
        <v>0</v>
      </c>
      <c r="L10" s="943">
        <f>tertiair!K16</f>
        <v>0</v>
      </c>
      <c r="M10" s="943">
        <f ca="1">tertiair!L16</f>
        <v>0</v>
      </c>
      <c r="N10" s="943">
        <f>tertiair!M16</f>
        <v>0</v>
      </c>
      <c r="O10" s="943">
        <f ca="1">tertiair!N16</f>
        <v>9766.6740736081993</v>
      </c>
      <c r="P10" s="943">
        <f>tertiair!O16</f>
        <v>10.943333333333335</v>
      </c>
      <c r="Q10" s="944">
        <f>tertiair!P16</f>
        <v>343.2</v>
      </c>
      <c r="R10" s="629">
        <f ca="1">SUM(C10:Q10)</f>
        <v>979824.43666329014</v>
      </c>
      <c r="S10" s="67"/>
    </row>
    <row r="11" spans="1:19" s="438" customFormat="1">
      <c r="A11" s="737" t="s">
        <v>214</v>
      </c>
      <c r="B11" s="742"/>
      <c r="C11" s="943">
        <f>huishoudens!B8</f>
        <v>150776.94432043284</v>
      </c>
      <c r="D11" s="943">
        <f>huishoudens!C8</f>
        <v>0</v>
      </c>
      <c r="E11" s="943">
        <f>huishoudens!D8</f>
        <v>367810.15046317194</v>
      </c>
      <c r="F11" s="943">
        <f>huishoudens!E8</f>
        <v>10343.570080056172</v>
      </c>
      <c r="G11" s="943">
        <f>huishoudens!F8</f>
        <v>326307.36610116629</v>
      </c>
      <c r="H11" s="943">
        <f>huishoudens!G8</f>
        <v>0</v>
      </c>
      <c r="I11" s="943">
        <f>huishoudens!H8</f>
        <v>0</v>
      </c>
      <c r="J11" s="943">
        <f>huishoudens!I8</f>
        <v>0</v>
      </c>
      <c r="K11" s="943">
        <f>huishoudens!J8</f>
        <v>7609.4754507575108</v>
      </c>
      <c r="L11" s="943">
        <f>huishoudens!K8</f>
        <v>0</v>
      </c>
      <c r="M11" s="943">
        <f>huishoudens!L8</f>
        <v>0</v>
      </c>
      <c r="N11" s="943">
        <f>huishoudens!M8</f>
        <v>0</v>
      </c>
      <c r="O11" s="943">
        <f>huishoudens!N8</f>
        <v>56015.365255945493</v>
      </c>
      <c r="P11" s="943">
        <f>huishoudens!O8</f>
        <v>686.3033333333334</v>
      </c>
      <c r="Q11" s="944">
        <f>huishoudens!P8</f>
        <v>1010.5333333333333</v>
      </c>
      <c r="R11" s="629">
        <f>SUM(C11:Q11)</f>
        <v>920559.70833819686</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111031.16767000002</v>
      </c>
      <c r="D13" s="943">
        <f>industrie!C18</f>
        <v>0</v>
      </c>
      <c r="E13" s="943">
        <f>industrie!D18</f>
        <v>101985.36174646384</v>
      </c>
      <c r="F13" s="943">
        <f>industrie!E18</f>
        <v>13144.361117312183</v>
      </c>
      <c r="G13" s="943">
        <f>industrie!F18</f>
        <v>54841.050104292866</v>
      </c>
      <c r="H13" s="943">
        <f>industrie!G18</f>
        <v>0</v>
      </c>
      <c r="I13" s="943">
        <f>industrie!H18</f>
        <v>0</v>
      </c>
      <c r="J13" s="943">
        <f>industrie!I18</f>
        <v>0</v>
      </c>
      <c r="K13" s="943">
        <f>industrie!J18</f>
        <v>423.95337131198482</v>
      </c>
      <c r="L13" s="943">
        <f>industrie!K18</f>
        <v>0</v>
      </c>
      <c r="M13" s="943">
        <f>industrie!L18</f>
        <v>0</v>
      </c>
      <c r="N13" s="943">
        <f>industrie!M18</f>
        <v>0</v>
      </c>
      <c r="O13" s="943">
        <f>industrie!N18</f>
        <v>9751.0681339341972</v>
      </c>
      <c r="P13" s="943">
        <f>industrie!O18</f>
        <v>0</v>
      </c>
      <c r="Q13" s="944">
        <f>industrie!P18</f>
        <v>0</v>
      </c>
      <c r="R13" s="629">
        <f>SUM(C13:Q13)</f>
        <v>291176.96214331512</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716545.42899043276</v>
      </c>
      <c r="D16" s="661">
        <f t="shared" ref="D16:R16" ca="1" si="0">SUM(D9:D15)</f>
        <v>60.428571428571438</v>
      </c>
      <c r="E16" s="661">
        <f t="shared" ca="1" si="0"/>
        <v>896243.48476144124</v>
      </c>
      <c r="F16" s="661">
        <f t="shared" si="0"/>
        <v>29142.794827837639</v>
      </c>
      <c r="G16" s="661">
        <f t="shared" ca="1" si="0"/>
        <v>463951.45370810438</v>
      </c>
      <c r="H16" s="661">
        <f t="shared" si="0"/>
        <v>0</v>
      </c>
      <c r="I16" s="661">
        <f t="shared" si="0"/>
        <v>0</v>
      </c>
      <c r="J16" s="661">
        <f t="shared" si="0"/>
        <v>0</v>
      </c>
      <c r="K16" s="661">
        <f t="shared" si="0"/>
        <v>8033.4288220694953</v>
      </c>
      <c r="L16" s="661">
        <f t="shared" si="0"/>
        <v>0</v>
      </c>
      <c r="M16" s="661">
        <f t="shared" ca="1" si="0"/>
        <v>0</v>
      </c>
      <c r="N16" s="661">
        <f t="shared" si="0"/>
        <v>0</v>
      </c>
      <c r="O16" s="661">
        <f t="shared" ca="1" si="0"/>
        <v>75533.10746348789</v>
      </c>
      <c r="P16" s="661">
        <f t="shared" si="0"/>
        <v>697.24666666666678</v>
      </c>
      <c r="Q16" s="661">
        <f t="shared" si="0"/>
        <v>1353.7333333333333</v>
      </c>
      <c r="R16" s="661">
        <f t="shared" ca="1" si="0"/>
        <v>2191561.1071448019</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124.05345091928764</v>
      </c>
      <c r="D19" s="943">
        <f>transport!C54</f>
        <v>0</v>
      </c>
      <c r="E19" s="943">
        <f>transport!D54</f>
        <v>0</v>
      </c>
      <c r="F19" s="943">
        <f>transport!E54</f>
        <v>0</v>
      </c>
      <c r="G19" s="943">
        <f>transport!F54</f>
        <v>0</v>
      </c>
      <c r="H19" s="943">
        <f>transport!G54</f>
        <v>23506.492540645268</v>
      </c>
      <c r="I19" s="943">
        <f>transport!H54</f>
        <v>0</v>
      </c>
      <c r="J19" s="943">
        <f>transport!I54</f>
        <v>0</v>
      </c>
      <c r="K19" s="943">
        <f>transport!J54</f>
        <v>0</v>
      </c>
      <c r="L19" s="943">
        <f>transport!K54</f>
        <v>0</v>
      </c>
      <c r="M19" s="943">
        <f>transport!L54</f>
        <v>0</v>
      </c>
      <c r="N19" s="943">
        <f>transport!M54</f>
        <v>1353.2226096430352</v>
      </c>
      <c r="O19" s="943">
        <f>transport!N54</f>
        <v>0</v>
      </c>
      <c r="P19" s="943">
        <f>transport!O54</f>
        <v>0</v>
      </c>
      <c r="Q19" s="944">
        <f>transport!P54</f>
        <v>0</v>
      </c>
      <c r="R19" s="629">
        <f>SUM(C19:Q19)</f>
        <v>24983.76860120759</v>
      </c>
      <c r="S19" s="67"/>
    </row>
    <row r="20" spans="1:19" s="438" customFormat="1">
      <c r="A20" s="737" t="s">
        <v>296</v>
      </c>
      <c r="B20" s="742"/>
      <c r="C20" s="943">
        <f>transport!B14</f>
        <v>93.901593685755586</v>
      </c>
      <c r="D20" s="943">
        <f>transport!C14</f>
        <v>0</v>
      </c>
      <c r="E20" s="943">
        <f>transport!D14</f>
        <v>143.37697806440045</v>
      </c>
      <c r="F20" s="943">
        <f>transport!E14</f>
        <v>1548.7399612312206</v>
      </c>
      <c r="G20" s="943">
        <f>transport!F14</f>
        <v>0</v>
      </c>
      <c r="H20" s="943">
        <f>transport!G14</f>
        <v>436686.28107956541</v>
      </c>
      <c r="I20" s="943">
        <f>transport!H14</f>
        <v>89975.808565621264</v>
      </c>
      <c r="J20" s="943">
        <f>transport!I14</f>
        <v>0</v>
      </c>
      <c r="K20" s="943">
        <f>transport!J14</f>
        <v>0</v>
      </c>
      <c r="L20" s="943">
        <f>transport!K14</f>
        <v>0</v>
      </c>
      <c r="M20" s="943">
        <f>transport!L14</f>
        <v>0</v>
      </c>
      <c r="N20" s="943">
        <f>transport!M14</f>
        <v>28062.34679209959</v>
      </c>
      <c r="O20" s="943">
        <f>transport!N14</f>
        <v>0</v>
      </c>
      <c r="P20" s="943">
        <f>transport!O14</f>
        <v>0</v>
      </c>
      <c r="Q20" s="944">
        <f>transport!P14</f>
        <v>0</v>
      </c>
      <c r="R20" s="629">
        <f>SUM(C20:Q20)</f>
        <v>556510.4549702676</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217.95504460504321</v>
      </c>
      <c r="D22" s="740">
        <f t="shared" ref="D22:R22" si="1">SUM(D18:D21)</f>
        <v>0</v>
      </c>
      <c r="E22" s="740">
        <f t="shared" si="1"/>
        <v>143.37697806440045</v>
      </c>
      <c r="F22" s="740">
        <f t="shared" si="1"/>
        <v>1548.7399612312206</v>
      </c>
      <c r="G22" s="740">
        <f t="shared" si="1"/>
        <v>0</v>
      </c>
      <c r="H22" s="740">
        <f t="shared" si="1"/>
        <v>460192.7736202107</v>
      </c>
      <c r="I22" s="740">
        <f t="shared" si="1"/>
        <v>89975.808565621264</v>
      </c>
      <c r="J22" s="740">
        <f t="shared" si="1"/>
        <v>0</v>
      </c>
      <c r="K22" s="740">
        <f t="shared" si="1"/>
        <v>0</v>
      </c>
      <c r="L22" s="740">
        <f t="shared" si="1"/>
        <v>0</v>
      </c>
      <c r="M22" s="740">
        <f t="shared" si="1"/>
        <v>0</v>
      </c>
      <c r="N22" s="740">
        <f t="shared" si="1"/>
        <v>29415.569401742625</v>
      </c>
      <c r="O22" s="740">
        <f t="shared" si="1"/>
        <v>0</v>
      </c>
      <c r="P22" s="740">
        <f t="shared" si="1"/>
        <v>0</v>
      </c>
      <c r="Q22" s="740">
        <f t="shared" si="1"/>
        <v>0</v>
      </c>
      <c r="R22" s="740">
        <f t="shared" si="1"/>
        <v>581494.22357147525</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1907.7128</v>
      </c>
      <c r="D24" s="943">
        <f>+landbouw!C8</f>
        <v>0</v>
      </c>
      <c r="E24" s="943">
        <f>+landbouw!D8</f>
        <v>1268.9512765631475</v>
      </c>
      <c r="F24" s="943">
        <f>+landbouw!E8</f>
        <v>40.908114582682224</v>
      </c>
      <c r="G24" s="943">
        <f>+landbouw!F8</f>
        <v>6188.009027299684</v>
      </c>
      <c r="H24" s="943">
        <f>+landbouw!G8</f>
        <v>0</v>
      </c>
      <c r="I24" s="943">
        <f>+landbouw!H8</f>
        <v>0</v>
      </c>
      <c r="J24" s="943">
        <f>+landbouw!I8</f>
        <v>0</v>
      </c>
      <c r="K24" s="943">
        <f>+landbouw!J8</f>
        <v>183.80913646882874</v>
      </c>
      <c r="L24" s="943">
        <f>+landbouw!K8</f>
        <v>0</v>
      </c>
      <c r="M24" s="943">
        <f>+landbouw!L8</f>
        <v>0</v>
      </c>
      <c r="N24" s="943">
        <f>+landbouw!M8</f>
        <v>0</v>
      </c>
      <c r="O24" s="943">
        <f>+landbouw!N8</f>
        <v>0</v>
      </c>
      <c r="P24" s="943">
        <f>+landbouw!O8</f>
        <v>0</v>
      </c>
      <c r="Q24" s="944">
        <f>+landbouw!P8</f>
        <v>0</v>
      </c>
      <c r="R24" s="629">
        <f>SUM(C24:Q24)</f>
        <v>9589.3903549143415</v>
      </c>
      <c r="S24" s="67"/>
    </row>
    <row r="25" spans="1:19" s="438" customFormat="1" ht="15" thickBot="1">
      <c r="A25" s="759" t="s">
        <v>802</v>
      </c>
      <c r="B25" s="946"/>
      <c r="C25" s="947">
        <f>IF(Onbekend_ele_kWh="---",0,Onbekend_ele_kWh)/1000+IF(REST_rest_ele_kWh="---",0,REST_rest_ele_kWh)/1000</f>
        <v>15668.960999999999</v>
      </c>
      <c r="D25" s="947"/>
      <c r="E25" s="947">
        <f>IF(onbekend_gas_kWh="---",0,onbekend_gas_kWh)/1000+IF(REST_rest_gas_kWh="---",0,REST_rest_gas_kWh)/1000</f>
        <v>34283.873993089102</v>
      </c>
      <c r="F25" s="947"/>
      <c r="G25" s="947"/>
      <c r="H25" s="947"/>
      <c r="I25" s="947"/>
      <c r="J25" s="947"/>
      <c r="K25" s="947"/>
      <c r="L25" s="947"/>
      <c r="M25" s="947"/>
      <c r="N25" s="947"/>
      <c r="O25" s="947"/>
      <c r="P25" s="947"/>
      <c r="Q25" s="948"/>
      <c r="R25" s="629">
        <f>SUM(C25:Q25)</f>
        <v>49952.834993089098</v>
      </c>
      <c r="S25" s="67"/>
    </row>
    <row r="26" spans="1:19" s="438" customFormat="1" ht="15.75" thickBot="1">
      <c r="A26" s="634" t="s">
        <v>803</v>
      </c>
      <c r="B26" s="745"/>
      <c r="C26" s="740">
        <f>SUM(C24:C25)</f>
        <v>17576.6738</v>
      </c>
      <c r="D26" s="740">
        <f t="shared" ref="D26:R26" si="2">SUM(D24:D25)</f>
        <v>0</v>
      </c>
      <c r="E26" s="740">
        <f t="shared" si="2"/>
        <v>35552.825269652247</v>
      </c>
      <c r="F26" s="740">
        <f t="shared" si="2"/>
        <v>40.908114582682224</v>
      </c>
      <c r="G26" s="740">
        <f t="shared" si="2"/>
        <v>6188.009027299684</v>
      </c>
      <c r="H26" s="740">
        <f t="shared" si="2"/>
        <v>0</v>
      </c>
      <c r="I26" s="740">
        <f t="shared" si="2"/>
        <v>0</v>
      </c>
      <c r="J26" s="740">
        <f t="shared" si="2"/>
        <v>0</v>
      </c>
      <c r="K26" s="740">
        <f t="shared" si="2"/>
        <v>183.80913646882874</v>
      </c>
      <c r="L26" s="740">
        <f t="shared" si="2"/>
        <v>0</v>
      </c>
      <c r="M26" s="740">
        <f t="shared" si="2"/>
        <v>0</v>
      </c>
      <c r="N26" s="740">
        <f t="shared" si="2"/>
        <v>0</v>
      </c>
      <c r="O26" s="740">
        <f t="shared" si="2"/>
        <v>0</v>
      </c>
      <c r="P26" s="740">
        <f t="shared" si="2"/>
        <v>0</v>
      </c>
      <c r="Q26" s="740">
        <f t="shared" si="2"/>
        <v>0</v>
      </c>
      <c r="R26" s="740">
        <f t="shared" si="2"/>
        <v>59542.225348003441</v>
      </c>
      <c r="S26" s="67"/>
    </row>
    <row r="27" spans="1:19" s="438" customFormat="1" ht="17.25" thickTop="1" thickBot="1">
      <c r="A27" s="635" t="s">
        <v>109</v>
      </c>
      <c r="B27" s="733"/>
      <c r="C27" s="636">
        <f ca="1">C22+C16+C26</f>
        <v>734340.05783503782</v>
      </c>
      <c r="D27" s="636">
        <f t="shared" ref="D27:R27" ca="1" si="3">D22+D16+D26</f>
        <v>60.428571428571438</v>
      </c>
      <c r="E27" s="636">
        <f t="shared" ca="1" si="3"/>
        <v>931939.68700915796</v>
      </c>
      <c r="F27" s="636">
        <f t="shared" si="3"/>
        <v>30732.442903651543</v>
      </c>
      <c r="G27" s="636">
        <f t="shared" ca="1" si="3"/>
        <v>470139.46273540409</v>
      </c>
      <c r="H27" s="636">
        <f t="shared" si="3"/>
        <v>460192.7736202107</v>
      </c>
      <c r="I27" s="636">
        <f t="shared" si="3"/>
        <v>89975.808565621264</v>
      </c>
      <c r="J27" s="636">
        <f t="shared" si="3"/>
        <v>0</v>
      </c>
      <c r="K27" s="636">
        <f t="shared" si="3"/>
        <v>8217.2379585383242</v>
      </c>
      <c r="L27" s="636">
        <f t="shared" si="3"/>
        <v>0</v>
      </c>
      <c r="M27" s="636">
        <f t="shared" ca="1" si="3"/>
        <v>0</v>
      </c>
      <c r="N27" s="636">
        <f t="shared" si="3"/>
        <v>29415.569401742625</v>
      </c>
      <c r="O27" s="636">
        <f t="shared" ca="1" si="3"/>
        <v>75533.10746348789</v>
      </c>
      <c r="P27" s="636">
        <f t="shared" si="3"/>
        <v>697.24666666666678</v>
      </c>
      <c r="Q27" s="636">
        <f t="shared" si="3"/>
        <v>1353.7333333333333</v>
      </c>
      <c r="R27" s="636">
        <f t="shared" ca="1" si="3"/>
        <v>2832597.5560642807</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98705.080070225478</v>
      </c>
      <c r="D40" s="943">
        <f ca="1">tertiair!C20</f>
        <v>14.360672268907567</v>
      </c>
      <c r="E40" s="943">
        <f ca="1">tertiair!D20</f>
        <v>86142.490455464722</v>
      </c>
      <c r="F40" s="943">
        <f>tertiair!E20</f>
        <v>1283.6540441165278</v>
      </c>
      <c r="G40" s="943">
        <f ca="1">tertiair!F20</f>
        <v>22108.411013206267</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208253.99625528191</v>
      </c>
    </row>
    <row r="41" spans="1:18">
      <c r="A41" s="750" t="s">
        <v>214</v>
      </c>
      <c r="B41" s="757"/>
      <c r="C41" s="943">
        <f ca="1">huishoudens!B12</f>
        <v>32727.576571183959</v>
      </c>
      <c r="D41" s="943">
        <f ca="1">huishoudens!C12</f>
        <v>0</v>
      </c>
      <c r="E41" s="943">
        <f>huishoudens!D12</f>
        <v>74297.650393560732</v>
      </c>
      <c r="F41" s="943">
        <f>huishoudens!E12</f>
        <v>2347.9904081727509</v>
      </c>
      <c r="G41" s="943">
        <f>huishoudens!F12</f>
        <v>87124.066749011399</v>
      </c>
      <c r="H41" s="943">
        <f>huishoudens!G12</f>
        <v>0</v>
      </c>
      <c r="I41" s="943">
        <f>huishoudens!H12</f>
        <v>0</v>
      </c>
      <c r="J41" s="943">
        <f>huishoudens!I12</f>
        <v>0</v>
      </c>
      <c r="K41" s="943">
        <f>huishoudens!J12</f>
        <v>2693.7543095681585</v>
      </c>
      <c r="L41" s="943">
        <f>huishoudens!K12</f>
        <v>0</v>
      </c>
      <c r="M41" s="943">
        <f>huishoudens!L12</f>
        <v>0</v>
      </c>
      <c r="N41" s="943">
        <f>huishoudens!M12</f>
        <v>0</v>
      </c>
      <c r="O41" s="943">
        <f>huishoudens!N12</f>
        <v>0</v>
      </c>
      <c r="P41" s="943">
        <f>huishoudens!O12</f>
        <v>0</v>
      </c>
      <c r="Q41" s="703">
        <f>huishoudens!P12</f>
        <v>0</v>
      </c>
      <c r="R41" s="778">
        <f t="shared" ca="1" si="4"/>
        <v>199191.038431497</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24100.375943322866</v>
      </c>
      <c r="D43" s="943">
        <f ca="1">industrie!C22</f>
        <v>0</v>
      </c>
      <c r="E43" s="943">
        <f>industrie!D22</f>
        <v>20601.043072785695</v>
      </c>
      <c r="F43" s="943">
        <f>industrie!E22</f>
        <v>2983.7699736298655</v>
      </c>
      <c r="G43" s="943">
        <f>industrie!F22</f>
        <v>14642.560377846195</v>
      </c>
      <c r="H43" s="943">
        <f>industrie!G22</f>
        <v>0</v>
      </c>
      <c r="I43" s="943">
        <f>industrie!H22</f>
        <v>0</v>
      </c>
      <c r="J43" s="943">
        <f>industrie!I22</f>
        <v>0</v>
      </c>
      <c r="K43" s="943">
        <f>industrie!J22</f>
        <v>150.07949344444262</v>
      </c>
      <c r="L43" s="943">
        <f>industrie!K22</f>
        <v>0</v>
      </c>
      <c r="M43" s="943">
        <f>industrie!L22</f>
        <v>0</v>
      </c>
      <c r="N43" s="943">
        <f>industrie!M22</f>
        <v>0</v>
      </c>
      <c r="O43" s="943">
        <f>industrie!N22</f>
        <v>0</v>
      </c>
      <c r="P43" s="943">
        <f>industrie!O22</f>
        <v>0</v>
      </c>
      <c r="Q43" s="703">
        <f>industrie!P22</f>
        <v>0</v>
      </c>
      <c r="R43" s="777">
        <f t="shared" ca="1" si="4"/>
        <v>62477.828861029062</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155533.03258473231</v>
      </c>
      <c r="D46" s="661">
        <f t="shared" ref="D46:Q46" ca="1" si="5">SUM(D39:D45)</f>
        <v>14.360672268907567</v>
      </c>
      <c r="E46" s="661">
        <f t="shared" ca="1" si="5"/>
        <v>181041.18392181114</v>
      </c>
      <c r="F46" s="661">
        <f t="shared" si="5"/>
        <v>6615.4144259191444</v>
      </c>
      <c r="G46" s="661">
        <f t="shared" ca="1" si="5"/>
        <v>123875.03814006386</v>
      </c>
      <c r="H46" s="661">
        <f t="shared" si="5"/>
        <v>0</v>
      </c>
      <c r="I46" s="661">
        <f t="shared" si="5"/>
        <v>0</v>
      </c>
      <c r="J46" s="661">
        <f t="shared" si="5"/>
        <v>0</v>
      </c>
      <c r="K46" s="661">
        <f t="shared" si="5"/>
        <v>2843.833803012601</v>
      </c>
      <c r="L46" s="661">
        <f t="shared" si="5"/>
        <v>0</v>
      </c>
      <c r="M46" s="661">
        <f t="shared" ca="1" si="5"/>
        <v>0</v>
      </c>
      <c r="N46" s="661">
        <f t="shared" si="5"/>
        <v>0</v>
      </c>
      <c r="O46" s="661">
        <f t="shared" ca="1" si="5"/>
        <v>0</v>
      </c>
      <c r="P46" s="661">
        <f t="shared" si="5"/>
        <v>0</v>
      </c>
      <c r="Q46" s="661">
        <f t="shared" si="5"/>
        <v>0</v>
      </c>
      <c r="R46" s="661">
        <f ca="1">SUM(R39:R45)</f>
        <v>469922.86354780797</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26.926986961960885</v>
      </c>
      <c r="D49" s="943">
        <f ca="1">transport!C58</f>
        <v>0</v>
      </c>
      <c r="E49" s="943">
        <f>transport!D58</f>
        <v>0</v>
      </c>
      <c r="F49" s="943">
        <f>transport!E58</f>
        <v>0</v>
      </c>
      <c r="G49" s="943">
        <f>transport!F58</f>
        <v>0</v>
      </c>
      <c r="H49" s="943">
        <f>transport!G58</f>
        <v>6276.2335083522867</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6303.1604953142478</v>
      </c>
    </row>
    <row r="50" spans="1:18">
      <c r="A50" s="753" t="s">
        <v>296</v>
      </c>
      <c r="B50" s="763"/>
      <c r="C50" s="632">
        <f ca="1">transport!B18</f>
        <v>20.382238221883789</v>
      </c>
      <c r="D50" s="632">
        <f>transport!C18</f>
        <v>0</v>
      </c>
      <c r="E50" s="632">
        <f>transport!D18</f>
        <v>28.962149569008893</v>
      </c>
      <c r="F50" s="632">
        <f>transport!E18</f>
        <v>351.56397119948707</v>
      </c>
      <c r="G50" s="632">
        <f>transport!F18</f>
        <v>0</v>
      </c>
      <c r="H50" s="632">
        <f>transport!G18</f>
        <v>116595.23704824397</v>
      </c>
      <c r="I50" s="632">
        <f>transport!H18</f>
        <v>22403.976332839695</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139400.12174007404</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47.309225183844674</v>
      </c>
      <c r="D52" s="661">
        <f t="shared" ref="D52:Q52" ca="1" si="6">SUM(D48:D51)</f>
        <v>0</v>
      </c>
      <c r="E52" s="661">
        <f t="shared" si="6"/>
        <v>28.962149569008893</v>
      </c>
      <c r="F52" s="661">
        <f t="shared" si="6"/>
        <v>351.56397119948707</v>
      </c>
      <c r="G52" s="661">
        <f t="shared" si="6"/>
        <v>0</v>
      </c>
      <c r="H52" s="661">
        <f t="shared" si="6"/>
        <v>122871.47055659626</v>
      </c>
      <c r="I52" s="661">
        <f t="shared" si="6"/>
        <v>22403.976332839695</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145703.28223538829</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414.08729311518999</v>
      </c>
      <c r="D54" s="632">
        <f ca="1">+landbouw!C12</f>
        <v>0</v>
      </c>
      <c r="E54" s="632">
        <f>+landbouw!D12</f>
        <v>256.32815786575583</v>
      </c>
      <c r="F54" s="632">
        <f>+landbouw!E12</f>
        <v>9.2861420102688648</v>
      </c>
      <c r="G54" s="632">
        <f>+landbouw!F12</f>
        <v>1652.1984102890158</v>
      </c>
      <c r="H54" s="632">
        <f>+landbouw!G12</f>
        <v>0</v>
      </c>
      <c r="I54" s="632">
        <f>+landbouw!H12</f>
        <v>0</v>
      </c>
      <c r="J54" s="632">
        <f>+landbouw!I12</f>
        <v>0</v>
      </c>
      <c r="K54" s="632">
        <f>+landbouw!J12</f>
        <v>65.068434309965369</v>
      </c>
      <c r="L54" s="632">
        <f>+landbouw!K12</f>
        <v>0</v>
      </c>
      <c r="M54" s="632">
        <f>+landbouw!L12</f>
        <v>0</v>
      </c>
      <c r="N54" s="632">
        <f>+landbouw!M12</f>
        <v>0</v>
      </c>
      <c r="O54" s="632">
        <f>+landbouw!N12</f>
        <v>0</v>
      </c>
      <c r="P54" s="632">
        <f>+landbouw!O12</f>
        <v>0</v>
      </c>
      <c r="Q54" s="633">
        <f>+landbouw!P12</f>
        <v>0</v>
      </c>
      <c r="R54" s="660">
        <f ca="1">SUM(C54:Q54)</f>
        <v>2396.9684375901961</v>
      </c>
    </row>
    <row r="55" spans="1:18" ht="15" thickBot="1">
      <c r="A55" s="753" t="s">
        <v>802</v>
      </c>
      <c r="B55" s="763"/>
      <c r="C55" s="632">
        <f ca="1">C25*'EF ele_warmte'!B12</f>
        <v>3401.0977157659581</v>
      </c>
      <c r="D55" s="632"/>
      <c r="E55" s="632">
        <f>E25*EF_CO2_aardgas</f>
        <v>6925.3425466039989</v>
      </c>
      <c r="F55" s="632"/>
      <c r="G55" s="632"/>
      <c r="H55" s="632"/>
      <c r="I55" s="632"/>
      <c r="J55" s="632"/>
      <c r="K55" s="632"/>
      <c r="L55" s="632"/>
      <c r="M55" s="632"/>
      <c r="N55" s="632"/>
      <c r="O55" s="632"/>
      <c r="P55" s="632"/>
      <c r="Q55" s="633"/>
      <c r="R55" s="660">
        <f ca="1">SUM(C55:Q55)</f>
        <v>10326.440262369957</v>
      </c>
    </row>
    <row r="56" spans="1:18" ht="15.75" thickBot="1">
      <c r="A56" s="751" t="s">
        <v>803</v>
      </c>
      <c r="B56" s="764"/>
      <c r="C56" s="661">
        <f ca="1">SUM(C54:C55)</f>
        <v>3815.185008881148</v>
      </c>
      <c r="D56" s="661">
        <f t="shared" ref="D56:Q56" ca="1" si="7">SUM(D54:D55)</f>
        <v>0</v>
      </c>
      <c r="E56" s="661">
        <f t="shared" si="7"/>
        <v>7181.670704469755</v>
      </c>
      <c r="F56" s="661">
        <f t="shared" si="7"/>
        <v>9.2861420102688648</v>
      </c>
      <c r="G56" s="661">
        <f t="shared" si="7"/>
        <v>1652.1984102890158</v>
      </c>
      <c r="H56" s="661">
        <f t="shared" si="7"/>
        <v>0</v>
      </c>
      <c r="I56" s="661">
        <f t="shared" si="7"/>
        <v>0</v>
      </c>
      <c r="J56" s="661">
        <f t="shared" si="7"/>
        <v>0</v>
      </c>
      <c r="K56" s="661">
        <f t="shared" si="7"/>
        <v>65.068434309965369</v>
      </c>
      <c r="L56" s="661">
        <f t="shared" si="7"/>
        <v>0</v>
      </c>
      <c r="M56" s="661">
        <f t="shared" si="7"/>
        <v>0</v>
      </c>
      <c r="N56" s="661">
        <f t="shared" si="7"/>
        <v>0</v>
      </c>
      <c r="O56" s="661">
        <f t="shared" si="7"/>
        <v>0</v>
      </c>
      <c r="P56" s="661">
        <f t="shared" si="7"/>
        <v>0</v>
      </c>
      <c r="Q56" s="662">
        <f t="shared" si="7"/>
        <v>0</v>
      </c>
      <c r="R56" s="663">
        <f ca="1">SUM(R54:R55)</f>
        <v>12723.408699960153</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159395.52681879731</v>
      </c>
      <c r="D61" s="669">
        <f t="shared" ref="D61:Q61" ca="1" si="8">D46+D52+D56</f>
        <v>14.360672268907567</v>
      </c>
      <c r="E61" s="669">
        <f t="shared" ca="1" si="8"/>
        <v>188251.8167758499</v>
      </c>
      <c r="F61" s="669">
        <f t="shared" si="8"/>
        <v>6976.2645391289007</v>
      </c>
      <c r="G61" s="669">
        <f t="shared" ca="1" si="8"/>
        <v>125527.23655035287</v>
      </c>
      <c r="H61" s="669">
        <f t="shared" si="8"/>
        <v>122871.47055659626</v>
      </c>
      <c r="I61" s="669">
        <f t="shared" si="8"/>
        <v>22403.976332839695</v>
      </c>
      <c r="J61" s="669">
        <f t="shared" si="8"/>
        <v>0</v>
      </c>
      <c r="K61" s="669">
        <f t="shared" si="8"/>
        <v>2908.9022373225662</v>
      </c>
      <c r="L61" s="669">
        <f t="shared" si="8"/>
        <v>0</v>
      </c>
      <c r="M61" s="669">
        <f t="shared" ca="1" si="8"/>
        <v>0</v>
      </c>
      <c r="N61" s="669">
        <f t="shared" si="8"/>
        <v>0</v>
      </c>
      <c r="O61" s="669">
        <f t="shared" ca="1" si="8"/>
        <v>0</v>
      </c>
      <c r="P61" s="669">
        <f t="shared" si="8"/>
        <v>0</v>
      </c>
      <c r="Q61" s="669">
        <f t="shared" si="8"/>
        <v>0</v>
      </c>
      <c r="R61" s="669">
        <f ca="1">R46+R52+R56</f>
        <v>628349.5544831563</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0.21705955588031386</v>
      </c>
      <c r="D63" s="710">
        <f t="shared" ca="1" si="9"/>
        <v>0.23764705882352946</v>
      </c>
      <c r="E63" s="954">
        <f t="shared" ca="1" si="9"/>
        <v>0.20199999999999999</v>
      </c>
      <c r="F63" s="710">
        <f t="shared" si="9"/>
        <v>0.22700000000000001</v>
      </c>
      <c r="G63" s="710">
        <f t="shared" ca="1" si="9"/>
        <v>0.26699999999999996</v>
      </c>
      <c r="H63" s="710">
        <f t="shared" si="9"/>
        <v>0.26700000000000002</v>
      </c>
      <c r="I63" s="710">
        <f t="shared" si="9"/>
        <v>0.249</v>
      </c>
      <c r="J63" s="710">
        <f t="shared" si="9"/>
        <v>0</v>
      </c>
      <c r="K63" s="710">
        <f t="shared" si="9"/>
        <v>0.35399999999999993</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81.360538116591925</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11611.155902310173</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42.300000000000004</v>
      </c>
      <c r="D76" s="964">
        <f>'lokale energieproductie'!C8</f>
        <v>49.764705882352949</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10.052470588235296</v>
      </c>
      <c r="R76" s="780">
        <v>0</v>
      </c>
    </row>
    <row r="77" spans="1:18" ht="30.75" thickBot="1">
      <c r="A77" s="682" t="s">
        <v>340</v>
      </c>
      <c r="B77" s="679">
        <f>'lokale energieproductie'!B9*IFERROR(SUM(I77:O77)/SUM(D77:O77),0)</f>
        <v>1404</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4011.4285714285716</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13096.516440426765</v>
      </c>
      <c r="C78" s="684">
        <f>SUM(C72:C77)</f>
        <v>42.300000000000004</v>
      </c>
      <c r="D78" s="685">
        <f t="shared" ref="D78:H78" si="10">SUM(D76:D77)</f>
        <v>49.764705882352949</v>
      </c>
      <c r="E78" s="685">
        <f t="shared" si="10"/>
        <v>0</v>
      </c>
      <c r="F78" s="685">
        <f t="shared" si="10"/>
        <v>0</v>
      </c>
      <c r="G78" s="685">
        <f t="shared" si="10"/>
        <v>0</v>
      </c>
      <c r="H78" s="685">
        <f t="shared" si="10"/>
        <v>0</v>
      </c>
      <c r="I78" s="685">
        <f>SUM(I76:I77)</f>
        <v>0</v>
      </c>
      <c r="J78" s="685">
        <f>SUM(J76:J77)</f>
        <v>4011.4285714285716</v>
      </c>
      <c r="K78" s="685">
        <f t="shared" ref="K78:L78" si="11">SUM(K76:K77)</f>
        <v>0</v>
      </c>
      <c r="L78" s="685">
        <f t="shared" si="11"/>
        <v>0</v>
      </c>
      <c r="M78" s="685">
        <f>SUM(M76:M77)</f>
        <v>0</v>
      </c>
      <c r="N78" s="685">
        <f>SUM(N76:N77)</f>
        <v>0</v>
      </c>
      <c r="O78" s="788">
        <f>SUM(O76:O77)</f>
        <v>0</v>
      </c>
      <c r="P78" s="686">
        <v>0</v>
      </c>
      <c r="Q78" s="686">
        <f>SUM(Q76:Q77)</f>
        <v>10.052470588235296</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60.428571428571438</v>
      </c>
      <c r="D87" s="706">
        <f>'lokale energieproductie'!C17</f>
        <v>71.092436974789933</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14.360672268907567</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60.428571428571438</v>
      </c>
      <c r="D90" s="684">
        <f t="shared" ref="D90:H90" si="12">SUM(D87:D89)</f>
        <v>71.092436974789933</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14.360672268907567</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150776.94432043284</v>
      </c>
      <c r="C4" s="442">
        <f>huishoudens!C8</f>
        <v>0</v>
      </c>
      <c r="D4" s="442">
        <f>huishoudens!D8</f>
        <v>367810.15046317194</v>
      </c>
      <c r="E4" s="442">
        <f>huishoudens!E8</f>
        <v>10343.570080056172</v>
      </c>
      <c r="F4" s="442">
        <f>huishoudens!F8</f>
        <v>326307.36610116629</v>
      </c>
      <c r="G4" s="442">
        <f>huishoudens!G8</f>
        <v>0</v>
      </c>
      <c r="H4" s="442">
        <f>huishoudens!H8</f>
        <v>0</v>
      </c>
      <c r="I4" s="442">
        <f>huishoudens!I8</f>
        <v>0</v>
      </c>
      <c r="J4" s="442">
        <f>huishoudens!J8</f>
        <v>7609.4754507575108</v>
      </c>
      <c r="K4" s="442">
        <f>huishoudens!K8</f>
        <v>0</v>
      </c>
      <c r="L4" s="442">
        <f>huishoudens!L8</f>
        <v>0</v>
      </c>
      <c r="M4" s="442">
        <f>huishoudens!M8</f>
        <v>0</v>
      </c>
      <c r="N4" s="442">
        <f>huishoudens!N8</f>
        <v>56015.365255945493</v>
      </c>
      <c r="O4" s="442">
        <f>huishoudens!O8</f>
        <v>686.3033333333334</v>
      </c>
      <c r="P4" s="443">
        <f>huishoudens!P8</f>
        <v>1010.5333333333333</v>
      </c>
      <c r="Q4" s="444">
        <f>SUM(B4:P4)</f>
        <v>920559.70833819686</v>
      </c>
    </row>
    <row r="5" spans="1:17">
      <c r="A5" s="441" t="s">
        <v>149</v>
      </c>
      <c r="B5" s="442">
        <f ca="1">tertiair!B16</f>
        <v>449270.73299999995</v>
      </c>
      <c r="C5" s="442">
        <f ca="1">tertiair!C16</f>
        <v>60.428571428571438</v>
      </c>
      <c r="D5" s="442">
        <f ca="1">tertiair!D16</f>
        <v>426447.97255180555</v>
      </c>
      <c r="E5" s="442">
        <f>tertiair!E16</f>
        <v>5654.8636304692855</v>
      </c>
      <c r="F5" s="442">
        <f ca="1">tertiair!F16</f>
        <v>82803.037502645195</v>
      </c>
      <c r="G5" s="442">
        <f>tertiair!G16</f>
        <v>0</v>
      </c>
      <c r="H5" s="442">
        <f>tertiair!H16</f>
        <v>0</v>
      </c>
      <c r="I5" s="442">
        <f>tertiair!I16</f>
        <v>0</v>
      </c>
      <c r="J5" s="442">
        <f>tertiair!J16</f>
        <v>0</v>
      </c>
      <c r="K5" s="442">
        <f>tertiair!K16</f>
        <v>0</v>
      </c>
      <c r="L5" s="442">
        <f ca="1">tertiair!L16</f>
        <v>0</v>
      </c>
      <c r="M5" s="442">
        <f>tertiair!M16</f>
        <v>0</v>
      </c>
      <c r="N5" s="442">
        <f ca="1">tertiair!N16</f>
        <v>9766.6740736081993</v>
      </c>
      <c r="O5" s="442">
        <f>tertiair!O16</f>
        <v>10.943333333333335</v>
      </c>
      <c r="P5" s="443">
        <f>tertiair!P16</f>
        <v>343.2</v>
      </c>
      <c r="Q5" s="441">
        <f t="shared" ref="Q5:Q14" ca="1" si="0">SUM(B5:P5)</f>
        <v>974357.8526632901</v>
      </c>
    </row>
    <row r="6" spans="1:17">
      <c r="A6" s="441" t="s">
        <v>187</v>
      </c>
      <c r="B6" s="442">
        <f>'openbare verlichting'!B8</f>
        <v>5466.5839999999998</v>
      </c>
      <c r="C6" s="442"/>
      <c r="D6" s="442"/>
      <c r="E6" s="442"/>
      <c r="F6" s="442"/>
      <c r="G6" s="442"/>
      <c r="H6" s="442"/>
      <c r="I6" s="442"/>
      <c r="J6" s="442"/>
      <c r="K6" s="442"/>
      <c r="L6" s="442"/>
      <c r="M6" s="442"/>
      <c r="N6" s="442"/>
      <c r="O6" s="442"/>
      <c r="P6" s="443"/>
      <c r="Q6" s="441">
        <f t="shared" si="0"/>
        <v>5466.5839999999998</v>
      </c>
    </row>
    <row r="7" spans="1:17">
      <c r="A7" s="441" t="s">
        <v>105</v>
      </c>
      <c r="B7" s="442">
        <f>landbouw!B8</f>
        <v>1907.7128</v>
      </c>
      <c r="C7" s="442">
        <f>landbouw!C8</f>
        <v>0</v>
      </c>
      <c r="D7" s="442">
        <f>landbouw!D8</f>
        <v>1268.9512765631475</v>
      </c>
      <c r="E7" s="442">
        <f>landbouw!E8</f>
        <v>40.908114582682224</v>
      </c>
      <c r="F7" s="442">
        <f>landbouw!F8</f>
        <v>6188.009027299684</v>
      </c>
      <c r="G7" s="442">
        <f>landbouw!G8</f>
        <v>0</v>
      </c>
      <c r="H7" s="442">
        <f>landbouw!H8</f>
        <v>0</v>
      </c>
      <c r="I7" s="442">
        <f>landbouw!I8</f>
        <v>0</v>
      </c>
      <c r="J7" s="442">
        <f>landbouw!J8</f>
        <v>183.80913646882874</v>
      </c>
      <c r="K7" s="442">
        <f>landbouw!K8</f>
        <v>0</v>
      </c>
      <c r="L7" s="442">
        <f>landbouw!L8</f>
        <v>0</v>
      </c>
      <c r="M7" s="442">
        <f>landbouw!M8</f>
        <v>0</v>
      </c>
      <c r="N7" s="442">
        <f>landbouw!N8</f>
        <v>0</v>
      </c>
      <c r="O7" s="442">
        <f>landbouw!O8</f>
        <v>0</v>
      </c>
      <c r="P7" s="443">
        <f>landbouw!P8</f>
        <v>0</v>
      </c>
      <c r="Q7" s="441">
        <f t="shared" si="0"/>
        <v>9589.3903549143415</v>
      </c>
    </row>
    <row r="8" spans="1:17">
      <c r="A8" s="441" t="s">
        <v>612</v>
      </c>
      <c r="B8" s="442">
        <f>industrie!B18</f>
        <v>111031.16767000002</v>
      </c>
      <c r="C8" s="442">
        <f>industrie!C18</f>
        <v>0</v>
      </c>
      <c r="D8" s="442">
        <f>industrie!D18</f>
        <v>101985.36174646384</v>
      </c>
      <c r="E8" s="442">
        <f>industrie!E18</f>
        <v>13144.361117312183</v>
      </c>
      <c r="F8" s="442">
        <f>industrie!F18</f>
        <v>54841.050104292866</v>
      </c>
      <c r="G8" s="442">
        <f>industrie!G18</f>
        <v>0</v>
      </c>
      <c r="H8" s="442">
        <f>industrie!H18</f>
        <v>0</v>
      </c>
      <c r="I8" s="442">
        <f>industrie!I18</f>
        <v>0</v>
      </c>
      <c r="J8" s="442">
        <f>industrie!J18</f>
        <v>423.95337131198482</v>
      </c>
      <c r="K8" s="442">
        <f>industrie!K18</f>
        <v>0</v>
      </c>
      <c r="L8" s="442">
        <f>industrie!L18</f>
        <v>0</v>
      </c>
      <c r="M8" s="442">
        <f>industrie!M18</f>
        <v>0</v>
      </c>
      <c r="N8" s="442">
        <f>industrie!N18</f>
        <v>9751.0681339341972</v>
      </c>
      <c r="O8" s="442">
        <f>industrie!O18</f>
        <v>0</v>
      </c>
      <c r="P8" s="443">
        <f>industrie!P18</f>
        <v>0</v>
      </c>
      <c r="Q8" s="441">
        <f t="shared" si="0"/>
        <v>291176.96214331512</v>
      </c>
    </row>
    <row r="9" spans="1:17" s="447" customFormat="1">
      <c r="A9" s="445" t="s">
        <v>556</v>
      </c>
      <c r="B9" s="446">
        <f>transport!B14</f>
        <v>93.901593685755586</v>
      </c>
      <c r="C9" s="446">
        <f>transport!C14</f>
        <v>0</v>
      </c>
      <c r="D9" s="446">
        <f>transport!D14</f>
        <v>143.37697806440045</v>
      </c>
      <c r="E9" s="446">
        <f>transport!E14</f>
        <v>1548.7399612312206</v>
      </c>
      <c r="F9" s="446">
        <f>transport!F14</f>
        <v>0</v>
      </c>
      <c r="G9" s="446">
        <f>transport!G14</f>
        <v>436686.28107956541</v>
      </c>
      <c r="H9" s="446">
        <f>transport!H14</f>
        <v>89975.808565621264</v>
      </c>
      <c r="I9" s="446">
        <f>transport!I14</f>
        <v>0</v>
      </c>
      <c r="J9" s="446">
        <f>transport!J14</f>
        <v>0</v>
      </c>
      <c r="K9" s="446">
        <f>transport!K14</f>
        <v>0</v>
      </c>
      <c r="L9" s="446">
        <f>transport!L14</f>
        <v>0</v>
      </c>
      <c r="M9" s="446">
        <f>transport!M14</f>
        <v>28062.34679209959</v>
      </c>
      <c r="N9" s="446">
        <f>transport!N14</f>
        <v>0</v>
      </c>
      <c r="O9" s="446">
        <f>transport!O14</f>
        <v>0</v>
      </c>
      <c r="P9" s="446">
        <f>transport!P14</f>
        <v>0</v>
      </c>
      <c r="Q9" s="445">
        <f>SUM(B9:P9)</f>
        <v>556510.4549702676</v>
      </c>
    </row>
    <row r="10" spans="1:17">
      <c r="A10" s="441" t="s">
        <v>546</v>
      </c>
      <c r="B10" s="442">
        <f>transport!B54</f>
        <v>124.05345091928764</v>
      </c>
      <c r="C10" s="442">
        <f>transport!C54</f>
        <v>0</v>
      </c>
      <c r="D10" s="442">
        <f>transport!D54</f>
        <v>0</v>
      </c>
      <c r="E10" s="442">
        <f>transport!E54</f>
        <v>0</v>
      </c>
      <c r="F10" s="442">
        <f>transport!F54</f>
        <v>0</v>
      </c>
      <c r="G10" s="442">
        <f>transport!G54</f>
        <v>23506.492540645268</v>
      </c>
      <c r="H10" s="442">
        <f>transport!H54</f>
        <v>0</v>
      </c>
      <c r="I10" s="442">
        <f>transport!I54</f>
        <v>0</v>
      </c>
      <c r="J10" s="442">
        <f>transport!J54</f>
        <v>0</v>
      </c>
      <c r="K10" s="442">
        <f>transport!K54</f>
        <v>0</v>
      </c>
      <c r="L10" s="442">
        <f>transport!L54</f>
        <v>0</v>
      </c>
      <c r="M10" s="442">
        <f>transport!M54</f>
        <v>1353.2226096430352</v>
      </c>
      <c r="N10" s="442">
        <f>transport!N54</f>
        <v>0</v>
      </c>
      <c r="O10" s="442">
        <f>transport!O54</f>
        <v>0</v>
      </c>
      <c r="P10" s="443">
        <f>transport!P54</f>
        <v>0</v>
      </c>
      <c r="Q10" s="441">
        <f t="shared" si="0"/>
        <v>24983.76860120759</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15668.960999999999</v>
      </c>
      <c r="C14" s="449"/>
      <c r="D14" s="449">
        <f>'SEAP template'!E25</f>
        <v>34283.873993089102</v>
      </c>
      <c r="E14" s="449"/>
      <c r="F14" s="449"/>
      <c r="G14" s="449"/>
      <c r="H14" s="449"/>
      <c r="I14" s="449"/>
      <c r="J14" s="449"/>
      <c r="K14" s="449"/>
      <c r="L14" s="449"/>
      <c r="M14" s="449"/>
      <c r="N14" s="449"/>
      <c r="O14" s="449"/>
      <c r="P14" s="450"/>
      <c r="Q14" s="441">
        <f t="shared" si="0"/>
        <v>49952.834993089098</v>
      </c>
    </row>
    <row r="15" spans="1:17" s="451" customFormat="1">
      <c r="A15" s="969" t="s">
        <v>550</v>
      </c>
      <c r="B15" s="909">
        <f ca="1">SUM(B4:B14)</f>
        <v>734340.05783503794</v>
      </c>
      <c r="C15" s="909">
        <f t="shared" ref="C15:Q15" ca="1" si="1">SUM(C4:C14)</f>
        <v>60.428571428571438</v>
      </c>
      <c r="D15" s="909">
        <f t="shared" ca="1" si="1"/>
        <v>931939.68700915785</v>
      </c>
      <c r="E15" s="909">
        <f t="shared" si="1"/>
        <v>30732.442903651543</v>
      </c>
      <c r="F15" s="909">
        <f t="shared" ca="1" si="1"/>
        <v>470139.46273540409</v>
      </c>
      <c r="G15" s="909">
        <f t="shared" si="1"/>
        <v>460192.7736202107</v>
      </c>
      <c r="H15" s="909">
        <f t="shared" si="1"/>
        <v>89975.808565621264</v>
      </c>
      <c r="I15" s="909">
        <f t="shared" si="1"/>
        <v>0</v>
      </c>
      <c r="J15" s="909">
        <f t="shared" si="1"/>
        <v>8217.2379585383242</v>
      </c>
      <c r="K15" s="909">
        <f t="shared" si="1"/>
        <v>0</v>
      </c>
      <c r="L15" s="909">
        <f t="shared" ca="1" si="1"/>
        <v>0</v>
      </c>
      <c r="M15" s="909">
        <f t="shared" si="1"/>
        <v>29415.569401742625</v>
      </c>
      <c r="N15" s="909">
        <f t="shared" ca="1" si="1"/>
        <v>75533.10746348789</v>
      </c>
      <c r="O15" s="909">
        <f t="shared" si="1"/>
        <v>697.24666666666678</v>
      </c>
      <c r="P15" s="909">
        <f t="shared" si="1"/>
        <v>1353.7333333333333</v>
      </c>
      <c r="Q15" s="909">
        <f t="shared" ca="1" si="1"/>
        <v>2832597.5560642807</v>
      </c>
    </row>
    <row r="17" spans="1:17">
      <c r="A17" s="452" t="s">
        <v>551</v>
      </c>
      <c r="B17" s="715">
        <f ca="1">huishoudens!B10</f>
        <v>0.21705955588031384</v>
      </c>
      <c r="C17" s="715">
        <f ca="1">huishoudens!C10</f>
        <v>0.23764705882352946</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32727.576571183959</v>
      </c>
      <c r="C22" s="442">
        <f t="shared" ref="C22:C32" ca="1" si="3">C4*$C$17</f>
        <v>0</v>
      </c>
      <c r="D22" s="442">
        <f t="shared" ref="D22:D32" si="4">D4*$D$17</f>
        <v>74297.650393560732</v>
      </c>
      <c r="E22" s="442">
        <f t="shared" ref="E22:E32" si="5">E4*$E$17</f>
        <v>2347.9904081727509</v>
      </c>
      <c r="F22" s="442">
        <f t="shared" ref="F22:F32" si="6">F4*$F$17</f>
        <v>87124.066749011399</v>
      </c>
      <c r="G22" s="442">
        <f t="shared" ref="G22:G32" si="7">G4*$G$17</f>
        <v>0</v>
      </c>
      <c r="H22" s="442">
        <f t="shared" ref="H22:H32" si="8">H4*$H$17</f>
        <v>0</v>
      </c>
      <c r="I22" s="442">
        <f t="shared" ref="I22:I32" si="9">I4*$I$17</f>
        <v>0</v>
      </c>
      <c r="J22" s="442">
        <f t="shared" ref="J22:J32" si="10">J4*$J$17</f>
        <v>2693.7543095681585</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199191.038431497</v>
      </c>
    </row>
    <row r="23" spans="1:17">
      <c r="A23" s="441" t="s">
        <v>149</v>
      </c>
      <c r="B23" s="442">
        <f t="shared" ca="1" si="2"/>
        <v>97518.505775003054</v>
      </c>
      <c r="C23" s="442">
        <f t="shared" ca="1" si="3"/>
        <v>14.360672268907567</v>
      </c>
      <c r="D23" s="442">
        <f t="shared" ca="1" si="4"/>
        <v>86142.490455464722</v>
      </c>
      <c r="E23" s="442">
        <f t="shared" si="5"/>
        <v>1283.6540441165278</v>
      </c>
      <c r="F23" s="442">
        <f t="shared" ca="1" si="6"/>
        <v>22108.411013206267</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207067.4219600595</v>
      </c>
    </row>
    <row r="24" spans="1:17">
      <c r="A24" s="441" t="s">
        <v>187</v>
      </c>
      <c r="B24" s="442">
        <f t="shared" ca="1" si="2"/>
        <v>1186.5742952224296</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1186.5742952224296</v>
      </c>
    </row>
    <row r="25" spans="1:17">
      <c r="A25" s="441" t="s">
        <v>105</v>
      </c>
      <c r="B25" s="442">
        <f t="shared" ca="1" si="2"/>
        <v>414.08729311518999</v>
      </c>
      <c r="C25" s="442">
        <f t="shared" ca="1" si="3"/>
        <v>0</v>
      </c>
      <c r="D25" s="442">
        <f t="shared" si="4"/>
        <v>256.32815786575583</v>
      </c>
      <c r="E25" s="442">
        <f t="shared" si="5"/>
        <v>9.2861420102688648</v>
      </c>
      <c r="F25" s="442">
        <f t="shared" si="6"/>
        <v>1652.1984102890158</v>
      </c>
      <c r="G25" s="442">
        <f t="shared" si="7"/>
        <v>0</v>
      </c>
      <c r="H25" s="442">
        <f t="shared" si="8"/>
        <v>0</v>
      </c>
      <c r="I25" s="442">
        <f t="shared" si="9"/>
        <v>0</v>
      </c>
      <c r="J25" s="442">
        <f t="shared" si="10"/>
        <v>65.068434309965369</v>
      </c>
      <c r="K25" s="442">
        <f t="shared" si="11"/>
        <v>0</v>
      </c>
      <c r="L25" s="442">
        <f t="shared" si="12"/>
        <v>0</v>
      </c>
      <c r="M25" s="442">
        <f t="shared" si="13"/>
        <v>0</v>
      </c>
      <c r="N25" s="442">
        <f t="shared" si="14"/>
        <v>0</v>
      </c>
      <c r="O25" s="442">
        <f t="shared" si="15"/>
        <v>0</v>
      </c>
      <c r="P25" s="443">
        <f t="shared" si="16"/>
        <v>0</v>
      </c>
      <c r="Q25" s="441">
        <f t="shared" ca="1" si="17"/>
        <v>2396.9684375901961</v>
      </c>
    </row>
    <row r="26" spans="1:17">
      <c r="A26" s="441" t="s">
        <v>612</v>
      </c>
      <c r="B26" s="442">
        <f t="shared" ca="1" si="2"/>
        <v>24100.375943322866</v>
      </c>
      <c r="C26" s="442">
        <f t="shared" ca="1" si="3"/>
        <v>0</v>
      </c>
      <c r="D26" s="442">
        <f t="shared" si="4"/>
        <v>20601.043072785695</v>
      </c>
      <c r="E26" s="442">
        <f t="shared" si="5"/>
        <v>2983.7699736298655</v>
      </c>
      <c r="F26" s="442">
        <f t="shared" si="6"/>
        <v>14642.560377846195</v>
      </c>
      <c r="G26" s="442">
        <f t="shared" si="7"/>
        <v>0</v>
      </c>
      <c r="H26" s="442">
        <f t="shared" si="8"/>
        <v>0</v>
      </c>
      <c r="I26" s="442">
        <f t="shared" si="9"/>
        <v>0</v>
      </c>
      <c r="J26" s="442">
        <f t="shared" si="10"/>
        <v>150.07949344444262</v>
      </c>
      <c r="K26" s="442">
        <f t="shared" si="11"/>
        <v>0</v>
      </c>
      <c r="L26" s="442">
        <f t="shared" si="12"/>
        <v>0</v>
      </c>
      <c r="M26" s="442">
        <f t="shared" si="13"/>
        <v>0</v>
      </c>
      <c r="N26" s="442">
        <f t="shared" si="14"/>
        <v>0</v>
      </c>
      <c r="O26" s="442">
        <f t="shared" si="15"/>
        <v>0</v>
      </c>
      <c r="P26" s="443">
        <f t="shared" si="16"/>
        <v>0</v>
      </c>
      <c r="Q26" s="441">
        <f t="shared" ca="1" si="17"/>
        <v>62477.828861029062</v>
      </c>
    </row>
    <row r="27" spans="1:17" s="447" customFormat="1">
      <c r="A27" s="445" t="s">
        <v>556</v>
      </c>
      <c r="B27" s="709">
        <f t="shared" ca="1" si="2"/>
        <v>20.382238221883789</v>
      </c>
      <c r="C27" s="446">
        <f t="shared" ca="1" si="3"/>
        <v>0</v>
      </c>
      <c r="D27" s="446">
        <f t="shared" si="4"/>
        <v>28.962149569008893</v>
      </c>
      <c r="E27" s="446">
        <f t="shared" si="5"/>
        <v>351.56397119948707</v>
      </c>
      <c r="F27" s="446">
        <f t="shared" si="6"/>
        <v>0</v>
      </c>
      <c r="G27" s="446">
        <f t="shared" si="7"/>
        <v>116595.23704824397</v>
      </c>
      <c r="H27" s="446">
        <f t="shared" si="8"/>
        <v>22403.976332839695</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139400.12174007404</v>
      </c>
    </row>
    <row r="28" spans="1:17">
      <c r="A28" s="441" t="s">
        <v>546</v>
      </c>
      <c r="B28" s="442">
        <f t="shared" ca="1" si="2"/>
        <v>26.926986961960885</v>
      </c>
      <c r="C28" s="442">
        <f t="shared" ca="1" si="3"/>
        <v>0</v>
      </c>
      <c r="D28" s="442">
        <f t="shared" si="4"/>
        <v>0</v>
      </c>
      <c r="E28" s="442">
        <f t="shared" si="5"/>
        <v>0</v>
      </c>
      <c r="F28" s="442">
        <f t="shared" si="6"/>
        <v>0</v>
      </c>
      <c r="G28" s="442">
        <f t="shared" si="7"/>
        <v>6276.2335083522867</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6303.1604953142478</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3401.0977157659581</v>
      </c>
      <c r="C32" s="442">
        <f t="shared" ca="1" si="3"/>
        <v>0</v>
      </c>
      <c r="D32" s="442">
        <f t="shared" si="4"/>
        <v>6925.3425466039989</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10326.440262369957</v>
      </c>
    </row>
    <row r="33" spans="1:17" s="451" customFormat="1">
      <c r="A33" s="969" t="s">
        <v>550</v>
      </c>
      <c r="B33" s="909">
        <f ca="1">SUM(B22:B32)</f>
        <v>159395.52681879731</v>
      </c>
      <c r="C33" s="909">
        <f t="shared" ref="C33:Q33" ca="1" si="18">SUM(C22:C32)</f>
        <v>14.360672268907567</v>
      </c>
      <c r="D33" s="909">
        <f t="shared" ca="1" si="18"/>
        <v>188251.8167758499</v>
      </c>
      <c r="E33" s="909">
        <f t="shared" si="18"/>
        <v>6976.2645391289007</v>
      </c>
      <c r="F33" s="909">
        <f t="shared" ca="1" si="18"/>
        <v>125527.23655035287</v>
      </c>
      <c r="G33" s="909">
        <f t="shared" si="18"/>
        <v>122871.47055659626</v>
      </c>
      <c r="H33" s="909">
        <f t="shared" si="18"/>
        <v>22403.976332839695</v>
      </c>
      <c r="I33" s="909">
        <f t="shared" si="18"/>
        <v>0</v>
      </c>
      <c r="J33" s="909">
        <f t="shared" si="18"/>
        <v>2908.9022373225666</v>
      </c>
      <c r="K33" s="909">
        <f t="shared" si="18"/>
        <v>0</v>
      </c>
      <c r="L33" s="909">
        <f t="shared" ca="1" si="18"/>
        <v>0</v>
      </c>
      <c r="M33" s="909">
        <f t="shared" si="18"/>
        <v>0</v>
      </c>
      <c r="N33" s="909">
        <f t="shared" ca="1" si="18"/>
        <v>0</v>
      </c>
      <c r="O33" s="909">
        <f t="shared" si="18"/>
        <v>0</v>
      </c>
      <c r="P33" s="909">
        <f t="shared" si="18"/>
        <v>0</v>
      </c>
      <c r="Q33" s="909">
        <f t="shared" ca="1" si="18"/>
        <v>628349.55448315642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81.360538116591925</v>
      </c>
      <c r="C5" s="986"/>
      <c r="D5" s="986"/>
      <c r="E5" s="986"/>
      <c r="F5" s="986"/>
      <c r="G5" s="986"/>
      <c r="H5" s="986"/>
      <c r="I5" s="986"/>
      <c r="J5" s="986"/>
      <c r="K5" s="986"/>
      <c r="L5" s="986"/>
      <c r="M5" s="986"/>
      <c r="N5" s="986"/>
      <c r="O5" s="986"/>
      <c r="P5" s="987">
        <f>'SEAP template'!Q73</f>
        <v>0</v>
      </c>
    </row>
    <row r="6" spans="1:16">
      <c r="A6" s="988" t="s">
        <v>240</v>
      </c>
      <c r="B6" s="986">
        <f>'SEAP template'!B74</f>
        <v>11611.155902310173</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42.300000000000004</v>
      </c>
      <c r="D8" s="986">
        <f>'SEAP template'!D76</f>
        <v>49.764705882352949</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10.052470588235296</v>
      </c>
    </row>
    <row r="9" spans="1:16">
      <c r="A9" s="989" t="s">
        <v>818</v>
      </c>
      <c r="B9" s="986">
        <f>'SEAP template'!B77</f>
        <v>1404</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4011.4285714285716</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13096.516440426765</v>
      </c>
      <c r="C10" s="990">
        <f>SUM(C4:C9)</f>
        <v>42.300000000000004</v>
      </c>
      <c r="D10" s="990">
        <f t="shared" ref="D10:H10" si="0">SUM(D8:D9)</f>
        <v>49.764705882352949</v>
      </c>
      <c r="E10" s="990">
        <f t="shared" si="0"/>
        <v>0</v>
      </c>
      <c r="F10" s="990">
        <f t="shared" si="0"/>
        <v>0</v>
      </c>
      <c r="G10" s="990">
        <f t="shared" si="0"/>
        <v>0</v>
      </c>
      <c r="H10" s="990">
        <f t="shared" si="0"/>
        <v>0</v>
      </c>
      <c r="I10" s="990">
        <f>SUM(I8:I9)</f>
        <v>0</v>
      </c>
      <c r="J10" s="990">
        <f>SUM(J8:J9)</f>
        <v>4011.4285714285716</v>
      </c>
      <c r="K10" s="990">
        <f t="shared" ref="K10:L10" si="1">SUM(K8:K9)</f>
        <v>0</v>
      </c>
      <c r="L10" s="990">
        <f t="shared" si="1"/>
        <v>0</v>
      </c>
      <c r="M10" s="990">
        <f>SUM(M8:M9)</f>
        <v>0</v>
      </c>
      <c r="N10" s="990">
        <f>SUM(N8:N9)</f>
        <v>0</v>
      </c>
      <c r="O10" s="990">
        <f>SUM(O8:O9)</f>
        <v>0</v>
      </c>
      <c r="P10" s="990">
        <f>SUM(P8:P9)</f>
        <v>10.052470588235296</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0.21705955588031384</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60.428571428571438</v>
      </c>
      <c r="D17" s="987">
        <f>'SEAP template'!D87</f>
        <v>71.092436974789933</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14.360672268907567</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60.428571428571438</v>
      </c>
      <c r="D20" s="990">
        <f t="shared" ref="D20:H20" si="2">SUM(D17:D19)</f>
        <v>71.092436974789933</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14.360672268907567</v>
      </c>
    </row>
    <row r="22" spans="1:16">
      <c r="A22" s="452" t="s">
        <v>826</v>
      </c>
      <c r="B22" s="715" t="s">
        <v>820</v>
      </c>
      <c r="C22" s="715">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0.21705955588031384</v>
      </c>
      <c r="C17" s="489">
        <f ca="1">'EF ele_warmte'!B22</f>
        <v>0.23764705882352946</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2</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3.1266666666666669</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2022-07-26T11:33:13Z</dcterms:modified>
</cp:coreProperties>
</file>