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C0FF8231-4F7B-4307-8D60-352B8078050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<sst xmlns="http://schemas.openxmlformats.org/spreadsheetml/2006/main" count="2436" uniqueCount="907">
  <si>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</si>
  <si>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</si>
  <si>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</si>
  <si>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</si>
  <si>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</si>
  <si>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</si>
  <si>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</si>
  <si>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</si>
  <si>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</si>
  <si>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</si>
  <si>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</si>
  <si>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</si>
  <si>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</si>
  <si>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</si>
  <si>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</si>
  <si>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</si>
  <si>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</si>
  <si>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</si>
  <si>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</si>
  <si>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</si>
  <si>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</si>
  <si>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</si>
  <si>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</si>
  <si>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</si>
  <si>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</si>
  <si>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</si>
  <si>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</si>
  <si>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</si>
  <si>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</si>
  <si>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</si>
  <si>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</si>
  <si>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</si>
  <si>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</si>
  <si>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</si>
  <si>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</si>
  <si>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</si>
  <si>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</si>
  <si>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</si>
  <si>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</si>
  <si>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</si>
  <si>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</si>
  <si>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</si>
  <si>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</si>
  <si>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</si>
  <si>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</si>
  <si>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</si>
  <si>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</si>
  <si>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</si>
  <si>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</si>
  <si>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</si>
  <si>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</si>
  <si>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</si>
  <si>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</si>
  <si>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</si>
  <si>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</si>
  <si>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</si>
  <si>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</si>
  <si>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</si>
  <si>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</si>
  <si>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</si>
  <si>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</si>
  <si>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</si>
  <si>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</si>
  <si>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</si>
  <si>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</si>
  <si>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</si>
  <si>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</si>
  <si>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</si>
  <si>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</si>
  <si>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</si>
  <si>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</si>
  <si>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</si>
  <si>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</si>
  <si>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</si>
  <si>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</si>
  <si>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</si>
  <si>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</si>
  <si>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</si>
  <si>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</si>
  <si>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</si>
  <si>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</si>
  <si>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</si>
  <si>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</si>
  <si>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</si>
  <si>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</si>
  <si>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</si>
  <si>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</si>
  <si>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</si>
  <si>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</si>
  <si>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</si>
  <si>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</si>
  <si>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</si>
  <si>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</si>
  <si>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</si>
  <si>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</si>
  <si>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</si>
  <si>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</si>
  <si>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</si>
  <si>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</si>
  <si>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</si>
  <si>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</si>
  <si>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</si>
  <si>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</si>
  <si>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</si>
  <si>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</si>
  <si>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</si>
  <si>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</si>
  <si>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</si>
  <si>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</si>
  <si>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</si>
  <si>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</si>
  <si>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</si>
  <si>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</si>
  <si>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</si>
  <si>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</si>
  <si>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</si>
  <si>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</si>
  <si>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</si>
  <si>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</si>
  <si>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</si>
  <si>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</si>
  <si>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</si>
  <si>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</si>
  <si>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</si>
  <si>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</si>
  <si>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</si>
  <si>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</si>
  <si>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</si>
  <si>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</si>
  <si>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</si>
  <si>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</si>
  <si>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</si>
  <si>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</si>
  <si>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</si>
  <si>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</si>
  <si>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</si>
  <si>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</si>
  <si>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</si>
  <si>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</si>
  <si>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</si>
  <si>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</si>
  <si>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</si>
  <si>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</si>
  <si>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</si>
  <si>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</si>
  <si>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</si>
  <si>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</si>
  <si>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</si>
  <si>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</si>
  <si>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</si>
  <si>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</si>
  <si>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</si>
  <si>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</si>
  <si>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</si>
  <si>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</si>
  <si>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</si>
  <si>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</si>
  <si>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</si>
  <si>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</si>
  <si>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</si>
  <si>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</si>
  <si>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</si>
  <si>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</si>
  <si>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</si>
  <si>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</si>
  <si>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</si>
  <si>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</si>
  <si>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</si>
  <si>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</si>
  <si>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</si>
  <si>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</si>
  <si>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</si>
  <si>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</si>
  <si>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</si>
  <si>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</si>
  <si>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</si>
  <si>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</si>
  <si>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</si>
  <si>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</si>
  <si>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</si>
  <si>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</si>
  <si>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</si>
  <si>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</si>
  <si>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</si>
  <si>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</si>
  <si>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</si>
  <si>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</si>
  <si>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</si>
  <si>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</si>
  <si>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</si>
  <si>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</si>
  <si>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</si>
  <si>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</si>
  <si>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</si>
  <si>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</si>
  <si>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</si>
  <si>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</si>
  <si>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</si>
  <si>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</si>
  <si>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</si>
  <si>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</si>
  <si>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</si>
  <si>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</si>
  <si>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</si>
  <si>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</si>
  <si>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</si>
  <si>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</si>
  <si>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</si>
  <si>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</si>
  <si>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</si>
  <si>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</si>
  <si>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</si>
  <si>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</si>
  <si>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</si>
  <si>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</si>
  <si>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</si>
  <si>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</si>
  <si>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</si>
  <si>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</si>
  <si>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</si>
  <si>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</si>
  <si>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</si>
  <si>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</si>
  <si>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</si>
  <si>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</si>
  <si>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</si>
  <si>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</si>
  <si>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</si>
  <si>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</si>
  <si>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</si>
  <si>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</si>
  <si>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</si>
  <si>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</si>
  <si>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</si>
  <si>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</si>
  <si>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</si>
  <si>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</si>
  <si>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</si>
  <si>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</si>
  <si>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</si>
  <si>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</si>
  <si>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</si>
  <si>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</si>
  <si>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</si>
  <si>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</si>
  <si>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</si>
  <si>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</si>
  <si>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</si>
  <si>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</si>
  <si>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</si>
  <si>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</si>
  <si>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</si>
  <si>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</si>
  <si>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</si>
  <si>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</si>
  <si>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</si>
  <si>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</si>
  <si>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</si>
  <si>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</si>
  <si>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</si>
  <si>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</si>
  <si>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</si>
  <si>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</si>
  <si>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</si>
  <si>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</si>
  <si>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</si>
  <si>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</si>
  <si>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</si>
  <si>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</si>
  <si>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</si>
  <si>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</si>
  <si>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</si>
  <si>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</si>
  <si>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</si>
  <si>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</si>
  <si>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</si>
  <si>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</si>
  <si>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</si>
  <si>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</si>
  <si>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</si>
  <si>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</si>
  <si>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</si>
  <si>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</si>
  <si>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</si>
  <si>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</si>
  <si>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</si>
  <si>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</si>
  <si>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</si>
  <si>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</si>
  <si>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</si>
  <si>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</si>
  <si>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</si>
  <si>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</si>
  <si>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</si>
  <si>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</si>
  <si>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</si>
  <si>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</si>
  <si>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</si>
  <si>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</si>
  <si>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</si>
  <si>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</si>
  <si>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</si>
  <si>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</si>
  <si>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</si>
  <si>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</si>
  <si>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</si>
  <si>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</si>
  <si>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</si>
  <si>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</si>
  <si>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</si>
  <si>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</si>
  <si>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</si>
  <si>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</si>
  <si>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</si>
  <si>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</si>
  <si>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</si>
  <si>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</si>
  <si>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</si>
  <si>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</si>
  <si>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</si>
  <si>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</si>
  <si>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</si>
  <si>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</si>
  <si>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</si>
  <si>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</si>
  <si>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</si>
  <si>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</si>
  <si>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</si>
  <si>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</si>
  <si>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</si>
  <si>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</si>
  <si>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</si>
  <si>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</si>
  <si>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</si>
  <si>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</si>
  <si>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</si>
  <si>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</si>
  <si>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</si>
  <si>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</si>
  <si>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</si>
  <si>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</si>
  <si>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</si>
  <si>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</si>
  <si>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</si>
  <si>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</si>
  <si>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</si>
  <si>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</si>
  <si>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</si>
  <si>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</si>
  <si>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</si>
  <si>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</si>
  <si>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</si>
  <si>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</si>
  <si>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</si>
  <si>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</si>
  <si>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</si>
  <si>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</si>
  <si>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</si>
  <si>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</si>
  <si>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</si>
  <si>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</si>
  <si>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</si>
  <si>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</si>
  <si>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</si>
  <si>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</si>
  <si>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</si>
  <si>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</si>
  <si>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</si>
  <si>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</si>
  <si>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</si>
  <si>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</si>
  <si>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</si>
  <si>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</si>
  <si>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</si>
  <si>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</si>
  <si>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</si>
  <si>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</si>
  <si>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</si>
  <si>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</si>
  <si>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</si>
  <si>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</si>
  <si>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</si>
  <si>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</si>
  <si>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</si>
  <si>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</si>
  <si>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</si>
  <si>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</si>
  <si>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</si>
  <si>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</si>
  <si>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</si>
  <si>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</si>
  <si>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</si>
  <si>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</si>
  <si>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</si>
  <si>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</si>
  <si>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</si>
  <si>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</si>
  <si>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</si>
  <si>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</si>
  <si>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</si>
  <si>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</si>
  <si>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</si>
  <si>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</si>
  <si>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</si>
  <si>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</si>
  <si>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</si>
  <si>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</si>
  <si>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</si>
  <si>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</si>
  <si>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</si>
  <si>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</si>
  <si>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</si>
  <si>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</si>
  <si>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</si>
  <si>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</si>
  <si>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</si>
  <si>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</si>
  <si>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</si>
  <si>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</si>
  <si>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</si>
  <si>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</si>
  <si>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</si>
  <si>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</si>
  <si>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</si>
  <si>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</si>
  <si>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</si>
  <si>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</si>
  <si>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</si>
  <si>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</si>
  <si>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</si>
  <si>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</si>
  <si>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</si>
  <si>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</si>
  <si>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</si>
  <si>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</si>
  <si>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</si>
  <si>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</si>
  <si>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</si>
  <si>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</si>
  <si>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</si>
  <si>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</si>
  <si>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</si>
  <si>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</si>
  <si>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</si>
  <si>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</si>
  <si>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</si>
  <si>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</si>
  <si>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</si>
  <si>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</si>
  <si>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</si>
  <si>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</si>
  <si>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</si>
  <si>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</si>
  <si>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</si>
  <si>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</si>
  <si>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</si>
  <si>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</si>
  <si>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</si>
  <si>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</si>
  <si>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</si>
  <si>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</si>
  <si>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</si>
  <si>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</si>
  <si>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</si>
  <si>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</si>
  <si>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</si>
  <si>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</si>
  <si>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</si>
  <si>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</si>
  <si>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</si>
  <si>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</si>
  <si>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</si>
  <si>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</si>
  <si>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</si>
  <si>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</si>
  <si>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</si>
  <si>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</si>
  <si>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</si>
  <si>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</si>
  <si>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</si>
  <si>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</si>
  <si>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</si>
  <si>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</si>
  <si>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</si>
  <si>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</si>
  <si>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</si>
  <si>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</si>
  <si>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</si>
  <si>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</si>
  <si>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</si>
  <si>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</si>
  <si>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</si>
  <si>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</si>
  <si>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</si>
  <si>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</si>
  <si>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</si>
  <si>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</si>
  <si>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</si>
  <si>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</si>
  <si>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</si>
  <si>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</si>
  <si>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</si>
  <si>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</si>
  <si>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</si>
  <si>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</si>
  <si>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</si>
  <si>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</si>
  <si>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</si>
  <si>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</si>
  <si>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</si>
  <si>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</si>
  <si>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</si>
  <si>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</si>
  <si>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</si>
  <si>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</si>
  <si>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</si>
  <si>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</si>
  <si>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</si>
  <si>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</si>
  <si>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</si>
  <si>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</si>
  <si>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</si>
  <si>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</si>
  <si>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</si>
  <si>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</si>
  <si>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</si>
  <si>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</si>
  <si>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</si>
  <si>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</si>
  <si>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</si>
  <si>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</si>
  <si>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</si>
  <si>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</si>
  <si>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</si>
  <si>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</si>
  <si>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</si>
  <si>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</si>
  <si>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</si>
  <si>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</si>
  <si>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</si>
  <si>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</si>
  <si>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</si>
  <si>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</si>
  <si>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</si>
  <si>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</si>
  <si>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</si>
  <si>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</si>
  <si>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</si>
  <si>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</si>
  <si>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</si>
  <si>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</si>
  <si>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</si>
  <si>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</si>
  <si>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</si>
  <si>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</si>
  <si>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</si>
  <si>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</si>
  <si>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</si>
  <si>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</si>
  <si>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</si>
  <si>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</si>
  <si>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</si>
  <si>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</si>
  <si>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</si>
  <si>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</si>
  <si>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</si>
  <si>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</si>
  <si>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</si>
  <si>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</si>
  <si>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</si>
  <si>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</si>
  <si>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</si>
  <si>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</si>
  <si>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</si>
  <si>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</si>
  <si>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</si>
  <si>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</si>
  <si>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</si>
  <si>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</si>
  <si>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</si>
  <si>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</si>
  <si>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</si>
  <si>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</si>
  <si>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</si>
  <si>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</si>
  <si>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</si>
  <si>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</si>
  <si>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</si>
  <si>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</si>
  <si>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</si>
  <si>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</si>
  <si>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</si>
  <si>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</si>
  <si>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</si>
  <si>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</si>
  <si>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</si>
  <si>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</si>
  <si>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</si>
  <si>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</si>
  <si>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</si>
  <si>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</si>
  <si>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</si>
  <si>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</si>
  <si>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</si>
  <si>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</si>
  <si>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</si>
  <si>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</si>
  <si>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</si>
  <si>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</si>
  <si>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</si>
  <si>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</si>
  <si>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</si>
  <si>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</si>
  <si>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</si>
  <si>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</si>
  <si>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</si>
  <si>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</si>
  <si>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</si>
  <si>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</si>
  <si>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</si>
  <si>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</si>
  <si>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</si>
  <si>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</si>
  <si>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</si>
  <si>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</si>
  <si>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</si>
  <si>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</si>
  <si>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</si>
  <si>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</si>
  <si>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</si>
  <si>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</si>
  <si>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</si>
  <si>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</si>
  <si>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</si>
  <si>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</si>
  <si>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</si>
  <si>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</si>
  <si>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</si>
  <si>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</si>
  <si>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</si>
  <si>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</si>
  <si>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</si>
  <si>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</si>
  <si>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</si>
  <si>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</si>
  <si>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</si>
  <si>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</si>
  <si>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</si>
  <si>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</si>
  <si>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</si>
  <si>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</si>
  <si>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</si>
  <si>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</si>
  <si>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</si>
  <si>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</si>
  <si>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</si>
  <si>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</si>
  <si>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</si>
  <si>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</si>
  <si>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</si>
  <si>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</si>
  <si>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</si>
  <si>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</si>
  <si>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</si>
  <si>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</si>
  <si>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</si>
  <si>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</si>
  <si>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</si>
  <si>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</si>
  <si>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</si>
  <si>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</si>
  <si>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</si>
  <si>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</si>
  <si>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</si>
  <si>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</si>
  <si>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</si>
  <si>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</si>
  <si>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</si>
  <si>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</si>
  <si>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</si>
  <si>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</si>
  <si>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</si>
  <si>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</si>
  <si>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</si>
  <si>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</si>
  <si>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</si>
  <si>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</si>
  <si>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</si>
  <si>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</si>
  <si>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</si>
  <si>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</si>
  <si>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</si>
  <si>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</si>
  <si>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</si>
  <si>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</si>
  <si>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</si>
  <si>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</si>
  <si>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</si>
  <si>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</si>
  <si>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</si>
  <si>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</si>
  <si>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</si>
  <si>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</si>
  <si>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</si>
  <si>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</si>
  <si>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</si>
  <si>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</si>
  <si>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</si>
  <si>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</si>
  <si>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</si>
  <si>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</si>
  <si>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</si>
  <si>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</si>
  <si>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</si>
  <si>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</si>
  <si>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</si>
  <si>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</si>
  <si>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</si>
  <si>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</si>
  <si>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</si>
  <si>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</si>
  <si>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</si>
  <si>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</si>
  <si>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</si>
  <si>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</si>
  <si>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</si>
  <si>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</si>
  <si>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</si>
  <si>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</si>
  <si>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</si>
  <si>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</si>
  <si>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</si>
  <si>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</si>
  <si>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</si>
  <si>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</si>
  <si>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</si>
  <si>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</si>
  <si>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</si>
  <si>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</si>
  <si>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</si>
  <si>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</si>
  <si>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</si>
  <si>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</si>
  <si>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</si>
  <si>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</si>
  <si>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</si>
  <si>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</si>
  <si>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</si>
  <si>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</si>
  <si>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</si>
  <si>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</si>
  <si>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</si>
  <si>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</si>
  <si>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</si>
  <si>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</si>
  <si>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</si>
  <si>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</si>
  <si>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</si>
  <si>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</si>
  <si>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</si>
  <si>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</si>
  <si>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</si>
  <si>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</si>
  <si>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</si>
  <si>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</si>
  <si>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</si>
  <si>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</si>
  <si>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</si>
  <si>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</si>
  <si>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</si>
  <si>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</si>
  <si>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</si>
  <si>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</si>
  <si>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</si>
  <si>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</si>
  <si>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</si>
  <si>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</si>
  <si>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</si>
  <si>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</si>
  <si>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</si>
  <si>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</si>
  <si>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</si>
  <si>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</si>
  <si>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</si>
  <si>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</si>
  <si>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</si>
  <si>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</si>
  <si>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</si>
  <si>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</si>
  <si>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</si>
  <si>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</si>
  <si>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</si>
  <si>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</si>
  <si>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</si>
  <si>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</si>
  <si>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</si>
  <si>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</si>
  <si>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</si>
  <si>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</si>
  <si>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</si>
  <si>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</si>
  <si>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</si>
  <si>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</si>
  <si>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</si>
  <si>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</si>
  <si>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</si>
  <si>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</si>
  <si>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</si>
  <si>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</si>
  <si>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</si>
  <si>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</si>
  <si>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</si>
  <si>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</si>
  <si>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</si>
  <si>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</si>
  <si>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</si>
  <si>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</si>
  <si>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</si>
  <si>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</si>
  <si>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</si>
  <si>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</si>
  <si>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</si>
  <si>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</si>
  <si>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</si>
  <si>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</si>
  <si>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</si>
  <si>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</si>
  <si>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</si>
  <si>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</si>
  <si>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</si>
  <si>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</si>
  <si>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</si>
  <si>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</si>
  <si>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</si>
  <si>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</si>
  <si>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</si>
  <si>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</si>
  <si>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</si>
  <si>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</si>
  <si>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</si>
  <si>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</si>
  <si>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</si>
  <si>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</si>
  <si>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</si>
  <si>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</si>
  <si>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</si>
  <si>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</si>
  <si>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</si>
  <si>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</si>
  <si>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</si>
  <si>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</si>
  <si>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</si>
  <si>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</si>
  <si>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</si>
  <si>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</si>
  <si>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</si>
  <si>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</si>
  <si>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</si>
  <si>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</si>
  <si>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</si>
  <si>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</si>
  <si>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</si>
  <si>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</si>
  <si>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</si>
  <si>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</si>
  <si>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</si>
  <si>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</si>
  <si>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</si>
  <si>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</si>
  <si>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</si>
  <si>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</si>
  <si>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</si>
  <si>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</si>
  <si>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</si>
  <si>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</si>
  <si>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</si>
  <si>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</si>
  <si>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</si>
  <si>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</si>
  <si>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</si>
  <si>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</si>
  <si>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</si>
  <si>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</si>
  <si>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</si>
  <si>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</si>
  <si>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</si>
  <si>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</si>
  <si>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</si>
  <si>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</si>
  <si>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</si>
  <si>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</si>
  <si>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</si>
  <si>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</si>
  <si>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</si>
  <si>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</si>
  <si>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</si>
  <si>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</si>
  <si>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</si>
  <si>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</si>
  <si>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24055</t>
  </si>
  <si>
    <t>KORTENBERG</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</si>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</sst>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FDAF3790-BC2D-445F-B54A-13DB749D7911}"/>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171881.70484102456</c:v>
                </c:pt>
                <c:pt idx="1">
                  <c:v>69468.224527400016</c:v>
                </c:pt>
                <c:pt idx="2">
                  <c:v>1358.2380000000001</c:v>
                </c:pt>
                <c:pt idx="3">
                  <c:v>1479.0141323829048</c:v>
                </c:pt>
                <c:pt idx="4">
                  <c:v>5080.1706718126488</c:v>
                </c:pt>
                <c:pt idx="5">
                  <c:v>225864.81341878144</c:v>
                </c:pt>
                <c:pt idx="6">
                  <c:v>4255.0109096954766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171881.70484102456</c:v>
                </c:pt>
                <c:pt idx="1">
                  <c:v>69468.224527400016</c:v>
                </c:pt>
                <c:pt idx="2">
                  <c:v>1358.2380000000001</c:v>
                </c:pt>
                <c:pt idx="3">
                  <c:v>1479.0141323829048</c:v>
                </c:pt>
                <c:pt idx="4">
                  <c:v>5080.1706718126488</c:v>
                </c:pt>
                <c:pt idx="5">
                  <c:v>225864.81341878144</c:v>
                </c:pt>
                <c:pt idx="6">
                  <c:v>4255.0109096954766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35973.242087219813</c:v>
                </c:pt>
                <c:pt idx="2">
                  <c:v>14383.139928310718</c:v>
                </c:pt>
                <c:pt idx="3">
                  <c:v>282.98159959795834</c:v>
                </c:pt>
                <c:pt idx="4">
                  <c:v>363.41576760426227</c:v>
                </c:pt>
                <c:pt idx="5">
                  <c:v>1072.5224261261667</c:v>
                </c:pt>
                <c:pt idx="6">
                  <c:v>56591.219100137081</c:v>
                </c:pt>
                <c:pt idx="7">
                  <c:v>1073.3135156846665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35973.242087219813</c:v>
                </c:pt>
                <c:pt idx="2">
                  <c:v>14383.139928310718</c:v>
                </c:pt>
                <c:pt idx="3">
                  <c:v>282.98159959795834</c:v>
                </c:pt>
                <c:pt idx="4">
                  <c:v>363.41576760426227</c:v>
                </c:pt>
                <c:pt idx="5">
                  <c:v>1072.5224261261667</c:v>
                </c:pt>
                <c:pt idx="6">
                  <c:v>56591.219100137081</c:v>
                </c:pt>
                <c:pt idx="7">
                  <c:v>1073.3135156846665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24055</v>
      </c>
      <c r="B6" s="381"/>
      <c r="C6" s="382"/>
    </row>
    <row r="7" spans="1:7" s="379" customFormat="1" ht="15.75" customHeight="1">
      <c r="A7" s="383" t="str">
        <f>txtMunicipality</f>
        <v>KORTENBERG</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0.20834463444400639</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0.20834463444400639</v>
      </c>
      <c r="C29" s="490">
        <f ca="1">'EF ele_warmte'!B22</f>
        <v>0.23764705882352946</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7979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1481</v>
      </c>
      <c r="C14" s="322"/>
      <c r="D14" s="322"/>
      <c r="E14" s="322"/>
      <c r="F14" s="322"/>
    </row>
    <row r="15" spans="1:6">
      <c r="A15" s="1261" t="s">
        <v>177</v>
      </c>
      <c r="B15" s="1262">
        <v>0</v>
      </c>
      <c r="C15" s="322"/>
      <c r="D15" s="322"/>
      <c r="E15" s="322"/>
      <c r="F15" s="322"/>
    </row>
    <row r="16" spans="1:6">
      <c r="A16" s="1261" t="s">
        <v>6</v>
      </c>
      <c r="B16" s="1262">
        <v>0</v>
      </c>
      <c r="C16" s="322"/>
      <c r="D16" s="322"/>
      <c r="E16" s="322"/>
      <c r="F16" s="322"/>
    </row>
    <row r="17" spans="1:6">
      <c r="A17" s="1261" t="s">
        <v>7</v>
      </c>
      <c r="B17" s="1262">
        <v>211</v>
      </c>
      <c r="C17" s="322"/>
      <c r="D17" s="322"/>
      <c r="E17" s="322"/>
      <c r="F17" s="322"/>
    </row>
    <row r="18" spans="1:6">
      <c r="A18" s="1261" t="s">
        <v>8</v>
      </c>
      <c r="B18" s="1262">
        <v>236</v>
      </c>
      <c r="C18" s="322"/>
      <c r="D18" s="322"/>
      <c r="E18" s="322"/>
      <c r="F18" s="322"/>
    </row>
    <row r="19" spans="1:6">
      <c r="A19" s="1261" t="s">
        <v>9</v>
      </c>
      <c r="B19" s="1262">
        <v>233</v>
      </c>
      <c r="C19" s="322"/>
      <c r="D19" s="322"/>
      <c r="E19" s="322"/>
      <c r="F19" s="322"/>
    </row>
    <row r="20" spans="1:6">
      <c r="A20" s="1261" t="s">
        <v>10</v>
      </c>
      <c r="B20" s="1262">
        <v>100</v>
      </c>
      <c r="C20" s="322"/>
      <c r="D20" s="322"/>
      <c r="E20" s="322"/>
      <c r="F20" s="322"/>
    </row>
    <row r="21" spans="1:6">
      <c r="A21" s="1261" t="s">
        <v>11</v>
      </c>
      <c r="B21" s="1262">
        <v>0</v>
      </c>
      <c r="C21" s="322"/>
      <c r="D21" s="322"/>
      <c r="E21" s="322"/>
      <c r="F21" s="322"/>
    </row>
    <row r="22" spans="1:6">
      <c r="A22" s="1261" t="s">
        <v>12</v>
      </c>
      <c r="B22" s="1262">
        <v>4</v>
      </c>
      <c r="C22" s="322"/>
      <c r="D22" s="322"/>
      <c r="E22" s="322"/>
      <c r="F22" s="322"/>
    </row>
    <row r="23" spans="1:6">
      <c r="A23" s="1261" t="s">
        <v>13</v>
      </c>
      <c r="B23" s="1262">
        <v>0</v>
      </c>
      <c r="C23" s="322"/>
      <c r="D23" s="322"/>
      <c r="E23" s="322"/>
      <c r="F23" s="322"/>
    </row>
    <row r="24" spans="1:6">
      <c r="A24" s="1261" t="s">
        <v>14</v>
      </c>
      <c r="B24" s="1262">
        <v>1</v>
      </c>
      <c r="C24" s="322"/>
      <c r="D24" s="322"/>
      <c r="E24" s="322"/>
      <c r="F24" s="322"/>
    </row>
    <row r="25" spans="1:6">
      <c r="A25" s="1261" t="s">
        <v>15</v>
      </c>
      <c r="B25" s="1262">
        <v>0</v>
      </c>
      <c r="C25" s="322"/>
      <c r="D25" s="322"/>
      <c r="E25" s="322"/>
      <c r="F25" s="322"/>
    </row>
    <row r="26" spans="1:6">
      <c r="A26" s="1261" t="s">
        <v>16</v>
      </c>
      <c r="B26" s="1262">
        <v>169</v>
      </c>
      <c r="C26" s="322"/>
      <c r="D26" s="322"/>
      <c r="E26" s="322"/>
      <c r="F26" s="322"/>
    </row>
    <row r="27" spans="1:6">
      <c r="A27" s="1261" t="s">
        <v>17</v>
      </c>
      <c r="B27" s="1262">
        <v>33</v>
      </c>
      <c r="C27" s="322"/>
      <c r="D27" s="322"/>
      <c r="E27" s="322"/>
      <c r="F27" s="322"/>
    </row>
    <row r="28" spans="1:6">
      <c r="A28" s="1261" t="s">
        <v>18</v>
      </c>
      <c r="B28" s="1263">
        <v>0</v>
      </c>
      <c r="C28" s="322"/>
      <c r="D28" s="322"/>
      <c r="E28" s="322"/>
      <c r="F28" s="322"/>
    </row>
    <row r="29" spans="1:6">
      <c r="A29" s="1261" t="s">
        <v>901</v>
      </c>
      <c r="B29" s="1263">
        <v>134</v>
      </c>
      <c r="C29" s="322"/>
      <c r="D29" s="322"/>
      <c r="E29" s="322"/>
      <c r="F29" s="322"/>
    </row>
    <row r="30" spans="1:6">
      <c r="A30" s="1256" t="s">
        <v>902</v>
      </c>
      <c r="B30" s="1264">
        <v>39</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8098.43</v>
      </c>
    </row>
    <row r="39" spans="1:6">
      <c r="A39" s="1261" t="s">
        <v>29</v>
      </c>
      <c r="B39" s="1261" t="s">
        <v>30</v>
      </c>
      <c r="C39" s="1262">
        <v>5503</v>
      </c>
      <c r="D39" s="1262">
        <v>90246901.303508997</v>
      </c>
      <c r="E39" s="1262">
        <v>7943</v>
      </c>
      <c r="F39" s="1262">
        <v>31937363</v>
      </c>
    </row>
    <row r="40" spans="1:6">
      <c r="A40" s="1261" t="s">
        <v>29</v>
      </c>
      <c r="B40" s="1261" t="s">
        <v>28</v>
      </c>
      <c r="C40" s="1262">
        <v>0</v>
      </c>
      <c r="D40" s="1262">
        <v>0</v>
      </c>
      <c r="E40" s="1262">
        <v>0</v>
      </c>
      <c r="F40" s="1262">
        <v>0</v>
      </c>
    </row>
    <row r="41" spans="1:6">
      <c r="A41" s="1261" t="s">
        <v>31</v>
      </c>
      <c r="B41" s="1261" t="s">
        <v>32</v>
      </c>
      <c r="C41" s="1262">
        <v>26</v>
      </c>
      <c r="D41" s="1262">
        <v>507825.694787352</v>
      </c>
      <c r="E41" s="1262">
        <v>82</v>
      </c>
      <c r="F41" s="1262">
        <v>547711.69999999995</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34</v>
      </c>
      <c r="D48" s="1262">
        <v>1110056.1109887401</v>
      </c>
      <c r="E48" s="1262">
        <v>60</v>
      </c>
      <c r="F48" s="1262">
        <v>1126480</v>
      </c>
    </row>
    <row r="49" spans="1:6">
      <c r="A49" s="1261" t="s">
        <v>31</v>
      </c>
      <c r="B49" s="1261" t="s">
        <v>39</v>
      </c>
      <c r="C49" s="1262">
        <v>0</v>
      </c>
      <c r="D49" s="1262">
        <v>0</v>
      </c>
      <c r="E49" s="1262">
        <v>0</v>
      </c>
      <c r="F49" s="1262">
        <v>0</v>
      </c>
    </row>
    <row r="50" spans="1:6">
      <c r="A50" s="1261" t="s">
        <v>31</v>
      </c>
      <c r="B50" s="1261" t="s">
        <v>40</v>
      </c>
      <c r="C50" s="1262">
        <v>3</v>
      </c>
      <c r="D50" s="1262">
        <v>127281.144936572</v>
      </c>
      <c r="E50" s="1262">
        <v>5</v>
      </c>
      <c r="F50" s="1262">
        <v>239189.3</v>
      </c>
    </row>
    <row r="51" spans="1:6">
      <c r="A51" s="1261" t="s">
        <v>41</v>
      </c>
      <c r="B51" s="1261" t="s">
        <v>42</v>
      </c>
      <c r="C51" s="1262">
        <v>0</v>
      </c>
      <c r="D51" s="1262">
        <v>0</v>
      </c>
      <c r="E51" s="1262">
        <v>22</v>
      </c>
      <c r="F51" s="1262">
        <v>167725.5</v>
      </c>
    </row>
    <row r="52" spans="1:6">
      <c r="A52" s="1261" t="s">
        <v>41</v>
      </c>
      <c r="B52" s="1261" t="s">
        <v>28</v>
      </c>
      <c r="C52" s="1262">
        <v>11</v>
      </c>
      <c r="D52" s="1262">
        <v>294287.33720275899</v>
      </c>
      <c r="E52" s="1262">
        <v>12</v>
      </c>
      <c r="F52" s="1262">
        <v>110521.5</v>
      </c>
    </row>
    <row r="53" spans="1:6">
      <c r="A53" s="1261" t="s">
        <v>43</v>
      </c>
      <c r="B53" s="1261" t="s">
        <v>44</v>
      </c>
      <c r="C53" s="1262">
        <v>124</v>
      </c>
      <c r="D53" s="1262">
        <v>3265455.3296249802</v>
      </c>
      <c r="E53" s="1262">
        <v>250</v>
      </c>
      <c r="F53" s="1262">
        <v>1664944</v>
      </c>
    </row>
    <row r="54" spans="1:6">
      <c r="A54" s="1261" t="s">
        <v>45</v>
      </c>
      <c r="B54" s="1261" t="s">
        <v>46</v>
      </c>
      <c r="C54" s="1262">
        <v>0</v>
      </c>
      <c r="D54" s="1262">
        <v>0</v>
      </c>
      <c r="E54" s="1262">
        <v>1</v>
      </c>
      <c r="F54" s="1262">
        <v>1358238</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22</v>
      </c>
      <c r="D57" s="1262">
        <v>528731.78873139701</v>
      </c>
      <c r="E57" s="1262">
        <v>48</v>
      </c>
      <c r="F57" s="1262">
        <v>466531.5</v>
      </c>
    </row>
    <row r="58" spans="1:6">
      <c r="A58" s="1261" t="s">
        <v>48</v>
      </c>
      <c r="B58" s="1261" t="s">
        <v>50</v>
      </c>
      <c r="C58" s="1262">
        <v>23</v>
      </c>
      <c r="D58" s="1262">
        <v>668850.36485334195</v>
      </c>
      <c r="E58" s="1262">
        <v>23</v>
      </c>
      <c r="F58" s="1262">
        <v>164850</v>
      </c>
    </row>
    <row r="59" spans="1:6">
      <c r="A59" s="1261" t="s">
        <v>48</v>
      </c>
      <c r="B59" s="1261" t="s">
        <v>51</v>
      </c>
      <c r="C59" s="1262">
        <v>45</v>
      </c>
      <c r="D59" s="1262">
        <v>10424143.612422699</v>
      </c>
      <c r="E59" s="1262">
        <v>72</v>
      </c>
      <c r="F59" s="1262">
        <v>6171420</v>
      </c>
    </row>
    <row r="60" spans="1:6">
      <c r="A60" s="1261" t="s">
        <v>48</v>
      </c>
      <c r="B60" s="1261" t="s">
        <v>52</v>
      </c>
      <c r="C60" s="1262">
        <v>29</v>
      </c>
      <c r="D60" s="1262">
        <v>1063431.55256383</v>
      </c>
      <c r="E60" s="1262">
        <v>37</v>
      </c>
      <c r="F60" s="1262">
        <v>847035.9</v>
      </c>
    </row>
    <row r="61" spans="1:6">
      <c r="A61" s="1261" t="s">
        <v>48</v>
      </c>
      <c r="B61" s="1261" t="s">
        <v>53</v>
      </c>
      <c r="C61" s="1262">
        <v>151</v>
      </c>
      <c r="D61" s="1262">
        <v>15047892.4223911</v>
      </c>
      <c r="E61" s="1262">
        <v>316</v>
      </c>
      <c r="F61" s="1262">
        <v>3534981</v>
      </c>
    </row>
    <row r="62" spans="1:6">
      <c r="A62" s="1261" t="s">
        <v>48</v>
      </c>
      <c r="B62" s="1261" t="s">
        <v>54</v>
      </c>
      <c r="C62" s="1262">
        <v>0</v>
      </c>
      <c r="D62" s="1262">
        <v>0</v>
      </c>
      <c r="E62" s="1262">
        <v>0</v>
      </c>
      <c r="F62" s="1262">
        <v>0</v>
      </c>
    </row>
    <row r="63" spans="1:6">
      <c r="A63" s="1261" t="s">
        <v>48</v>
      </c>
      <c r="B63" s="1261" t="s">
        <v>28</v>
      </c>
      <c r="C63" s="1262">
        <v>178</v>
      </c>
      <c r="D63" s="1262">
        <v>16651254.4216666</v>
      </c>
      <c r="E63" s="1262">
        <v>221</v>
      </c>
      <c r="F63" s="1262">
        <v>12602051</v>
      </c>
    </row>
    <row r="64" spans="1:6">
      <c r="A64" s="1261" t="s">
        <v>55</v>
      </c>
      <c r="B64" s="1261" t="s">
        <v>56</v>
      </c>
      <c r="C64" s="1262">
        <v>0</v>
      </c>
      <c r="D64" s="1262">
        <v>0</v>
      </c>
      <c r="E64" s="1262">
        <v>0</v>
      </c>
      <c r="F64" s="1262">
        <v>0</v>
      </c>
    </row>
    <row r="65" spans="1:6">
      <c r="A65" s="1261" t="s">
        <v>55</v>
      </c>
      <c r="B65" s="1261" t="s">
        <v>28</v>
      </c>
      <c r="C65" s="1262">
        <v>7</v>
      </c>
      <c r="D65" s="1262">
        <v>340211.83402730903</v>
      </c>
      <c r="E65" s="1262">
        <v>11</v>
      </c>
      <c r="F65" s="1262">
        <v>513292.79999999999</v>
      </c>
    </row>
    <row r="66" spans="1:6">
      <c r="A66" s="1261" t="s">
        <v>55</v>
      </c>
      <c r="B66" s="1261" t="s">
        <v>57</v>
      </c>
      <c r="C66" s="1262">
        <v>0</v>
      </c>
      <c r="D66" s="1262">
        <v>0</v>
      </c>
      <c r="E66" s="1262">
        <v>5</v>
      </c>
      <c r="F66" s="1262">
        <v>199226</v>
      </c>
    </row>
    <row r="67" spans="1:6">
      <c r="A67" s="1261" t="s">
        <v>55</v>
      </c>
      <c r="B67" s="1261" t="s">
        <v>58</v>
      </c>
      <c r="C67" s="1262">
        <v>0</v>
      </c>
      <c r="D67" s="1262">
        <v>0</v>
      </c>
      <c r="E67" s="1262">
        <v>0</v>
      </c>
      <c r="F67" s="1262">
        <v>0</v>
      </c>
    </row>
    <row r="68" spans="1:6">
      <c r="A68" s="1256" t="s">
        <v>55</v>
      </c>
      <c r="B68" s="1256" t="s">
        <v>59</v>
      </c>
      <c r="C68" s="1264">
        <v>0</v>
      </c>
      <c r="D68" s="1264">
        <v>0</v>
      </c>
      <c r="E68" s="1264">
        <v>6</v>
      </c>
      <c r="F68" s="1264">
        <v>150934.39999999999</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25445716</v>
      </c>
      <c r="E73" s="440"/>
      <c r="F73" s="322"/>
    </row>
    <row r="74" spans="1:6">
      <c r="A74" s="1261" t="s">
        <v>63</v>
      </c>
      <c r="B74" s="1261" t="s">
        <v>670</v>
      </c>
      <c r="C74" s="1274" t="s">
        <v>672</v>
      </c>
      <c r="D74" s="1262">
        <v>562715</v>
      </c>
      <c r="E74" s="440"/>
      <c r="F74" s="322"/>
    </row>
    <row r="75" spans="1:6">
      <c r="A75" s="1261" t="s">
        <v>64</v>
      </c>
      <c r="B75" s="1261" t="s">
        <v>669</v>
      </c>
      <c r="C75" s="1274" t="s">
        <v>673</v>
      </c>
      <c r="D75" s="1262">
        <v>44048155</v>
      </c>
      <c r="E75" s="440"/>
      <c r="F75" s="322"/>
    </row>
    <row r="76" spans="1:6">
      <c r="A76" s="1261" t="s">
        <v>64</v>
      </c>
      <c r="B76" s="1261" t="s">
        <v>670</v>
      </c>
      <c r="C76" s="1274" t="s">
        <v>674</v>
      </c>
      <c r="D76" s="1262">
        <v>804985.29244810413</v>
      </c>
      <c r="E76" s="440"/>
      <c r="F76" s="322"/>
    </row>
    <row r="77" spans="1:6">
      <c r="A77" s="1261" t="s">
        <v>65</v>
      </c>
      <c r="B77" s="1261" t="s">
        <v>669</v>
      </c>
      <c r="C77" s="1274" t="s">
        <v>675</v>
      </c>
      <c r="D77" s="1262">
        <v>179839188</v>
      </c>
      <c r="E77" s="440"/>
      <c r="F77" s="322"/>
    </row>
    <row r="78" spans="1:6">
      <c r="A78" s="1256" t="s">
        <v>65</v>
      </c>
      <c r="B78" s="1256" t="s">
        <v>670</v>
      </c>
      <c r="C78" s="1256" t="s">
        <v>676</v>
      </c>
      <c r="D78" s="1264">
        <v>16898129</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1142823.4151037917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3181.7107990113223</v>
      </c>
      <c r="C91" s="322"/>
      <c r="D91" s="322"/>
      <c r="E91" s="322"/>
      <c r="F91" s="322"/>
    </row>
    <row r="92" spans="1:6">
      <c r="A92" s="1256" t="s">
        <v>68</v>
      </c>
      <c r="B92" s="1257">
        <v>807.279689934933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3438</v>
      </c>
      <c r="C97" s="322"/>
      <c r="D97" s="322"/>
      <c r="E97" s="322"/>
      <c r="F97" s="322"/>
    </row>
    <row r="98" spans="1:6">
      <c r="A98" s="1261" t="s">
        <v>71</v>
      </c>
      <c r="B98" s="1262">
        <v>1</v>
      </c>
      <c r="C98" s="322"/>
      <c r="D98" s="322"/>
      <c r="E98" s="322"/>
      <c r="F98" s="322"/>
    </row>
    <row r="99" spans="1:6">
      <c r="A99" s="1261" t="s">
        <v>72</v>
      </c>
      <c r="B99" s="1262">
        <v>75</v>
      </c>
      <c r="C99" s="322"/>
      <c r="D99" s="322"/>
      <c r="E99" s="322"/>
      <c r="F99" s="322"/>
    </row>
    <row r="100" spans="1:6">
      <c r="A100" s="1261" t="s">
        <v>73</v>
      </c>
      <c r="B100" s="1262">
        <v>477</v>
      </c>
      <c r="C100" s="322"/>
      <c r="D100" s="322"/>
      <c r="E100" s="322"/>
      <c r="F100" s="322"/>
    </row>
    <row r="101" spans="1:6">
      <c r="A101" s="1261" t="s">
        <v>74</v>
      </c>
      <c r="B101" s="1262">
        <v>48</v>
      </c>
      <c r="C101" s="322"/>
      <c r="D101" s="322"/>
      <c r="E101" s="322"/>
      <c r="F101" s="322"/>
    </row>
    <row r="102" spans="1:6">
      <c r="A102" s="1261" t="s">
        <v>75</v>
      </c>
      <c r="B102" s="1262">
        <v>87</v>
      </c>
      <c r="C102" s="322"/>
      <c r="D102" s="322"/>
      <c r="E102" s="322"/>
      <c r="F102" s="322"/>
    </row>
    <row r="103" spans="1:6">
      <c r="A103" s="1261" t="s">
        <v>76</v>
      </c>
      <c r="B103" s="1262">
        <v>105</v>
      </c>
      <c r="C103" s="322"/>
      <c r="D103" s="322"/>
      <c r="E103" s="322"/>
      <c r="F103" s="322"/>
    </row>
    <row r="104" spans="1:6">
      <c r="A104" s="1261" t="s">
        <v>77</v>
      </c>
      <c r="B104" s="1262">
        <v>2454</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17</v>
      </c>
      <c r="C123" s="1262">
        <v>27</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88</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11</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66545.948917530564</v>
      </c>
      <c r="C3" s="43" t="s">
        <v>163</v>
      </c>
      <c r="D3" s="43"/>
      <c r="E3" s="153"/>
      <c r="F3" s="43"/>
      <c r="G3" s="43"/>
      <c r="H3" s="43"/>
      <c r="I3" s="43"/>
      <c r="J3" s="43"/>
      <c r="K3" s="96"/>
    </row>
    <row r="4" spans="1:11">
      <c r="A4" s="349" t="s">
        <v>164</v>
      </c>
      <c r="B4" s="49">
        <f>IF(ISERROR('SEAP template'!B78+'SEAP template'!C78),0,'SEAP template'!B78+'SEAP template'!C78)</f>
        <v>6355.990488946255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562.51058823529411</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0.20834463444400639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803.5865546218489</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3381.4285714285716</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0.23764705882352946</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1358.2380000000001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1358.2380000000001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0.20834463444400639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282.98159959795834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31937.363000000001</v>
      </c>
      <c r="C5" s="17">
        <f>IF(ISERROR('Eigen informatie GS &amp; warmtenet'!B57),0,'Eigen informatie GS &amp; warmtenet'!B57)</f>
        <v>0</v>
      </c>
      <c r="D5" s="30">
        <f>(SUM(HH_hh_gas_kWh,HH_rest_gas_kWh)/1000)*0.902</f>
        <v>81402.704975765126</v>
      </c>
      <c r="E5" s="17">
        <f>B32*B41</f>
        <v>1370.6414438477764</v>
      </c>
      <c r="F5" s="17">
        <f>B36*B45</f>
        <v>43239.461418976411</v>
      </c>
      <c r="G5" s="18"/>
      <c r="H5" s="17"/>
      <c r="I5" s="17"/>
      <c r="J5" s="17">
        <f>B35*B44+C35*C44</f>
        <v>1008.3426068587961</v>
      </c>
      <c r="K5" s="17"/>
      <c r="L5" s="17"/>
      <c r="M5" s="17"/>
      <c r="N5" s="17">
        <f>B34*B43+C34*C43</f>
        <v>9027.830596565138</v>
      </c>
      <c r="O5" s="17">
        <f>B52*B53*B54</f>
        <v>179.78333333333333</v>
      </c>
      <c r="P5" s="17">
        <f>B60*B61*B62/1000-B60*B61*B62/1000/B63</f>
        <v>533.86666666666667</v>
      </c>
    </row>
    <row r="6" spans="1:16">
      <c r="A6" s="16" t="s">
        <v>593</v>
      </c>
      <c r="B6" s="717">
        <f>kWh_PV_kleiner_dan_10kW</f>
        <v>3181.7107990113223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35119.073799011327</v>
      </c>
      <c r="C8" s="21">
        <f>C5</f>
        <v>0</v>
      </c>
      <c r="D8" s="21">
        <f>D5</f>
        <v>81402.704975765126</v>
      </c>
      <c r="E8" s="21">
        <f>E5</f>
        <v>1370.6414438477764</v>
      </c>
      <c r="F8" s="21">
        <f>F5</f>
        <v>43239.461418976411</v>
      </c>
      <c r="G8" s="21"/>
      <c r="H8" s="21"/>
      <c r="I8" s="21"/>
      <c r="J8" s="21">
        <f>J5</f>
        <v>1008.3426068587961</v>
      </c>
      <c r="K8" s="21"/>
      <c r="L8" s="21">
        <f>L5</f>
        <v>0</v>
      </c>
      <c r="M8" s="21">
        <f>M5</f>
        <v>0</v>
      </c>
      <c r="N8" s="21">
        <f>N5</f>
        <v>9027.830596565138</v>
      </c>
      <c r="O8" s="21">
        <f>O5</f>
        <v>179.78333333333333</v>
      </c>
      <c r="P8" s="21">
        <f>P5</f>
        <v>533.86666666666667</v>
      </c>
    </row>
    <row r="9" spans="1:16">
      <c r="B9" s="19"/>
      <c r="C9" s="19"/>
      <c r="D9" s="253"/>
      <c r="E9" s="19"/>
      <c r="F9" s="19"/>
      <c r="G9" s="19"/>
      <c r="H9" s="19"/>
      <c r="I9" s="19"/>
      <c r="J9" s="19"/>
      <c r="K9" s="19"/>
      <c r="L9" s="19"/>
      <c r="M9" s="19"/>
      <c r="N9" s="19"/>
      <c r="O9" s="19"/>
      <c r="P9" s="19"/>
    </row>
    <row r="10" spans="1:16">
      <c r="A10" s="24" t="s">
        <v>207</v>
      </c>
      <c r="B10" s="25">
        <f ca="1">'EF ele_warmte'!B12</f>
        <v>0.20834463444400639</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7316.8705926670973</v>
      </c>
      <c r="C12" s="23">
        <f ca="1">C10*C8</f>
        <v>0</v>
      </c>
      <c r="D12" s="23">
        <f>D8*D10</f>
        <v>16443.346405104556</v>
      </c>
      <c r="E12" s="23">
        <f>E10*E8</f>
        <v>311.13560775344524</v>
      </c>
      <c r="F12" s="23">
        <f>F10*F8</f>
        <v>11544.936198866702</v>
      </c>
      <c r="G12" s="23"/>
      <c r="H12" s="23"/>
      <c r="I12" s="23"/>
      <c r="J12" s="23">
        <f>J10*J8</f>
        <v>356.95328282801381</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7979</v>
      </c>
      <c r="C26" s="36"/>
      <c r="D26" s="224"/>
    </row>
    <row r="27" spans="1:5" s="15" customFormat="1">
      <c r="A27" s="226" t="s">
        <v>696</v>
      </c>
      <c r="B27" s="37">
        <f>SUM(HH_hh_gas_aantal,HH_rest_gas_aantal)</f>
        <v>5503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5227.8500000000004</v>
      </c>
      <c r="C31" s="34" t="s">
        <v>104</v>
      </c>
      <c r="D31" s="170"/>
    </row>
    <row r="32" spans="1:5">
      <c r="A32" s="167" t="s">
        <v>72</v>
      </c>
      <c r="B32" s="33">
        <f>IF((B21*($B$26-($B$27-0.05*$B$27)-$B$60))&lt;0,0,B21*($B$26-($B$27-0.05*$B$27)-$B$60))</f>
        <v>17.170061067341045</v>
      </c>
      <c r="C32" s="34" t="s">
        <v>104</v>
      </c>
      <c r="D32" s="170"/>
    </row>
    <row r="33" spans="1:6">
      <c r="A33" s="167" t="s">
        <v>73</v>
      </c>
      <c r="B33" s="33">
        <f>IF((B22*($B$26-($B$27-0.05*$B$27)-$B$60))&lt;0,0,B22*($B$26-($B$27-0.05*$B$27)-$B$60))</f>
        <v>597.92390029463331</v>
      </c>
      <c r="C33" s="34" t="s">
        <v>104</v>
      </c>
      <c r="D33" s="170"/>
    </row>
    <row r="34" spans="1:6">
      <c r="A34" s="167" t="s">
        <v>74</v>
      </c>
      <c r="B34" s="33">
        <f>IF((B24*($B$26-($B$27-0.05*$B$27)-$B$60))&lt;0,0,B24*($B$26-($B$27-0.05*$B$27)-$B$60))</f>
        <v>118.68524903758625</v>
      </c>
      <c r="C34" s="33">
        <f>B26*C24</f>
        <v>1632.5008660650772</v>
      </c>
      <c r="D34" s="229"/>
    </row>
    <row r="35" spans="1:6">
      <c r="A35" s="167" t="s">
        <v>76</v>
      </c>
      <c r="B35" s="33">
        <f>IF((B19*($B$26-($B$27-0.05*$B$27)-$B$60))&lt;0,0,B19*($B$26-($B$27-0.05*$B$27)-$B$60))</f>
        <v>57.984493734941744</v>
      </c>
      <c r="C35" s="33">
        <f>B35/2</f>
        <v>28.992246867470872</v>
      </c>
      <c r="D35" s="229"/>
    </row>
    <row r="36" spans="1:6">
      <c r="A36" s="167" t="s">
        <v>77</v>
      </c>
      <c r="B36" s="33">
        <f>IF((B18*($B$26-($B$27-0.05*$B$27)-$B$60))&lt;0,0,B18*($B$26-($B$27-0.05*$B$27)-$B$60))</f>
        <v>1931.3862958654981</v>
      </c>
      <c r="C36" s="34" t="s">
        <v>104</v>
      </c>
      <c r="D36" s="170"/>
    </row>
    <row r="37" spans="1:6">
      <c r="A37" s="167" t="s">
        <v>78</v>
      </c>
      <c r="B37" s="33">
        <f>B60</f>
        <v>28</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28</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23786.8694</v>
      </c>
      <c r="C5" s="17">
        <f>IF(ISERROR('Eigen informatie GS &amp; warmtenet'!B58),0,'Eigen informatie GS &amp; warmtenet'!B58)</f>
        <v>0</v>
      </c>
      <c r="D5" s="30">
        <f>SUM(D6:D12)</f>
        <v>40034.642354691328</v>
      </c>
      <c r="E5" s="17">
        <f>SUM(E6:E12)</f>
        <v>381.23429127022837</v>
      </c>
      <c r="F5" s="17">
        <f>SUM(F6:F12)</f>
        <v>4955.4090537106231</v>
      </c>
      <c r="G5" s="18"/>
      <c r="H5" s="17"/>
      <c r="I5" s="17"/>
      <c r="J5" s="17">
        <f>SUM(J6:J12)</f>
        <v>0</v>
      </c>
      <c r="K5" s="17"/>
      <c r="L5" s="17"/>
      <c r="M5" s="17"/>
      <c r="N5" s="17">
        <f>SUM(N6:N12)</f>
        <v>1303.8679991563995</v>
      </c>
      <c r="O5" s="17">
        <f>B38*B39*B40</f>
        <v>1.5633333333333335</v>
      </c>
      <c r="P5" s="17">
        <f>B46*B47*B48/1000-B46*B47*B48/1000/B49</f>
        <v>19.066666666666666</v>
      </c>
      <c r="R5" s="32"/>
    </row>
    <row r="6" spans="1:18">
      <c r="A6" s="32" t="s">
        <v>53</v>
      </c>
      <c r="B6" s="37">
        <f>B26</f>
        <v>3534.9810000000002</v>
      </c>
      <c r="C6" s="33"/>
      <c r="D6" s="37">
        <f>IF(ISERROR(TER_kantoor_gas_kWh/1000),0,TER_kantoor_gas_kWh/1000)*0.902</f>
        <v>13573.198964996773</v>
      </c>
      <c r="E6" s="33">
        <f>$C$26*'E Balans VL '!I12/100/3.6*1000000</f>
        <v>4.9574539080033196E-2</v>
      </c>
      <c r="F6" s="33">
        <f>$C$26*('E Balans VL '!L12+'E Balans VL '!N12)/100/3.6*1000000</f>
        <v>491.35655844621067</v>
      </c>
      <c r="G6" s="34"/>
      <c r="H6" s="33"/>
      <c r="I6" s="33"/>
      <c r="J6" s="33">
        <f>$C$26*('E Balans VL '!D12+'E Balans VL '!E12)/100/3.6*1000000</f>
        <v>0</v>
      </c>
      <c r="K6" s="33"/>
      <c r="L6" s="33"/>
      <c r="M6" s="33"/>
      <c r="N6" s="33">
        <f>$C$26*'E Balans VL '!Y12/100/3.6*1000000</f>
        <v>43.751691975302776</v>
      </c>
      <c r="O6" s="33"/>
      <c r="P6" s="33"/>
      <c r="R6" s="32"/>
    </row>
    <row r="7" spans="1:18">
      <c r="A7" s="32" t="s">
        <v>52</v>
      </c>
      <c r="B7" s="37">
        <f t="shared" ref="B7:B12" si="0">B27</f>
        <v>847.03589999999997</v>
      </c>
      <c r="C7" s="33"/>
      <c r="D7" s="37">
        <f>IF(ISERROR(TER_horeca_gas_kWh/1000),0,TER_horeca_gas_kWh/1000)*0.902</f>
        <v>959.21526041257482</v>
      </c>
      <c r="E7" s="33">
        <f>$C$27*'E Balans VL '!I9/100/3.6*1000000</f>
        <v>12.090793716052557</v>
      </c>
      <c r="F7" s="33">
        <f>$C$27*('E Balans VL '!L9+'E Balans VL '!N9)/100/3.6*1000000</f>
        <v>131.68002301573441</v>
      </c>
      <c r="G7" s="34"/>
      <c r="H7" s="33"/>
      <c r="I7" s="33"/>
      <c r="J7" s="33">
        <f>$C$27*('E Balans VL '!D9+'E Balans VL '!E9)/100/3.6*1000000</f>
        <v>0</v>
      </c>
      <c r="K7" s="33"/>
      <c r="L7" s="33"/>
      <c r="M7" s="33"/>
      <c r="N7" s="33">
        <f>$C$27*'E Balans VL '!Y9/100/3.6*1000000</f>
        <v>0.2182678240277402</v>
      </c>
      <c r="O7" s="33"/>
      <c r="P7" s="33"/>
      <c r="R7" s="32"/>
    </row>
    <row r="8" spans="1:18">
      <c r="A8" s="6" t="s">
        <v>51</v>
      </c>
      <c r="B8" s="37">
        <f t="shared" si="0"/>
        <v>6171.42</v>
      </c>
      <c r="C8" s="33"/>
      <c r="D8" s="37">
        <f>IF(ISERROR(TER_handel_gas_kWh/1000),0,TER_handel_gas_kWh/1000)*0.902</f>
        <v>9402.577538405274</v>
      </c>
      <c r="E8" s="33">
        <f>$C$28*'E Balans VL '!I13/100/3.6*1000000</f>
        <v>167.03091461088422</v>
      </c>
      <c r="F8" s="33">
        <f>$C$28*('E Balans VL '!L13+'E Balans VL '!N13)/100/3.6*1000000</f>
        <v>958.30652782632103</v>
      </c>
      <c r="G8" s="34"/>
      <c r="H8" s="33"/>
      <c r="I8" s="33"/>
      <c r="J8" s="33">
        <f>$C$28*('E Balans VL '!D13+'E Balans VL '!E13)/100/3.6*1000000</f>
        <v>0</v>
      </c>
      <c r="K8" s="33"/>
      <c r="L8" s="33"/>
      <c r="M8" s="33"/>
      <c r="N8" s="33">
        <f>$C$28*'E Balans VL '!Y13/100/3.6*1000000</f>
        <v>50.005037902133637</v>
      </c>
      <c r="O8" s="33"/>
      <c r="P8" s="33"/>
      <c r="R8" s="32"/>
    </row>
    <row r="9" spans="1:18">
      <c r="A9" s="32" t="s">
        <v>50</v>
      </c>
      <c r="B9" s="37">
        <f t="shared" si="0"/>
        <v>164.85</v>
      </c>
      <c r="C9" s="33"/>
      <c r="D9" s="37">
        <f>IF(ISERROR(TER_gezond_gas_kWh/1000),0,TER_gezond_gas_kWh/1000)*0.902</f>
        <v>603.30302909771444</v>
      </c>
      <c r="E9" s="33">
        <f>$C$29*'E Balans VL '!I10/100/3.6*1000000</f>
        <v>1.0286554306821719E-2</v>
      </c>
      <c r="F9" s="33">
        <f>$C$29*('E Balans VL '!L10+'E Balans VL '!N10)/100/3.6*1000000</f>
        <v>21.341402094758369</v>
      </c>
      <c r="G9" s="34"/>
      <c r="H9" s="33"/>
      <c r="I9" s="33"/>
      <c r="J9" s="33">
        <f>$C$29*('E Balans VL '!D10+'E Balans VL '!E10)/100/3.6*1000000</f>
        <v>0</v>
      </c>
      <c r="K9" s="33"/>
      <c r="L9" s="33"/>
      <c r="M9" s="33"/>
      <c r="N9" s="33">
        <f>$C$29*'E Balans VL '!Y10/100/3.6*1000000</f>
        <v>1.351608909283845</v>
      </c>
      <c r="O9" s="33"/>
      <c r="P9" s="33"/>
      <c r="R9" s="32"/>
    </row>
    <row r="10" spans="1:18">
      <c r="A10" s="32" t="s">
        <v>49</v>
      </c>
      <c r="B10" s="37">
        <f t="shared" si="0"/>
        <v>466.53149999999999</v>
      </c>
      <c r="C10" s="33"/>
      <c r="D10" s="37">
        <f>IF(ISERROR(TER_ander_gas_kWh/1000),0,TER_ander_gas_kWh/1000)*0.902</f>
        <v>476.91607343572014</v>
      </c>
      <c r="E10" s="33">
        <f>$C$30*'E Balans VL '!I14/100/3.6*1000000</f>
        <v>14.084368180630827</v>
      </c>
      <c r="F10" s="33">
        <f>$C$30*('E Balans VL '!L14+'E Balans VL '!N14)/100/3.6*1000000</f>
        <v>295.3834260458205</v>
      </c>
      <c r="G10" s="34"/>
      <c r="H10" s="33"/>
      <c r="I10" s="33"/>
      <c r="J10" s="33">
        <f>$C$30*('E Balans VL '!D14+'E Balans VL '!E14)/100/3.6*1000000</f>
        <v>0</v>
      </c>
      <c r="K10" s="33"/>
      <c r="L10" s="33"/>
      <c r="M10" s="33"/>
      <c r="N10" s="33">
        <f>$C$30*'E Balans VL '!Y14/100/3.6*1000000</f>
        <v>188.83456593238469</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12602.050999999999</v>
      </c>
      <c r="C12" s="33"/>
      <c r="D12" s="37">
        <f>IF(ISERROR(TER_rest_gas_kWh/1000),0,TER_rest_gas_kWh/1000)*0.902</f>
        <v>15019.431488343273</v>
      </c>
      <c r="E12" s="33">
        <f>$C$32*'E Balans VL '!I8/100/3.6*1000000</f>
        <v>187.96835366927394</v>
      </c>
      <c r="F12" s="33">
        <f>$C$32*('E Balans VL '!L8+'E Balans VL '!N8)/100/3.6*1000000</f>
        <v>3057.3411162817783</v>
      </c>
      <c r="G12" s="34"/>
      <c r="H12" s="33"/>
      <c r="I12" s="33"/>
      <c r="J12" s="33">
        <f>$C$32*('E Balans VL '!D8+'E Balans VL '!E8)/100/3.6*1000000</f>
        <v>0</v>
      </c>
      <c r="K12" s="33"/>
      <c r="L12" s="33"/>
      <c r="M12" s="33"/>
      <c r="N12" s="33">
        <f>$C$32*'E Balans VL '!Y8/100/3.6*1000000</f>
        <v>1019.7068266132668</v>
      </c>
      <c r="O12" s="33"/>
      <c r="P12" s="33"/>
      <c r="R12" s="32"/>
    </row>
    <row r="13" spans="1:18">
      <c r="A13" s="16" t="s">
        <v>480</v>
      </c>
      <c r="B13" s="242">
        <f ca="1">'lokale energieproductie'!N38+'lokale energieproductie'!N31</f>
        <v>2367</v>
      </c>
      <c r="C13" s="242">
        <f ca="1">'lokale energieproductie'!O38+'lokale energieproductie'!O31</f>
        <v>3381.4285714285716</v>
      </c>
      <c r="D13" s="300">
        <f ca="1">('lokale energieproductie'!P31+'lokale energieproductie'!P38)*(-1)</f>
        <v>-6762.8571428571431</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26153.8694</v>
      </c>
      <c r="C16" s="21">
        <f t="shared" ca="1" si="1"/>
        <v>3381.4285714285716</v>
      </c>
      <c r="D16" s="21">
        <f t="shared" ca="1" si="1"/>
        <v>33271.785211834183</v>
      </c>
      <c r="E16" s="21">
        <f t="shared" si="1"/>
        <v>381.23429127022837</v>
      </c>
      <c r="F16" s="21">
        <f t="shared" ca="1" si="1"/>
        <v>4955.4090537106231</v>
      </c>
      <c r="G16" s="21">
        <f t="shared" si="1"/>
        <v>0</v>
      </c>
      <c r="H16" s="21">
        <f t="shared" si="1"/>
        <v>0</v>
      </c>
      <c r="I16" s="21">
        <f t="shared" si="1"/>
        <v>0</v>
      </c>
      <c r="J16" s="21">
        <f t="shared" si="1"/>
        <v>0</v>
      </c>
      <c r="K16" s="21">
        <f t="shared" si="1"/>
        <v>0</v>
      </c>
      <c r="L16" s="21">
        <f t="shared" ca="1" si="1"/>
        <v>0</v>
      </c>
      <c r="M16" s="21">
        <f t="shared" si="1"/>
        <v>0</v>
      </c>
      <c r="N16" s="21">
        <f t="shared" ca="1" si="1"/>
        <v>1303.8679991563995</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0.20834463444400639</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5449.0183594392847</v>
      </c>
      <c r="C20" s="23">
        <f t="shared" ref="C20:P20" ca="1" si="2">C16*C18</f>
        <v>803.5865546218489</v>
      </c>
      <c r="D20" s="23">
        <f t="shared" ca="1" si="2"/>
        <v>6720.9006127905059</v>
      </c>
      <c r="E20" s="23">
        <f t="shared" si="2"/>
        <v>86.540184118341841</v>
      </c>
      <c r="F20" s="23">
        <f t="shared" ca="1" si="2"/>
        <v>1323.0942173407363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3534.9810000000002</v>
      </c>
      <c r="C26" s="39">
        <f>IF(ISERROR(B26*3.6/1000000/'E Balans VL '!Z12*100),0,B26*3.6/1000000/'E Balans VL '!Z12*100)</f>
        <v>9.601670774502323E-2</v>
      </c>
      <c r="D26" s="232" t="s">
        <v>651</v>
      </c>
      <c r="F26" s="6"/>
    </row>
    <row r="27" spans="1:18">
      <c r="A27" s="227" t="s">
        <v>52</v>
      </c>
      <c r="B27" s="33">
        <f>IF(ISERROR(TER_horeca_ele_kWh/1000),0,TER_horeca_ele_kWh/1000)</f>
        <v>847.03589999999997</v>
      </c>
      <c r="C27" s="39">
        <f>IF(ISERROR(B27*3.6/1000000/'E Balans VL '!Z9*100),0,B27*3.6/1000000/'E Balans VL '!Z9*100)</f>
        <v>6.8065931851629166E-2</v>
      </c>
      <c r="D27" s="232" t="s">
        <v>651</v>
      </c>
      <c r="F27" s="6"/>
    </row>
    <row r="28" spans="1:18">
      <c r="A28" s="167" t="s">
        <v>51</v>
      </c>
      <c r="B28" s="33">
        <f>IF(ISERROR(TER_handel_ele_kWh/1000),0,TER_handel_ele_kWh/1000)</f>
        <v>6171.42</v>
      </c>
      <c r="C28" s="39">
        <f>IF(ISERROR(B28*3.6/1000000/'E Balans VL '!Z13*100),0,B28*3.6/1000000/'E Balans VL '!Z13*100)</f>
        <v>0.18227367898637914</v>
      </c>
      <c r="D28" s="232" t="s">
        <v>651</v>
      </c>
      <c r="F28" s="6"/>
    </row>
    <row r="29" spans="1:18">
      <c r="A29" s="227" t="s">
        <v>50</v>
      </c>
      <c r="B29" s="33">
        <f>IF(ISERROR(TER_gezond_ele_kWh/1000),0,TER_gezond_ele_kWh/1000)</f>
        <v>164.85</v>
      </c>
      <c r="C29" s="39">
        <f>IF(ISERROR(B29*3.6/1000000/'E Balans VL '!Z10*100),0,B29*3.6/1000000/'E Balans VL '!Z10*100)</f>
        <v>1.8853233900276972E-2</v>
      </c>
      <c r="D29" s="232" t="s">
        <v>651</v>
      </c>
      <c r="F29" s="6"/>
    </row>
    <row r="30" spans="1:18">
      <c r="A30" s="227" t="s">
        <v>49</v>
      </c>
      <c r="B30" s="33">
        <f>IF(ISERROR(TER_ander_ele_kWh/1000),0,TER_ander_ele_kWh/1000)</f>
        <v>466.53149999999999</v>
      </c>
      <c r="C30" s="39">
        <f>IF(ISERROR(B30*3.6/1000000/'E Balans VL '!Z14*100),0,B30*3.6/1000000/'E Balans VL '!Z14*100)</f>
        <v>2.1801989065673964E-2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12602.050999999999</v>
      </c>
      <c r="C32" s="39">
        <f>IF(ISERROR(B32*3.6/1000000/'E Balans VL '!Z8*100),0,B32*3.6/1000000/'E Balans VL '!Z8*100)</f>
        <v>0.1076656929245372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1913.3809999999999</v>
      </c>
      <c r="C5" s="17">
        <f>IF(ISERROR('Eigen informatie GS &amp; warmtenet'!B59),0,'Eigen informatie GS &amp; warmtenet'!B59)</f>
        <v>0</v>
      </c>
      <c r="D5" s="30">
        <f>SUM(D6:D15)</f>
        <v>1574.1369815428229</v>
      </c>
      <c r="E5" s="17">
        <f>SUM(E6:E15)</f>
        <v>210.34419756299982</v>
      </c>
      <c r="F5" s="17">
        <f>SUM(F6:F15)</f>
        <v>1140.2863949199132</v>
      </c>
      <c r="G5" s="18"/>
      <c r="H5" s="17"/>
      <c r="I5" s="17"/>
      <c r="J5" s="17">
        <f>SUM(J6:J15)</f>
        <v>10.450538324833811</v>
      </c>
      <c r="K5" s="17"/>
      <c r="L5" s="17"/>
      <c r="M5" s="17"/>
      <c r="N5" s="17">
        <f>SUM(N6:N15)</f>
        <v>231.57155946207939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547.71169999999995</v>
      </c>
      <c r="C9" s="33"/>
      <c r="D9" s="37">
        <f>IF( ISERROR(IND_andere_gas_kWh/1000),0,IND_andere_gas_kWh/1000)*0.902</f>
        <v>458.05877669819154</v>
      </c>
      <c r="E9" s="33">
        <f>C31*'E Balans VL '!I19/100/3.6*1000000</f>
        <v>150.59825307417489</v>
      </c>
      <c r="F9" s="33">
        <f>C31*'E Balans VL '!L19/100/3.6*1000000+C31*'E Balans VL '!N19/100/3.6*1000000</f>
        <v>431.69212827876862</v>
      </c>
      <c r="G9" s="34"/>
      <c r="H9" s="33"/>
      <c r="I9" s="33"/>
      <c r="J9" s="40">
        <f>C31*'E Balans VL '!D19/100/3.6*1000000+C31*'E Balans VL '!E19/100/3.6*1000000</f>
        <v>0</v>
      </c>
      <c r="K9" s="33"/>
      <c r="L9" s="33"/>
      <c r="M9" s="33"/>
      <c r="N9" s="33">
        <f>C31*'E Balans VL '!Y19/100/3.6*1000000</f>
        <v>44.12399969552542</v>
      </c>
      <c r="O9" s="33"/>
      <c r="P9" s="33"/>
      <c r="R9" s="32"/>
    </row>
    <row r="10" spans="1:18">
      <c r="A10" s="6" t="s">
        <v>40</v>
      </c>
      <c r="B10" s="37">
        <f t="shared" si="0"/>
        <v>239.18929999999997</v>
      </c>
      <c r="C10" s="33"/>
      <c r="D10" s="37">
        <f>IF( ISERROR(IND_voed_gas_kWh/1000),0,IND_voed_gas_kWh/1000)*0.902</f>
        <v>114.80759273278795</v>
      </c>
      <c r="E10" s="33">
        <f>C32*'E Balans VL '!I20/100/3.6*1000000</f>
        <v>2.4384031433627458</v>
      </c>
      <c r="F10" s="33">
        <f>C32*'E Balans VL '!L20/100/3.6*1000000+C32*'E Balans VL '!N20/100/3.6*1000000</f>
        <v>451.82709171533725</v>
      </c>
      <c r="G10" s="34"/>
      <c r="H10" s="33"/>
      <c r="I10" s="33"/>
      <c r="J10" s="40">
        <f>C32*'E Balans VL '!D20/100/3.6*1000000+C32*'E Balans VL '!E20/100/3.6*1000000</f>
        <v>5.7245825799328802</v>
      </c>
      <c r="K10" s="33"/>
      <c r="L10" s="33"/>
      <c r="M10" s="33"/>
      <c r="N10" s="33">
        <f>C32*'E Balans VL '!Y20/100/3.6*1000000</f>
        <v>126.08031232893003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1126.48</v>
      </c>
      <c r="C15" s="33"/>
      <c r="D15" s="37">
        <f>IF( ISERROR(IND_rest_gas_kWh/1000),0,IND_rest_gas_kWh/1000)*0.902</f>
        <v>1001.2706121118435</v>
      </c>
      <c r="E15" s="33">
        <f>C37*'E Balans VL '!I15/100/3.6*1000000</f>
        <v>57.307541345462205</v>
      </c>
      <c r="F15" s="33">
        <f>C37*'E Balans VL '!L15/100/3.6*1000000+C37*'E Balans VL '!N15/100/3.6*1000000</f>
        <v>256.76717492580724</v>
      </c>
      <c r="G15" s="34"/>
      <c r="H15" s="33"/>
      <c r="I15" s="33"/>
      <c r="J15" s="40">
        <f>C37*'E Balans VL '!D15/100/3.6*1000000+C37*'E Balans VL '!E15/100/3.6*1000000</f>
        <v>4.725955744900932</v>
      </c>
      <c r="K15" s="33"/>
      <c r="L15" s="33"/>
      <c r="M15" s="33"/>
      <c r="N15" s="33">
        <f>C37*'E Balans VL '!Y15/100/3.6*1000000</f>
        <v>61.367247437623952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1913.3809999999999</v>
      </c>
      <c r="C18" s="21">
        <f>C5+C16</f>
        <v>0</v>
      </c>
      <c r="D18" s="21">
        <f>MAX((D5+D16),0)</f>
        <v>1574.1369815428229</v>
      </c>
      <c r="E18" s="21">
        <f>MAX((E5+E16),0)</f>
        <v>210.34419756299982</v>
      </c>
      <c r="F18" s="21">
        <f>MAX((F5+F16),0)</f>
        <v>1140.2863949199132</v>
      </c>
      <c r="G18" s="21"/>
      <c r="H18" s="21"/>
      <c r="I18" s="21"/>
      <c r="J18" s="21">
        <f>MAX((J5+J16),0)</f>
        <v>10.450538324833811</v>
      </c>
      <c r="K18" s="21"/>
      <c r="L18" s="21">
        <f>MAX((L5+L16),0)</f>
        <v>0</v>
      </c>
      <c r="M18" s="21"/>
      <c r="N18" s="21">
        <f>MAX((N5+N16),0)</f>
        <v>231.57155946207939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0.20834463444400639</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398.64266499710737</v>
      </c>
      <c r="C22" s="23">
        <f ca="1">C18*C20</f>
        <v>0</v>
      </c>
      <c r="D22" s="23">
        <f>D18*D20</f>
        <v>317.97567027165024</v>
      </c>
      <c r="E22" s="23">
        <f>E18*E20</f>
        <v>47.748132846800964</v>
      </c>
      <c r="F22" s="23">
        <f>F18*F20</f>
        <v>304.45646744361682</v>
      </c>
      <c r="G22" s="23"/>
      <c r="H22" s="23"/>
      <c r="I22" s="23"/>
      <c r="J22" s="23">
        <f>J18*J20</f>
        <v>3.6994905669911691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547.71169999999995</v>
      </c>
      <c r="C31" s="39">
        <f>IF(ISERROR(B31*3.6/1000000/'E Balans VL '!Z19*100),0,B31*3.6/1000000/'E Balans VL '!Z19*100)</f>
        <v>2.3973252257538744E-2</v>
      </c>
      <c r="D31" s="232" t="s">
        <v>651</v>
      </c>
    </row>
    <row r="32" spans="1:18">
      <c r="A32" s="167" t="s">
        <v>40</v>
      </c>
      <c r="B32" s="37">
        <f>IF( ISERROR(IND_voed_ele_kWh/1000),0,IND_voed_ele_kWh/1000)</f>
        <v>239.18929999999997</v>
      </c>
      <c r="C32" s="39">
        <f>IF(ISERROR(B32*3.6/1000000/'E Balans VL '!Z20*100),0,B32*3.6/1000000/'E Balans VL '!Z20*100)</f>
        <v>5.9215327595143467E-2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1126.48</v>
      </c>
      <c r="C37" s="39">
        <f>IF(ISERROR(B37*3.6/1000000/'E Balans VL '!Z15*100),0,B37*3.6/1000000/'E Balans VL '!Z15*100)</f>
        <v>8.3526563384627855E-3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278.24700000000001</v>
      </c>
      <c r="C5" s="17">
        <f>'Eigen informatie GS &amp; warmtenet'!B60</f>
        <v>0</v>
      </c>
      <c r="D5" s="30">
        <f>IF(ISERROR(SUM(LB_lb_gas_kWh,LB_rest_gas_kWh)/1000),0,SUM(LB_lb_gas_kWh,LB_rest_gas_kWh)/1000)*0.902</f>
        <v>265.44717815688858</v>
      </c>
      <c r="E5" s="17">
        <f>B17*'E Balans VL '!I25/3.6*1000000/100</f>
        <v>5.9666005062646663</v>
      </c>
      <c r="F5" s="17">
        <f>B17*('E Balans VL '!L25/3.6*1000000+'E Balans VL '!N25/3.6*1000000)/100</f>
        <v>902.54410822166494</v>
      </c>
      <c r="G5" s="18"/>
      <c r="H5" s="17"/>
      <c r="I5" s="17"/>
      <c r="J5" s="17">
        <f>('E Balans VL '!D25+'E Balans VL '!E25)/3.6*1000000*landbouw!B17/100</f>
        <v>26.809245498086611</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278.24700000000001</v>
      </c>
      <c r="C8" s="21">
        <f>C5+C6</f>
        <v>0</v>
      </c>
      <c r="D8" s="21">
        <f>MAX((D5+D6),0)</f>
        <v>265.44717815688858</v>
      </c>
      <c r="E8" s="21">
        <f>MAX((E5+E6),0)</f>
        <v>5.9666005062646663</v>
      </c>
      <c r="F8" s="21">
        <f>MAX((F5+F6),0)</f>
        <v>902.54410822166494</v>
      </c>
      <c r="G8" s="21"/>
      <c r="H8" s="21"/>
      <c r="I8" s="21"/>
      <c r="J8" s="21">
        <f>MAX((J5+J6),0)</f>
        <v>26.809245498086611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0.20834463444400639</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57.971269500141446</v>
      </c>
      <c r="C12" s="23">
        <f ca="1">C8*C10</f>
        <v>0</v>
      </c>
      <c r="D12" s="23">
        <f>D8*D10</f>
        <v>53.620329987691498</v>
      </c>
      <c r="E12" s="23">
        <f>E8*E10</f>
        <v>1.3544183149220792</v>
      </c>
      <c r="F12" s="23">
        <f>F8*F10</f>
        <v>240.97927689518454</v>
      </c>
      <c r="G12" s="23"/>
      <c r="H12" s="23"/>
      <c r="I12" s="23"/>
      <c r="J12" s="23">
        <f>J8*J10</f>
        <v>9.4904729063226601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3.9560823543815349E-2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41.660775662996883</v>
      </c>
      <c r="C26" s="242">
        <f>B26*'GWP N2O_CH4'!B5</f>
        <v>874.87628892293458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2.4679147212263914</v>
      </c>
      <c r="C27" s="242">
        <f>B27*'GWP N2O_CH4'!B5</f>
        <v>51.82620914575422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0.72635491386279827</v>
      </c>
      <c r="C28" s="242">
        <f>B28*'GWP N2O_CH4'!B4</f>
        <v>225.17002329746745</v>
      </c>
      <c r="D28" s="50"/>
    </row>
    <row r="29" spans="1:4">
      <c r="A29" s="41" t="s">
        <v>266</v>
      </c>
      <c r="B29" s="242">
        <f>B34*'ha_N2O bodem landbouw'!B4</f>
        <v>9.8039047655798672</v>
      </c>
      <c r="C29" s="242">
        <f>B29*'GWP N2O_CH4'!B4</f>
        <v>3039.2104773297588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2.1988431204865069E-3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1.334449791816188E-4</v>
      </c>
      <c r="C5" s="428" t="s">
        <v>204</v>
      </c>
      <c r="D5" s="413">
        <f>SUM(D6:D11)</f>
        <v>2.0077127014904553E-4</v>
      </c>
      <c r="E5" s="413">
        <f>SUM(E6:E11)</f>
        <v>2.2306201329279534E-3</v>
      </c>
      <c r="F5" s="426" t="s">
        <v>204</v>
      </c>
      <c r="G5" s="413">
        <f>SUM(G6:G11)</f>
        <v>0.64262930226458626</v>
      </c>
      <c r="H5" s="413">
        <f>SUM(H6:H11)</f>
        <v>0.12679379897067561</v>
      </c>
      <c r="I5" s="428" t="s">
        <v>204</v>
      </c>
      <c r="J5" s="428" t="s">
        <v>204</v>
      </c>
      <c r="K5" s="428" t="s">
        <v>204</v>
      </c>
      <c r="L5" s="428" t="s">
        <v>204</v>
      </c>
      <c r="M5" s="413">
        <f>SUM(M6:M11)</f>
        <v>4.1125390690092883E-2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1.1935293875052638E-5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1.8051257875046106E-5</v>
      </c>
      <c r="E6" s="819">
        <f>vkm_GW_PW*SUMIFS(TableVerdeelsleutelVkm[LPG],TableVerdeelsleutelVkm[Voertuigtype],"Lichte voertuigen")*SUMIFS(TableECFTransport[EnergieConsumptieFactor (PJ per km)],TableECFTransport[Index],CONCATENATE($A6,"_LPG_LPG"))</f>
        <v>1.7633893704630611E-4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4.0943492434021643E-2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1.1152231912146468E-2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2.7139621599999962E-3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1.3716876286707487E-7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5.2645662915575394E-3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1.179658619038922E-7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3.0522813572759892E-4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2.3538126532981789E-5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5.3611147055545284E-5</v>
      </c>
      <c r="E8" s="416">
        <f>vkm_NGW_PW*SUMIFS(TableVerdeelsleutelVkm[LPG],TableVerdeelsleutelVkm[Voertuigtype],"Lichte voertuigen")*SUMIFS(TableECFTransport[EnergieConsumptieFactor (PJ per km)],TableECFTransport[Index],CONCATENATE($A8,"_LPG_LPG"))</f>
        <v>4.9804261218178495E-4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0.1077866903734009</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3.1919683638323565E-2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7.2228073194659775E-3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1.962251525040152E-7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9.6761457020919043E-3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2.0369118979054148E-7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5.6100154164409101E-4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9.3519036259014302E-5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1.2910886521845413E-4</v>
      </c>
      <c r="E10" s="416">
        <f>vkm_SW_PW*SUMIFS(TableVerdeelsleutelVkm[LPG],TableVerdeelsleutelVkm[Voertuigtype],"Lichte voertuigen")*SUMIFS(TableECFTransport[EnergieConsumptieFactor (PJ per km)],TableECFTransport[Index],CONCATENATE($A10,"_LPG_LPG"))</f>
        <v>1.5562385836998623E-3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0.32826013695097805</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8.3717915593152281E-2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2.1585224427872605E-2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4.1191285991989572E-6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0.15069827051253623</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3.6461700015917032E-6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8.7371671053826146E-3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37.068049772671891</v>
      </c>
      <c r="C14" s="21"/>
      <c r="D14" s="21">
        <f t="shared" ref="D14:M14" si="0">((D5)*10^9/3600)+D12</f>
        <v>55.769797263623758</v>
      </c>
      <c r="E14" s="21">
        <f t="shared" si="0"/>
        <v>619.61670359109814</v>
      </c>
      <c r="F14" s="21"/>
      <c r="G14" s="21">
        <f t="shared" si="0"/>
        <v>178508.13951794061</v>
      </c>
      <c r="H14" s="21">
        <f t="shared" si="0"/>
        <v>35220.499714076555</v>
      </c>
      <c r="I14" s="21"/>
      <c r="J14" s="21"/>
      <c r="K14" s="21"/>
      <c r="L14" s="21"/>
      <c r="M14" s="21">
        <f t="shared" si="0"/>
        <v>11423.719636136912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0.20834463444400639</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7.7229292794395592</v>
      </c>
      <c r="C18" s="23"/>
      <c r="D18" s="23">
        <f t="shared" ref="D18:M18" si="1">D14*D16</f>
        <v>11.265499047252</v>
      </c>
      <c r="E18" s="23">
        <f t="shared" si="1"/>
        <v>140.6529917151793</v>
      </c>
      <c r="F18" s="23"/>
      <c r="G18" s="23">
        <f t="shared" si="1"/>
        <v>47661.673251290144</v>
      </c>
      <c r="H18" s="23">
        <f t="shared" si="1"/>
        <v>8769.9044288050627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7.6059607487604543E-5</v>
      </c>
      <c r="C50" s="311">
        <f t="shared" ref="C50:P50" si="2">SUM(C51:C52)</f>
        <v>0</v>
      </c>
      <c r="D50" s="311">
        <f t="shared" si="2"/>
        <v>0</v>
      </c>
      <c r="E50" s="311">
        <f t="shared" si="2"/>
        <v>0</v>
      </c>
      <c r="F50" s="311">
        <f t="shared" si="2"/>
        <v>0</v>
      </c>
      <c r="G50" s="311">
        <f t="shared" si="2"/>
        <v>1.4412292304669812E-2</v>
      </c>
      <c r="H50" s="311">
        <f t="shared" si="2"/>
        <v>0</v>
      </c>
      <c r="I50" s="311">
        <f t="shared" si="2"/>
        <v>0</v>
      </c>
      <c r="J50" s="311">
        <f t="shared" si="2"/>
        <v>0</v>
      </c>
      <c r="K50" s="311">
        <f t="shared" si="2"/>
        <v>0</v>
      </c>
      <c r="L50" s="311">
        <f t="shared" si="2"/>
        <v>0</v>
      </c>
      <c r="M50" s="311">
        <f t="shared" si="2"/>
        <v>8.2968736274629867E-4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7.6059607487604543E-5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1.4412292304669812E-2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8.2968736274629867E-4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21.127668746556818</v>
      </c>
      <c r="C54" s="21">
        <f t="shared" ref="C54:P54" si="3">(C50)*10^9/3600</f>
        <v>0</v>
      </c>
      <c r="D54" s="21">
        <f t="shared" si="3"/>
        <v>0</v>
      </c>
      <c r="E54" s="21">
        <f t="shared" si="3"/>
        <v>0</v>
      </c>
      <c r="F54" s="21">
        <f t="shared" si="3"/>
        <v>0</v>
      </c>
      <c r="G54" s="21">
        <f t="shared" si="3"/>
        <v>4003.4145290749479</v>
      </c>
      <c r="H54" s="21">
        <f t="shared" si="3"/>
        <v>0</v>
      </c>
      <c r="I54" s="21">
        <f t="shared" si="3"/>
        <v>0</v>
      </c>
      <c r="J54" s="21">
        <f t="shared" si="3"/>
        <v>0</v>
      </c>
      <c r="K54" s="21">
        <f t="shared" si="3"/>
        <v>0</v>
      </c>
      <c r="L54" s="21">
        <f t="shared" si="3"/>
        <v>0</v>
      </c>
      <c r="M54" s="21">
        <f t="shared" si="3"/>
        <v>230.46871187397184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0.20834463444400639</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4.4018364216554389</v>
      </c>
      <c r="C58" s="23">
        <f t="shared" ref="C58:P58" ca="1" si="4">C54*C56</f>
        <v>0</v>
      </c>
      <c r="D58" s="23">
        <f t="shared" si="4"/>
        <v>0</v>
      </c>
      <c r="E58" s="23">
        <f t="shared" si="4"/>
        <v>0</v>
      </c>
      <c r="F58" s="23">
        <f t="shared" si="4"/>
        <v>0</v>
      </c>
      <c r="G58" s="23">
        <f t="shared" si="4"/>
        <v>1068.9116792630111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3988.990488946255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2367</v>
      </c>
      <c r="C8" s="535">
        <f>B48</f>
        <v>2784.705882352941</v>
      </c>
      <c r="D8" s="974"/>
      <c r="E8" s="974">
        <f>E48</f>
        <v>0</v>
      </c>
      <c r="F8" s="975"/>
      <c r="G8" s="536"/>
      <c r="H8" s="974">
        <f>I48</f>
        <v>0</v>
      </c>
      <c r="I8" s="974">
        <f>G48+F48</f>
        <v>0</v>
      </c>
      <c r="J8" s="974">
        <f>H48+D48+C48</f>
        <v>0</v>
      </c>
      <c r="K8" s="974"/>
      <c r="L8" s="974"/>
      <c r="M8" s="974"/>
      <c r="N8" s="537"/>
      <c r="O8" s="538">
        <f>C8*$C$12+D8*$D$12+E8*$E$12+F8*$F$12+G8*$G$12+H8*$H$12+I8*$I$12+J8*$J$12</f>
        <v>562.51058823529411</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6355.990488946255</v>
      </c>
      <c r="C10" s="548">
        <f t="shared" ref="C10:L10" si="0">SUM(C8:C9)</f>
        <v>2784.705882352941</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562.51058823529411</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3381.4285714285716</v>
      </c>
      <c r="C17" s="560">
        <f>B49</f>
        <v>3978.1512605042021</v>
      </c>
      <c r="D17" s="561"/>
      <c r="E17" s="561">
        <f>E49</f>
        <v>0</v>
      </c>
      <c r="F17" s="980"/>
      <c r="G17" s="562"/>
      <c r="H17" s="560">
        <f>I49</f>
        <v>0</v>
      </c>
      <c r="I17" s="561">
        <f>G49+F49</f>
        <v>0</v>
      </c>
      <c r="J17" s="561">
        <f>H49+D49+C49</f>
        <v>0</v>
      </c>
      <c r="K17" s="561"/>
      <c r="L17" s="561"/>
      <c r="M17" s="561"/>
      <c r="N17" s="981"/>
      <c r="O17" s="563">
        <f>C17*$C$22+E17*$E$22+H17*$H$22+I17*$I$22+J17*$J$22+D17*$D$22+F17*$F$22+G17*$G$22+K17*$K$22+L17*$L$22</f>
        <v>803.5865546218489</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3381.4285714285716</v>
      </c>
      <c r="C20" s="547">
        <f>SUM(C17:C19)</f>
        <v>3978.1512605042021</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803.5865546218489</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24055</v>
      </c>
      <c r="C28" s="725">
        <v>3071</v>
      </c>
      <c r="D28" s="618"/>
      <c r="E28" s="617"/>
      <c r="F28" s="617"/>
      <c r="G28" s="617" t="s">
        <v>904</v>
      </c>
      <c r="H28" s="617" t="s">
        <v>905</v>
      </c>
      <c r="I28" s="617"/>
      <c r="J28" s="724"/>
      <c r="K28" s="724"/>
      <c r="L28" s="617" t="s">
        <v>906</v>
      </c>
      <c r="M28" s="617">
        <v>526</v>
      </c>
      <c r="N28" s="617">
        <v>2367</v>
      </c>
      <c r="O28" s="617">
        <v>3381.4285714285716</v>
      </c>
      <c r="P28" s="617">
        <v>6762.8571428571431</v>
      </c>
      <c r="Q28" s="617">
        <v>0</v>
      </c>
      <c r="R28" s="617">
        <v>0</v>
      </c>
      <c r="S28" s="617">
        <v>0</v>
      </c>
      <c r="T28" s="617">
        <v>0</v>
      </c>
      <c r="U28" s="617">
        <v>0</v>
      </c>
      <c r="V28" s="617">
        <v>0</v>
      </c>
      <c r="W28" s="617">
        <v>0</v>
      </c>
      <c r="X28" s="617"/>
      <c r="Y28" s="617">
        <v>1100</v>
      </c>
      <c r="Z28" s="617" t="s">
        <v>51</v>
      </c>
      <c r="AA28" s="619" t="s">
        <v>149</v>
      </c>
    </row>
    <row r="29" spans="1:27" s="555" customFormat="1" hidden="1">
      <c r="A29" s="573" t="s">
        <v>269</v>
      </c>
      <c r="B29" s="574"/>
      <c r="C29" s="574"/>
      <c r="D29" s="574"/>
      <c r="E29" s="574"/>
      <c r="F29" s="574"/>
      <c r="G29" s="574"/>
      <c r="H29" s="574"/>
      <c r="I29" s="574"/>
      <c r="J29" s="574"/>
      <c r="K29" s="574"/>
      <c r="L29" s="575"/>
      <c r="M29" s="575">
        <f>SUM(M28:M28)</f>
        <v>526</v>
      </c>
      <c r="N29" s="575">
        <f>SUM(N28:N28)</f>
        <v>2367</v>
      </c>
      <c r="O29" s="575">
        <f>SUM(O28:O28)</f>
        <v>3381.4285714285716</v>
      </c>
      <c r="P29" s="575">
        <f>SUM(P28:P28)</f>
        <v>6762.8571428571431</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526</v>
      </c>
      <c r="N31" s="575">
        <f ca="1">SUMIF($AA$28:AE28,"tertiair",N28:N28)</f>
        <v>2367</v>
      </c>
      <c r="O31" s="575">
        <f ca="1">SUMIF($AA$28:AF28,"tertiair",O28:O28)</f>
        <v>3381.4285714285716</v>
      </c>
      <c r="P31" s="575">
        <f ca="1">SUMIF($AA$28:AG28,"tertiair",P28:P28)</f>
        <v>6762.8571428571431</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2784.705882352941</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3978.1512605042021</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27512.107400000001</v>
      </c>
      <c r="D10" s="943">
        <f ca="1">tertiair!C16</f>
        <v>3381.4285714285716</v>
      </c>
      <c r="E10" s="943">
        <f ca="1">tertiair!D16</f>
        <v>33271.785211834183</v>
      </c>
      <c r="F10" s="943">
        <f>tertiair!E16</f>
        <v>381.23429127022837</v>
      </c>
      <c r="G10" s="943">
        <f ca="1">tertiair!F16</f>
        <v>4955.4090537106231</v>
      </c>
      <c r="H10" s="943">
        <f>tertiair!G16</f>
        <v>0</v>
      </c>
      <c r="I10" s="943">
        <f>tertiair!H16</f>
        <v>0</v>
      </c>
      <c r="J10" s="943">
        <f>tertiair!I16</f>
        <v>0</v>
      </c>
      <c r="K10" s="943">
        <f>tertiair!J16</f>
        <v>0</v>
      </c>
      <c r="L10" s="943">
        <f>tertiair!K16</f>
        <v>0</v>
      </c>
      <c r="M10" s="943">
        <f ca="1">tertiair!L16</f>
        <v>0</v>
      </c>
      <c r="N10" s="943">
        <f>tertiair!M16</f>
        <v>0</v>
      </c>
      <c r="O10" s="943">
        <f ca="1">tertiair!N16</f>
        <v>1303.8679991563995</v>
      </c>
      <c r="P10" s="943">
        <f>tertiair!O16</f>
        <v>1.5633333333333335</v>
      </c>
      <c r="Q10" s="944">
        <f>tertiair!P16</f>
        <v>19.066666666666666</v>
      </c>
      <c r="R10" s="629">
        <f ca="1">SUM(C10:Q10)</f>
        <v>70826.462527400014</v>
      </c>
      <c r="S10" s="67"/>
    </row>
    <row r="11" spans="1:19" s="438" customFormat="1">
      <c r="A11" s="737" t="s">
        <v>214</v>
      </c>
      <c r="B11" s="742"/>
      <c r="C11" s="943">
        <f>huishoudens!B8</f>
        <v>35119.073799011327</v>
      </c>
      <c r="D11" s="943">
        <f>huishoudens!C8</f>
        <v>0</v>
      </c>
      <c r="E11" s="943">
        <f>huishoudens!D8</f>
        <v>81402.704975765126</v>
      </c>
      <c r="F11" s="943">
        <f>huishoudens!E8</f>
        <v>1370.6414438477764</v>
      </c>
      <c r="G11" s="943">
        <f>huishoudens!F8</f>
        <v>43239.461418976411</v>
      </c>
      <c r="H11" s="943">
        <f>huishoudens!G8</f>
        <v>0</v>
      </c>
      <c r="I11" s="943">
        <f>huishoudens!H8</f>
        <v>0</v>
      </c>
      <c r="J11" s="943">
        <f>huishoudens!I8</f>
        <v>0</v>
      </c>
      <c r="K11" s="943">
        <f>huishoudens!J8</f>
        <v>1008.3426068587961</v>
      </c>
      <c r="L11" s="943">
        <f>huishoudens!K8</f>
        <v>0</v>
      </c>
      <c r="M11" s="943">
        <f>huishoudens!L8</f>
        <v>0</v>
      </c>
      <c r="N11" s="943">
        <f>huishoudens!M8</f>
        <v>0</v>
      </c>
      <c r="O11" s="943">
        <f>huishoudens!N8</f>
        <v>9027.830596565138</v>
      </c>
      <c r="P11" s="943">
        <f>huishoudens!O8</f>
        <v>179.78333333333333</v>
      </c>
      <c r="Q11" s="944">
        <f>huishoudens!P8</f>
        <v>533.86666666666667</v>
      </c>
      <c r="R11" s="629">
        <f>SUM(C11:Q11)</f>
        <v>171881.70484102456</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1913.3809999999999</v>
      </c>
      <c r="D13" s="943">
        <f>industrie!C18</f>
        <v>0</v>
      </c>
      <c r="E13" s="943">
        <f>industrie!D18</f>
        <v>1574.1369815428229</v>
      </c>
      <c r="F13" s="943">
        <f>industrie!E18</f>
        <v>210.34419756299982</v>
      </c>
      <c r="G13" s="943">
        <f>industrie!F18</f>
        <v>1140.2863949199132</v>
      </c>
      <c r="H13" s="943">
        <f>industrie!G18</f>
        <v>0</v>
      </c>
      <c r="I13" s="943">
        <f>industrie!H18</f>
        <v>0</v>
      </c>
      <c r="J13" s="943">
        <f>industrie!I18</f>
        <v>0</v>
      </c>
      <c r="K13" s="943">
        <f>industrie!J18</f>
        <v>10.450538324833811</v>
      </c>
      <c r="L13" s="943">
        <f>industrie!K18</f>
        <v>0</v>
      </c>
      <c r="M13" s="943">
        <f>industrie!L18</f>
        <v>0</v>
      </c>
      <c r="N13" s="943">
        <f>industrie!M18</f>
        <v>0</v>
      </c>
      <c r="O13" s="943">
        <f>industrie!N18</f>
        <v>231.57155946207939</v>
      </c>
      <c r="P13" s="943">
        <f>industrie!O18</f>
        <v>0</v>
      </c>
      <c r="Q13" s="944">
        <f>industrie!P18</f>
        <v>0</v>
      </c>
      <c r="R13" s="629">
        <f>SUM(C13:Q13)</f>
        <v>5080.1706718126488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64544.562199011329</v>
      </c>
      <c r="D16" s="661">
        <f t="shared" ref="D16:R16" ca="1" si="0">SUM(D9:D15)</f>
        <v>3381.4285714285716</v>
      </c>
      <c r="E16" s="661">
        <f t="shared" ca="1" si="0"/>
        <v>116248.62716914213</v>
      </c>
      <c r="F16" s="661">
        <f t="shared" si="0"/>
        <v>1962.2199326810046</v>
      </c>
      <c r="G16" s="661">
        <f t="shared" ca="1" si="0"/>
        <v>49335.156867606951</v>
      </c>
      <c r="H16" s="661">
        <f t="shared" si="0"/>
        <v>0</v>
      </c>
      <c r="I16" s="661">
        <f t="shared" si="0"/>
        <v>0</v>
      </c>
      <c r="J16" s="661">
        <f t="shared" si="0"/>
        <v>0</v>
      </c>
      <c r="K16" s="661">
        <f t="shared" si="0"/>
        <v>1018.7931451836299</v>
      </c>
      <c r="L16" s="661">
        <f t="shared" si="0"/>
        <v>0</v>
      </c>
      <c r="M16" s="661">
        <f t="shared" ca="1" si="0"/>
        <v>0</v>
      </c>
      <c r="N16" s="661">
        <f t="shared" si="0"/>
        <v>0</v>
      </c>
      <c r="O16" s="661">
        <f t="shared" ca="1" si="0"/>
        <v>10563.270155183616</v>
      </c>
      <c r="P16" s="661">
        <f t="shared" si="0"/>
        <v>181.34666666666666</v>
      </c>
      <c r="Q16" s="661">
        <f t="shared" si="0"/>
        <v>552.93333333333339</v>
      </c>
      <c r="R16" s="661">
        <f t="shared" ca="1" si="0"/>
        <v>247788.33804023723</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21.127668746556818</v>
      </c>
      <c r="D19" s="943">
        <f>transport!C54</f>
        <v>0</v>
      </c>
      <c r="E19" s="943">
        <f>transport!D54</f>
        <v>0</v>
      </c>
      <c r="F19" s="943">
        <f>transport!E54</f>
        <v>0</v>
      </c>
      <c r="G19" s="943">
        <f>transport!F54</f>
        <v>0</v>
      </c>
      <c r="H19" s="943">
        <f>transport!G54</f>
        <v>4003.4145290749479</v>
      </c>
      <c r="I19" s="943">
        <f>transport!H54</f>
        <v>0</v>
      </c>
      <c r="J19" s="943">
        <f>transport!I54</f>
        <v>0</v>
      </c>
      <c r="K19" s="943">
        <f>transport!J54</f>
        <v>0</v>
      </c>
      <c r="L19" s="943">
        <f>transport!K54</f>
        <v>0</v>
      </c>
      <c r="M19" s="943">
        <f>transport!L54</f>
        <v>0</v>
      </c>
      <c r="N19" s="943">
        <f>transport!M54</f>
        <v>230.46871187397184</v>
      </c>
      <c r="O19" s="943">
        <f>transport!N54</f>
        <v>0</v>
      </c>
      <c r="P19" s="943">
        <f>transport!O54</f>
        <v>0</v>
      </c>
      <c r="Q19" s="944">
        <f>transport!P54</f>
        <v>0</v>
      </c>
      <c r="R19" s="629">
        <f>SUM(C19:Q19)</f>
        <v>4255.0109096954766</v>
      </c>
      <c r="S19" s="67"/>
    </row>
    <row r="20" spans="1:19" s="438" customFormat="1">
      <c r="A20" s="737" t="s">
        <v>296</v>
      </c>
      <c r="B20" s="742"/>
      <c r="C20" s="943">
        <f>transport!B14</f>
        <v>37.068049772671891</v>
      </c>
      <c r="D20" s="943">
        <f>transport!C14</f>
        <v>0</v>
      </c>
      <c r="E20" s="943">
        <f>transport!D14</f>
        <v>55.769797263623758</v>
      </c>
      <c r="F20" s="943">
        <f>transport!E14</f>
        <v>619.61670359109814</v>
      </c>
      <c r="G20" s="943">
        <f>transport!F14</f>
        <v>0</v>
      </c>
      <c r="H20" s="943">
        <f>transport!G14</f>
        <v>178508.13951794061</v>
      </c>
      <c r="I20" s="943">
        <f>transport!H14</f>
        <v>35220.499714076555</v>
      </c>
      <c r="J20" s="943">
        <f>transport!I14</f>
        <v>0</v>
      </c>
      <c r="K20" s="943">
        <f>transport!J14</f>
        <v>0</v>
      </c>
      <c r="L20" s="943">
        <f>transport!K14</f>
        <v>0</v>
      </c>
      <c r="M20" s="943">
        <f>transport!L14</f>
        <v>0</v>
      </c>
      <c r="N20" s="943">
        <f>transport!M14</f>
        <v>11423.719636136912</v>
      </c>
      <c r="O20" s="943">
        <f>transport!N14</f>
        <v>0</v>
      </c>
      <c r="P20" s="943">
        <f>transport!O14</f>
        <v>0</v>
      </c>
      <c r="Q20" s="944">
        <f>transport!P14</f>
        <v>0</v>
      </c>
      <c r="R20" s="629">
        <f>SUM(C20:Q20)</f>
        <v>225864.81341878144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58.195718519228706</v>
      </c>
      <c r="D22" s="740">
        <f t="shared" ref="D22:R22" si="1">SUM(D18:D21)</f>
        <v>0</v>
      </c>
      <c r="E22" s="740">
        <f t="shared" si="1"/>
        <v>55.769797263623758</v>
      </c>
      <c r="F22" s="740">
        <f t="shared" si="1"/>
        <v>619.61670359109814</v>
      </c>
      <c r="G22" s="740">
        <f t="shared" si="1"/>
        <v>0</v>
      </c>
      <c r="H22" s="740">
        <f t="shared" si="1"/>
        <v>182511.55404701555</v>
      </c>
      <c r="I22" s="740">
        <f t="shared" si="1"/>
        <v>35220.499714076555</v>
      </c>
      <c r="J22" s="740">
        <f t="shared" si="1"/>
        <v>0</v>
      </c>
      <c r="K22" s="740">
        <f t="shared" si="1"/>
        <v>0</v>
      </c>
      <c r="L22" s="740">
        <f t="shared" si="1"/>
        <v>0</v>
      </c>
      <c r="M22" s="740">
        <f t="shared" si="1"/>
        <v>0</v>
      </c>
      <c r="N22" s="740">
        <f t="shared" si="1"/>
        <v>11654.188348010883</v>
      </c>
      <c r="O22" s="740">
        <f t="shared" si="1"/>
        <v>0</v>
      </c>
      <c r="P22" s="740">
        <f t="shared" si="1"/>
        <v>0</v>
      </c>
      <c r="Q22" s="740">
        <f t="shared" si="1"/>
        <v>0</v>
      </c>
      <c r="R22" s="740">
        <f t="shared" si="1"/>
        <v>230119.82432847691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278.24700000000001</v>
      </c>
      <c r="D24" s="943">
        <f>+landbouw!C8</f>
        <v>0</v>
      </c>
      <c r="E24" s="943">
        <f>+landbouw!D8</f>
        <v>265.44717815688858</v>
      </c>
      <c r="F24" s="943">
        <f>+landbouw!E8</f>
        <v>5.9666005062646663</v>
      </c>
      <c r="G24" s="943">
        <f>+landbouw!F8</f>
        <v>902.54410822166494</v>
      </c>
      <c r="H24" s="943">
        <f>+landbouw!G8</f>
        <v>0</v>
      </c>
      <c r="I24" s="943">
        <f>+landbouw!H8</f>
        <v>0</v>
      </c>
      <c r="J24" s="943">
        <f>+landbouw!I8</f>
        <v>0</v>
      </c>
      <c r="K24" s="943">
        <f>+landbouw!J8</f>
        <v>26.809245498086611</v>
      </c>
      <c r="L24" s="943">
        <f>+landbouw!K8</f>
        <v>0</v>
      </c>
      <c r="M24" s="943">
        <f>+landbouw!L8</f>
        <v>0</v>
      </c>
      <c r="N24" s="943">
        <f>+landbouw!M8</f>
        <v>0</v>
      </c>
      <c r="O24" s="943">
        <f>+landbouw!N8</f>
        <v>0</v>
      </c>
      <c r="P24" s="943">
        <f>+landbouw!O8</f>
        <v>0</v>
      </c>
      <c r="Q24" s="944">
        <f>+landbouw!P8</f>
        <v>0</v>
      </c>
      <c r="R24" s="629">
        <f>SUM(C24:Q24)</f>
        <v>1479.0141323829048</v>
      </c>
      <c r="S24" s="67"/>
    </row>
    <row r="25" spans="1:19" s="438" customFormat="1" ht="15" thickBot="1">
      <c r="A25" s="759" t="s">
        <v>802</v>
      </c>
      <c r="B25" s="946"/>
      <c r="C25" s="947">
        <f>IF(Onbekend_ele_kWh="---",0,Onbekend_ele_kWh)/1000+IF(REST_rest_ele_kWh="---",0,REST_rest_ele_kWh)/1000</f>
        <v>1664.944</v>
      </c>
      <c r="D25" s="947"/>
      <c r="E25" s="947">
        <f>IF(onbekend_gas_kWh="---",0,onbekend_gas_kWh)/1000+IF(REST_rest_gas_kWh="---",0,REST_rest_gas_kWh)/1000</f>
        <v>3265.4553296249801</v>
      </c>
      <c r="F25" s="947"/>
      <c r="G25" s="947"/>
      <c r="H25" s="947"/>
      <c r="I25" s="947"/>
      <c r="J25" s="947"/>
      <c r="K25" s="947"/>
      <c r="L25" s="947"/>
      <c r="M25" s="947"/>
      <c r="N25" s="947"/>
      <c r="O25" s="947"/>
      <c r="P25" s="947"/>
      <c r="Q25" s="948"/>
      <c r="R25" s="629">
        <f>SUM(C25:Q25)</f>
        <v>4930.3993296249801</v>
      </c>
      <c r="S25" s="67"/>
    </row>
    <row r="26" spans="1:19" s="438" customFormat="1" ht="15.75" thickBot="1">
      <c r="A26" s="634" t="s">
        <v>803</v>
      </c>
      <c r="B26" s="745"/>
      <c r="C26" s="740">
        <f>SUM(C24:C25)</f>
        <v>1943.191</v>
      </c>
      <c r="D26" s="740">
        <f t="shared" ref="D26:R26" si="2">SUM(D24:D25)</f>
        <v>0</v>
      </c>
      <c r="E26" s="740">
        <f t="shared" si="2"/>
        <v>3530.9025077818687</v>
      </c>
      <c r="F26" s="740">
        <f t="shared" si="2"/>
        <v>5.9666005062646663</v>
      </c>
      <c r="G26" s="740">
        <f t="shared" si="2"/>
        <v>902.54410822166494</v>
      </c>
      <c r="H26" s="740">
        <f t="shared" si="2"/>
        <v>0</v>
      </c>
      <c r="I26" s="740">
        <f t="shared" si="2"/>
        <v>0</v>
      </c>
      <c r="J26" s="740">
        <f t="shared" si="2"/>
        <v>0</v>
      </c>
      <c r="K26" s="740">
        <f t="shared" si="2"/>
        <v>26.809245498086611</v>
      </c>
      <c r="L26" s="740">
        <f t="shared" si="2"/>
        <v>0</v>
      </c>
      <c r="M26" s="740">
        <f t="shared" si="2"/>
        <v>0</v>
      </c>
      <c r="N26" s="740">
        <f t="shared" si="2"/>
        <v>0</v>
      </c>
      <c r="O26" s="740">
        <f t="shared" si="2"/>
        <v>0</v>
      </c>
      <c r="P26" s="740">
        <f t="shared" si="2"/>
        <v>0</v>
      </c>
      <c r="Q26" s="740">
        <f t="shared" si="2"/>
        <v>0</v>
      </c>
      <c r="R26" s="740">
        <f t="shared" si="2"/>
        <v>6409.4134620078848</v>
      </c>
      <c r="S26" s="67"/>
    </row>
    <row r="27" spans="1:19" s="438" customFormat="1" ht="17.25" thickTop="1" thickBot="1">
      <c r="A27" s="635" t="s">
        <v>109</v>
      </c>
      <c r="B27" s="733"/>
      <c r="C27" s="636">
        <f ca="1">C22+C16+C26</f>
        <v>66545.948917530564</v>
      </c>
      <c r="D27" s="636">
        <f t="shared" ref="D27:R27" ca="1" si="3">D22+D16+D26</f>
        <v>3381.4285714285716</v>
      </c>
      <c r="E27" s="636">
        <f t="shared" ca="1" si="3"/>
        <v>119835.29947418762</v>
      </c>
      <c r="F27" s="636">
        <f t="shared" si="3"/>
        <v>2587.8032367783671</v>
      </c>
      <c r="G27" s="636">
        <f t="shared" ca="1" si="3"/>
        <v>50237.700975828615</v>
      </c>
      <c r="H27" s="636">
        <f t="shared" si="3"/>
        <v>182511.55404701555</v>
      </c>
      <c r="I27" s="636">
        <f t="shared" si="3"/>
        <v>35220.499714076555</v>
      </c>
      <c r="J27" s="636">
        <f t="shared" si="3"/>
        <v>0</v>
      </c>
      <c r="K27" s="636">
        <f t="shared" si="3"/>
        <v>1045.6023906817165</v>
      </c>
      <c r="L27" s="636">
        <f t="shared" si="3"/>
        <v>0</v>
      </c>
      <c r="M27" s="636">
        <f t="shared" ca="1" si="3"/>
        <v>0</v>
      </c>
      <c r="N27" s="636">
        <f t="shared" si="3"/>
        <v>11654.188348010883</v>
      </c>
      <c r="O27" s="636">
        <f t="shared" ca="1" si="3"/>
        <v>10563.270155183616</v>
      </c>
      <c r="P27" s="636">
        <f t="shared" si="3"/>
        <v>181.34666666666666</v>
      </c>
      <c r="Q27" s="636">
        <f t="shared" si="3"/>
        <v>552.93333333333339</v>
      </c>
      <c r="R27" s="636">
        <f t="shared" ca="1" si="3"/>
        <v>484317.57583072199</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5731.9999590372427</v>
      </c>
      <c r="D40" s="943">
        <f ca="1">tertiair!C20</f>
        <v>803.5865546218489</v>
      </c>
      <c r="E40" s="943">
        <f ca="1">tertiair!D20</f>
        <v>6720.9006127905059</v>
      </c>
      <c r="F40" s="943">
        <f>tertiair!E20</f>
        <v>86.540184118341841</v>
      </c>
      <c r="G40" s="943">
        <f ca="1">tertiair!F20</f>
        <v>1323.0942173407363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14666.121527908675</v>
      </c>
    </row>
    <row r="41" spans="1:18">
      <c r="A41" s="750" t="s">
        <v>214</v>
      </c>
      <c r="B41" s="757"/>
      <c r="C41" s="943">
        <f ca="1">huishoudens!B12</f>
        <v>7316.8705926670973</v>
      </c>
      <c r="D41" s="943">
        <f ca="1">huishoudens!C12</f>
        <v>0</v>
      </c>
      <c r="E41" s="943">
        <f>huishoudens!D12</f>
        <v>16443.346405104556</v>
      </c>
      <c r="F41" s="943">
        <f>huishoudens!E12</f>
        <v>311.13560775344524</v>
      </c>
      <c r="G41" s="943">
        <f>huishoudens!F12</f>
        <v>11544.936198866702</v>
      </c>
      <c r="H41" s="943">
        <f>huishoudens!G12</f>
        <v>0</v>
      </c>
      <c r="I41" s="943">
        <f>huishoudens!H12</f>
        <v>0</v>
      </c>
      <c r="J41" s="943">
        <f>huishoudens!I12</f>
        <v>0</v>
      </c>
      <c r="K41" s="943">
        <f>huishoudens!J12</f>
        <v>356.95328282801381</v>
      </c>
      <c r="L41" s="943">
        <f>huishoudens!K12</f>
        <v>0</v>
      </c>
      <c r="M41" s="943">
        <f>huishoudens!L12</f>
        <v>0</v>
      </c>
      <c r="N41" s="943">
        <f>huishoudens!M12</f>
        <v>0</v>
      </c>
      <c r="O41" s="943">
        <f>huishoudens!N12</f>
        <v>0</v>
      </c>
      <c r="P41" s="943">
        <f>huishoudens!O12</f>
        <v>0</v>
      </c>
      <c r="Q41" s="703">
        <f>huishoudens!P12</f>
        <v>0</v>
      </c>
      <c r="R41" s="778">
        <f t="shared" ca="1" si="4"/>
        <v>35973.242087219813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398.64266499710737</v>
      </c>
      <c r="D43" s="943">
        <f ca="1">industrie!C22</f>
        <v>0</v>
      </c>
      <c r="E43" s="943">
        <f>industrie!D22</f>
        <v>317.97567027165024</v>
      </c>
      <c r="F43" s="943">
        <f>industrie!E22</f>
        <v>47.748132846800964</v>
      </c>
      <c r="G43" s="943">
        <f>industrie!F22</f>
        <v>304.45646744361682</v>
      </c>
      <c r="H43" s="943">
        <f>industrie!G22</f>
        <v>0</v>
      </c>
      <c r="I43" s="943">
        <f>industrie!H22</f>
        <v>0</v>
      </c>
      <c r="J43" s="943">
        <f>industrie!I22</f>
        <v>0</v>
      </c>
      <c r="K43" s="943">
        <f>industrie!J22</f>
        <v>3.6994905669911691</v>
      </c>
      <c r="L43" s="943">
        <f>industrie!K22</f>
        <v>0</v>
      </c>
      <c r="M43" s="943">
        <f>industrie!L22</f>
        <v>0</v>
      </c>
      <c r="N43" s="943">
        <f>industrie!M22</f>
        <v>0</v>
      </c>
      <c r="O43" s="943">
        <f>industrie!N22</f>
        <v>0</v>
      </c>
      <c r="P43" s="943">
        <f>industrie!O22</f>
        <v>0</v>
      </c>
      <c r="Q43" s="703">
        <f>industrie!P22</f>
        <v>0</v>
      </c>
      <c r="R43" s="777">
        <f t="shared" ca="1" si="4"/>
        <v>1072.5224261261667</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13447.513216701447</v>
      </c>
      <c r="D46" s="661">
        <f t="shared" ref="D46:Q46" ca="1" si="5">SUM(D39:D45)</f>
        <v>803.5865546218489</v>
      </c>
      <c r="E46" s="661">
        <f t="shared" ca="1" si="5"/>
        <v>23482.222688166712</v>
      </c>
      <c r="F46" s="661">
        <f t="shared" si="5"/>
        <v>445.42392471858801</v>
      </c>
      <c r="G46" s="661">
        <f t="shared" ca="1" si="5"/>
        <v>13172.486883651056</v>
      </c>
      <c r="H46" s="661">
        <f t="shared" si="5"/>
        <v>0</v>
      </c>
      <c r="I46" s="661">
        <f t="shared" si="5"/>
        <v>0</v>
      </c>
      <c r="J46" s="661">
        <f t="shared" si="5"/>
        <v>0</v>
      </c>
      <c r="K46" s="661">
        <f t="shared" si="5"/>
        <v>360.652773395005</v>
      </c>
      <c r="L46" s="661">
        <f t="shared" si="5"/>
        <v>0</v>
      </c>
      <c r="M46" s="661">
        <f t="shared" ca="1" si="5"/>
        <v>0</v>
      </c>
      <c r="N46" s="661">
        <f t="shared" si="5"/>
        <v>0</v>
      </c>
      <c r="O46" s="661">
        <f t="shared" ca="1" si="5"/>
        <v>0</v>
      </c>
      <c r="P46" s="661">
        <f t="shared" si="5"/>
        <v>0</v>
      </c>
      <c r="Q46" s="661">
        <f t="shared" si="5"/>
        <v>0</v>
      </c>
      <c r="R46" s="661">
        <f ca="1">SUM(R39:R45)</f>
        <v>51711.886041254656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4.4018364216554389</v>
      </c>
      <c r="D49" s="943">
        <f ca="1">transport!C58</f>
        <v>0</v>
      </c>
      <c r="E49" s="943">
        <f>transport!D58</f>
        <v>0</v>
      </c>
      <c r="F49" s="943">
        <f>transport!E58</f>
        <v>0</v>
      </c>
      <c r="G49" s="943">
        <f>transport!F58</f>
        <v>0</v>
      </c>
      <c r="H49" s="943">
        <f>transport!G58</f>
        <v>1068.9116792630111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1073.3135156846665</v>
      </c>
    </row>
    <row r="50" spans="1:18">
      <c r="A50" s="753" t="s">
        <v>296</v>
      </c>
      <c r="B50" s="763"/>
      <c r="C50" s="632">
        <f ca="1">transport!B18</f>
        <v>7.7229292794395592</v>
      </c>
      <c r="D50" s="632">
        <f>transport!C18</f>
        <v>0</v>
      </c>
      <c r="E50" s="632">
        <f>transport!D18</f>
        <v>11.265499047252</v>
      </c>
      <c r="F50" s="632">
        <f>transport!E18</f>
        <v>140.6529917151793</v>
      </c>
      <c r="G50" s="632">
        <f>transport!F18</f>
        <v>0</v>
      </c>
      <c r="H50" s="632">
        <f>transport!G18</f>
        <v>47661.673251290144</v>
      </c>
      <c r="I50" s="632">
        <f>transport!H18</f>
        <v>8769.9044288050627</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56591.219100137081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12.124765701094997</v>
      </c>
      <c r="D52" s="661">
        <f t="shared" ref="D52:Q52" ca="1" si="6">SUM(D48:D51)</f>
        <v>0</v>
      </c>
      <c r="E52" s="661">
        <f t="shared" si="6"/>
        <v>11.265499047252</v>
      </c>
      <c r="F52" s="661">
        <f t="shared" si="6"/>
        <v>140.6529917151793</v>
      </c>
      <c r="G52" s="661">
        <f t="shared" si="6"/>
        <v>0</v>
      </c>
      <c r="H52" s="661">
        <f t="shared" si="6"/>
        <v>48730.584930553152</v>
      </c>
      <c r="I52" s="661">
        <f t="shared" si="6"/>
        <v>8769.9044288050627</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57664.53261582175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57.971269500141446</v>
      </c>
      <c r="D54" s="632">
        <f ca="1">+landbouw!C12</f>
        <v>0</v>
      </c>
      <c r="E54" s="632">
        <f>+landbouw!D12</f>
        <v>53.620329987691498</v>
      </c>
      <c r="F54" s="632">
        <f>+landbouw!E12</f>
        <v>1.3544183149220792</v>
      </c>
      <c r="G54" s="632">
        <f>+landbouw!F12</f>
        <v>240.97927689518454</v>
      </c>
      <c r="H54" s="632">
        <f>+landbouw!G12</f>
        <v>0</v>
      </c>
      <c r="I54" s="632">
        <f>+landbouw!H12</f>
        <v>0</v>
      </c>
      <c r="J54" s="632">
        <f>+landbouw!I12</f>
        <v>0</v>
      </c>
      <c r="K54" s="632">
        <f>+landbouw!J12</f>
        <v>9.4904729063226601</v>
      </c>
      <c r="L54" s="632">
        <f>+landbouw!K12</f>
        <v>0</v>
      </c>
      <c r="M54" s="632">
        <f>+landbouw!L12</f>
        <v>0</v>
      </c>
      <c r="N54" s="632">
        <f>+landbouw!M12</f>
        <v>0</v>
      </c>
      <c r="O54" s="632">
        <f>+landbouw!N12</f>
        <v>0</v>
      </c>
      <c r="P54" s="632">
        <f>+landbouw!O12</f>
        <v>0</v>
      </c>
      <c r="Q54" s="633">
        <f>+landbouw!P12</f>
        <v>0</v>
      </c>
      <c r="R54" s="660">
        <f ca="1">SUM(C54:Q54)</f>
        <v>363.41576760426227</v>
      </c>
    </row>
    <row r="55" spans="1:18" ht="15" thickBot="1">
      <c r="A55" s="753" t="s">
        <v>802</v>
      </c>
      <c r="B55" s="763"/>
      <c r="C55" s="632">
        <f ca="1">C25*'EF ele_warmte'!B12</f>
        <v>346.88214904974177</v>
      </c>
      <c r="D55" s="632"/>
      <c r="E55" s="632">
        <f>E25*EF_CO2_aardgas</f>
        <v>659.621976584246</v>
      </c>
      <c r="F55" s="632"/>
      <c r="G55" s="632"/>
      <c r="H55" s="632"/>
      <c r="I55" s="632"/>
      <c r="J55" s="632"/>
      <c r="K55" s="632"/>
      <c r="L55" s="632"/>
      <c r="M55" s="632"/>
      <c r="N55" s="632"/>
      <c r="O55" s="632"/>
      <c r="P55" s="632"/>
      <c r="Q55" s="633"/>
      <c r="R55" s="660">
        <f ca="1">SUM(C55:Q55)</f>
        <v>1006.5041256339878</v>
      </c>
    </row>
    <row r="56" spans="1:18" ht="15.75" thickBot="1">
      <c r="A56" s="751" t="s">
        <v>803</v>
      </c>
      <c r="B56" s="764"/>
      <c r="C56" s="661">
        <f ca="1">SUM(C54:C55)</f>
        <v>404.8534185498832</v>
      </c>
      <c r="D56" s="661">
        <f t="shared" ref="D56:Q56" ca="1" si="7">SUM(D54:D55)</f>
        <v>0</v>
      </c>
      <c r="E56" s="661">
        <f t="shared" si="7"/>
        <v>713.24230657193755</v>
      </c>
      <c r="F56" s="661">
        <f t="shared" si="7"/>
        <v>1.3544183149220792</v>
      </c>
      <c r="G56" s="661">
        <f t="shared" si="7"/>
        <v>240.97927689518454</v>
      </c>
      <c r="H56" s="661">
        <f t="shared" si="7"/>
        <v>0</v>
      </c>
      <c r="I56" s="661">
        <f t="shared" si="7"/>
        <v>0</v>
      </c>
      <c r="J56" s="661">
        <f t="shared" si="7"/>
        <v>0</v>
      </c>
      <c r="K56" s="661">
        <f t="shared" si="7"/>
        <v>9.4904729063226601</v>
      </c>
      <c r="L56" s="661">
        <f t="shared" si="7"/>
        <v>0</v>
      </c>
      <c r="M56" s="661">
        <f t="shared" si="7"/>
        <v>0</v>
      </c>
      <c r="N56" s="661">
        <f t="shared" si="7"/>
        <v>0</v>
      </c>
      <c r="O56" s="661">
        <f t="shared" si="7"/>
        <v>0</v>
      </c>
      <c r="P56" s="661">
        <f t="shared" si="7"/>
        <v>0</v>
      </c>
      <c r="Q56" s="662">
        <f t="shared" si="7"/>
        <v>0</v>
      </c>
      <c r="R56" s="663">
        <f ca="1">SUM(R54:R55)</f>
        <v>1369.9198932382501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13864.491400952425</v>
      </c>
      <c r="D61" s="669">
        <f t="shared" ref="D61:Q61" ca="1" si="8">D46+D52+D56</f>
        <v>803.5865546218489</v>
      </c>
      <c r="E61" s="669">
        <f t="shared" ca="1" si="8"/>
        <v>24206.730493785901</v>
      </c>
      <c r="F61" s="669">
        <f t="shared" si="8"/>
        <v>587.43133474868944</v>
      </c>
      <c r="G61" s="669">
        <f t="shared" ca="1" si="8"/>
        <v>13413.466160546241</v>
      </c>
      <c r="H61" s="669">
        <f t="shared" si="8"/>
        <v>48730.584930553152</v>
      </c>
      <c r="I61" s="669">
        <f t="shared" si="8"/>
        <v>8769.9044288050627</v>
      </c>
      <c r="J61" s="669">
        <f t="shared" si="8"/>
        <v>0</v>
      </c>
      <c r="K61" s="669">
        <f t="shared" si="8"/>
        <v>370.14324630132768</v>
      </c>
      <c r="L61" s="669">
        <f t="shared" si="8"/>
        <v>0</v>
      </c>
      <c r="M61" s="669">
        <f t="shared" ca="1" si="8"/>
        <v>0</v>
      </c>
      <c r="N61" s="669">
        <f t="shared" si="8"/>
        <v>0</v>
      </c>
      <c r="O61" s="669">
        <f t="shared" ca="1" si="8"/>
        <v>0</v>
      </c>
      <c r="P61" s="669">
        <f t="shared" si="8"/>
        <v>0</v>
      </c>
      <c r="Q61" s="669">
        <f t="shared" si="8"/>
        <v>0</v>
      </c>
      <c r="R61" s="669">
        <f ca="1">R46+R52+R56</f>
        <v>110746.33855031466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0.20834463444400636</v>
      </c>
      <c r="D63" s="710">
        <f t="shared" ca="1" si="9"/>
        <v>0.23764705882352946</v>
      </c>
      <c r="E63" s="954">
        <f t="shared" ca="1" si="9"/>
        <v>0.20200000000000001</v>
      </c>
      <c r="F63" s="710">
        <f t="shared" si="9"/>
        <v>0.22700000000000004</v>
      </c>
      <c r="G63" s="710">
        <f t="shared" ca="1" si="9"/>
        <v>0.26700000000000002</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3988.990488946255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2367</v>
      </c>
      <c r="D76" s="964">
        <f>'lokale energieproductie'!C8</f>
        <v>2784.705882352941</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562.51058823529411</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3988.990488946255</v>
      </c>
      <c r="C78" s="684">
        <f>SUM(C72:C77)</f>
        <v>2367</v>
      </c>
      <c r="D78" s="685">
        <f t="shared" ref="D78:H78" si="10">SUM(D76:D77)</f>
        <v>2784.705882352941</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562.51058823529411</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3381.4285714285716</v>
      </c>
      <c r="D87" s="706">
        <f>'lokale energieproductie'!C17</f>
        <v>3978.1512605042021</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803.5865546218489</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3381.4285714285716</v>
      </c>
      <c r="D90" s="684">
        <f t="shared" ref="D90:H90" si="12">SUM(D87:D89)</f>
        <v>3978.1512605042021</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803.5865546218489</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35119.073799011327</v>
      </c>
      <c r="C4" s="442">
        <f>huishoudens!C8</f>
        <v>0</v>
      </c>
      <c r="D4" s="442">
        <f>huishoudens!D8</f>
        <v>81402.704975765126</v>
      </c>
      <c r="E4" s="442">
        <f>huishoudens!E8</f>
        <v>1370.6414438477764</v>
      </c>
      <c r="F4" s="442">
        <f>huishoudens!F8</f>
        <v>43239.461418976411</v>
      </c>
      <c r="G4" s="442">
        <f>huishoudens!G8</f>
        <v>0</v>
      </c>
      <c r="H4" s="442">
        <f>huishoudens!H8</f>
        <v>0</v>
      </c>
      <c r="I4" s="442">
        <f>huishoudens!I8</f>
        <v>0</v>
      </c>
      <c r="J4" s="442">
        <f>huishoudens!J8</f>
        <v>1008.3426068587961</v>
      </c>
      <c r="K4" s="442">
        <f>huishoudens!K8</f>
        <v>0</v>
      </c>
      <c r="L4" s="442">
        <f>huishoudens!L8</f>
        <v>0</v>
      </c>
      <c r="M4" s="442">
        <f>huishoudens!M8</f>
        <v>0</v>
      </c>
      <c r="N4" s="442">
        <f>huishoudens!N8</f>
        <v>9027.830596565138</v>
      </c>
      <c r="O4" s="442">
        <f>huishoudens!O8</f>
        <v>179.78333333333333</v>
      </c>
      <c r="P4" s="443">
        <f>huishoudens!P8</f>
        <v>533.86666666666667</v>
      </c>
      <c r="Q4" s="444">
        <f>SUM(B4:P4)</f>
        <v>171881.70484102456</v>
      </c>
    </row>
    <row r="5" spans="1:17">
      <c r="A5" s="441" t="s">
        <v>149</v>
      </c>
      <c r="B5" s="442">
        <f ca="1">tertiair!B16</f>
        <v>26153.8694</v>
      </c>
      <c r="C5" s="442">
        <f ca="1">tertiair!C16</f>
        <v>3381.4285714285716</v>
      </c>
      <c r="D5" s="442">
        <f ca="1">tertiair!D16</f>
        <v>33271.785211834183</v>
      </c>
      <c r="E5" s="442">
        <f>tertiair!E16</f>
        <v>381.23429127022837</v>
      </c>
      <c r="F5" s="442">
        <f ca="1">tertiair!F16</f>
        <v>4955.4090537106231</v>
      </c>
      <c r="G5" s="442">
        <f>tertiair!G16</f>
        <v>0</v>
      </c>
      <c r="H5" s="442">
        <f>tertiair!H16</f>
        <v>0</v>
      </c>
      <c r="I5" s="442">
        <f>tertiair!I16</f>
        <v>0</v>
      </c>
      <c r="J5" s="442">
        <f>tertiair!J16</f>
        <v>0</v>
      </c>
      <c r="K5" s="442">
        <f>tertiair!K16</f>
        <v>0</v>
      </c>
      <c r="L5" s="442">
        <f ca="1">tertiair!L16</f>
        <v>0</v>
      </c>
      <c r="M5" s="442">
        <f>tertiair!M16</f>
        <v>0</v>
      </c>
      <c r="N5" s="442">
        <f ca="1">tertiair!N16</f>
        <v>1303.8679991563995</v>
      </c>
      <c r="O5" s="442">
        <f>tertiair!O16</f>
        <v>1.5633333333333335</v>
      </c>
      <c r="P5" s="443">
        <f>tertiair!P16</f>
        <v>19.066666666666666</v>
      </c>
      <c r="Q5" s="441">
        <f t="shared" ref="Q5:Q14" ca="1" si="0">SUM(B5:P5)</f>
        <v>69468.224527400016</v>
      </c>
    </row>
    <row r="6" spans="1:17">
      <c r="A6" s="441" t="s">
        <v>187</v>
      </c>
      <c r="B6" s="442">
        <f>'openbare verlichting'!B8</f>
        <v>1358.2380000000001</v>
      </c>
      <c r="C6" s="442"/>
      <c r="D6" s="442"/>
      <c r="E6" s="442"/>
      <c r="F6" s="442"/>
      <c r="G6" s="442"/>
      <c r="H6" s="442"/>
      <c r="I6" s="442"/>
      <c r="J6" s="442"/>
      <c r="K6" s="442"/>
      <c r="L6" s="442"/>
      <c r="M6" s="442"/>
      <c r="N6" s="442"/>
      <c r="O6" s="442"/>
      <c r="P6" s="443"/>
      <c r="Q6" s="441">
        <f t="shared" si="0"/>
        <v>1358.2380000000001</v>
      </c>
    </row>
    <row r="7" spans="1:17">
      <c r="A7" s="441" t="s">
        <v>105</v>
      </c>
      <c r="B7" s="442">
        <f>landbouw!B8</f>
        <v>278.24700000000001</v>
      </c>
      <c r="C7" s="442">
        <f>landbouw!C8</f>
        <v>0</v>
      </c>
      <c r="D7" s="442">
        <f>landbouw!D8</f>
        <v>265.44717815688858</v>
      </c>
      <c r="E7" s="442">
        <f>landbouw!E8</f>
        <v>5.9666005062646663</v>
      </c>
      <c r="F7" s="442">
        <f>landbouw!F8</f>
        <v>902.54410822166494</v>
      </c>
      <c r="G7" s="442">
        <f>landbouw!G8</f>
        <v>0</v>
      </c>
      <c r="H7" s="442">
        <f>landbouw!H8</f>
        <v>0</v>
      </c>
      <c r="I7" s="442">
        <f>landbouw!I8</f>
        <v>0</v>
      </c>
      <c r="J7" s="442">
        <f>landbouw!J8</f>
        <v>26.809245498086611</v>
      </c>
      <c r="K7" s="442">
        <f>landbouw!K8</f>
        <v>0</v>
      </c>
      <c r="L7" s="442">
        <f>landbouw!L8</f>
        <v>0</v>
      </c>
      <c r="M7" s="442">
        <f>landbouw!M8</f>
        <v>0</v>
      </c>
      <c r="N7" s="442">
        <f>landbouw!N8</f>
        <v>0</v>
      </c>
      <c r="O7" s="442">
        <f>landbouw!O8</f>
        <v>0</v>
      </c>
      <c r="P7" s="443">
        <f>landbouw!P8</f>
        <v>0</v>
      </c>
      <c r="Q7" s="441">
        <f t="shared" si="0"/>
        <v>1479.0141323829048</v>
      </c>
    </row>
    <row r="8" spans="1:17">
      <c r="A8" s="441" t="s">
        <v>612</v>
      </c>
      <c r="B8" s="442">
        <f>industrie!B18</f>
        <v>1913.3809999999999</v>
      </c>
      <c r="C8" s="442">
        <f>industrie!C18</f>
        <v>0</v>
      </c>
      <c r="D8" s="442">
        <f>industrie!D18</f>
        <v>1574.1369815428229</v>
      </c>
      <c r="E8" s="442">
        <f>industrie!E18</f>
        <v>210.34419756299982</v>
      </c>
      <c r="F8" s="442">
        <f>industrie!F18</f>
        <v>1140.2863949199132</v>
      </c>
      <c r="G8" s="442">
        <f>industrie!G18</f>
        <v>0</v>
      </c>
      <c r="H8" s="442">
        <f>industrie!H18</f>
        <v>0</v>
      </c>
      <c r="I8" s="442">
        <f>industrie!I18</f>
        <v>0</v>
      </c>
      <c r="J8" s="442">
        <f>industrie!J18</f>
        <v>10.450538324833811</v>
      </c>
      <c r="K8" s="442">
        <f>industrie!K18</f>
        <v>0</v>
      </c>
      <c r="L8" s="442">
        <f>industrie!L18</f>
        <v>0</v>
      </c>
      <c r="M8" s="442">
        <f>industrie!M18</f>
        <v>0</v>
      </c>
      <c r="N8" s="442">
        <f>industrie!N18</f>
        <v>231.57155946207939</v>
      </c>
      <c r="O8" s="442">
        <f>industrie!O18</f>
        <v>0</v>
      </c>
      <c r="P8" s="443">
        <f>industrie!P18</f>
        <v>0</v>
      </c>
      <c r="Q8" s="441">
        <f t="shared" si="0"/>
        <v>5080.1706718126488</v>
      </c>
    </row>
    <row r="9" spans="1:17" s="447" customFormat="1">
      <c r="A9" s="445" t="s">
        <v>556</v>
      </c>
      <c r="B9" s="446">
        <f>transport!B14</f>
        <v>37.068049772671891</v>
      </c>
      <c r="C9" s="446">
        <f>transport!C14</f>
        <v>0</v>
      </c>
      <c r="D9" s="446">
        <f>transport!D14</f>
        <v>55.769797263623758</v>
      </c>
      <c r="E9" s="446">
        <f>transport!E14</f>
        <v>619.61670359109814</v>
      </c>
      <c r="F9" s="446">
        <f>transport!F14</f>
        <v>0</v>
      </c>
      <c r="G9" s="446">
        <f>transport!G14</f>
        <v>178508.13951794061</v>
      </c>
      <c r="H9" s="446">
        <f>transport!H14</f>
        <v>35220.499714076555</v>
      </c>
      <c r="I9" s="446">
        <f>transport!I14</f>
        <v>0</v>
      </c>
      <c r="J9" s="446">
        <f>transport!J14</f>
        <v>0</v>
      </c>
      <c r="K9" s="446">
        <f>transport!K14</f>
        <v>0</v>
      </c>
      <c r="L9" s="446">
        <f>transport!L14</f>
        <v>0</v>
      </c>
      <c r="M9" s="446">
        <f>transport!M14</f>
        <v>11423.719636136912</v>
      </c>
      <c r="N9" s="446">
        <f>transport!N14</f>
        <v>0</v>
      </c>
      <c r="O9" s="446">
        <f>transport!O14</f>
        <v>0</v>
      </c>
      <c r="P9" s="446">
        <f>transport!P14</f>
        <v>0</v>
      </c>
      <c r="Q9" s="445">
        <f>SUM(B9:P9)</f>
        <v>225864.81341878144</v>
      </c>
    </row>
    <row r="10" spans="1:17">
      <c r="A10" s="441" t="s">
        <v>546</v>
      </c>
      <c r="B10" s="442">
        <f>transport!B54</f>
        <v>21.127668746556818</v>
      </c>
      <c r="C10" s="442">
        <f>transport!C54</f>
        <v>0</v>
      </c>
      <c r="D10" s="442">
        <f>transport!D54</f>
        <v>0</v>
      </c>
      <c r="E10" s="442">
        <f>transport!E54</f>
        <v>0</v>
      </c>
      <c r="F10" s="442">
        <f>transport!F54</f>
        <v>0</v>
      </c>
      <c r="G10" s="442">
        <f>transport!G54</f>
        <v>4003.4145290749479</v>
      </c>
      <c r="H10" s="442">
        <f>transport!H54</f>
        <v>0</v>
      </c>
      <c r="I10" s="442">
        <f>transport!I54</f>
        <v>0</v>
      </c>
      <c r="J10" s="442">
        <f>transport!J54</f>
        <v>0</v>
      </c>
      <c r="K10" s="442">
        <f>transport!K54</f>
        <v>0</v>
      </c>
      <c r="L10" s="442">
        <f>transport!L54</f>
        <v>0</v>
      </c>
      <c r="M10" s="442">
        <f>transport!M54</f>
        <v>230.46871187397184</v>
      </c>
      <c r="N10" s="442">
        <f>transport!N54</f>
        <v>0</v>
      </c>
      <c r="O10" s="442">
        <f>transport!O54</f>
        <v>0</v>
      </c>
      <c r="P10" s="443">
        <f>transport!P54</f>
        <v>0</v>
      </c>
      <c r="Q10" s="441">
        <f t="shared" si="0"/>
        <v>4255.0109096954766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1664.944</v>
      </c>
      <c r="C14" s="449"/>
      <c r="D14" s="449">
        <f>'SEAP template'!E25</f>
        <v>3265.4553296249801</v>
      </c>
      <c r="E14" s="449"/>
      <c r="F14" s="449"/>
      <c r="G14" s="449"/>
      <c r="H14" s="449"/>
      <c r="I14" s="449"/>
      <c r="J14" s="449"/>
      <c r="K14" s="449"/>
      <c r="L14" s="449"/>
      <c r="M14" s="449"/>
      <c r="N14" s="449"/>
      <c r="O14" s="449"/>
      <c r="P14" s="450"/>
      <c r="Q14" s="441">
        <f t="shared" si="0"/>
        <v>4930.3993296249801</v>
      </c>
    </row>
    <row r="15" spans="1:17" s="451" customFormat="1">
      <c r="A15" s="969" t="s">
        <v>550</v>
      </c>
      <c r="B15" s="909">
        <f ca="1">SUM(B4:B14)</f>
        <v>66545.94891753055</v>
      </c>
      <c r="C15" s="909">
        <f t="shared" ref="C15:Q15" ca="1" si="1">SUM(C4:C14)</f>
        <v>3381.4285714285716</v>
      </c>
      <c r="D15" s="909">
        <f t="shared" ca="1" si="1"/>
        <v>119835.29947418762</v>
      </c>
      <c r="E15" s="909">
        <f t="shared" si="1"/>
        <v>2587.8032367783676</v>
      </c>
      <c r="F15" s="909">
        <f t="shared" ca="1" si="1"/>
        <v>50237.700975828615</v>
      </c>
      <c r="G15" s="909">
        <f t="shared" si="1"/>
        <v>182511.55404701555</v>
      </c>
      <c r="H15" s="909">
        <f t="shared" si="1"/>
        <v>35220.499714076555</v>
      </c>
      <c r="I15" s="909">
        <f t="shared" si="1"/>
        <v>0</v>
      </c>
      <c r="J15" s="909">
        <f t="shared" si="1"/>
        <v>1045.6023906817165</v>
      </c>
      <c r="K15" s="909">
        <f t="shared" si="1"/>
        <v>0</v>
      </c>
      <c r="L15" s="909">
        <f t="shared" ca="1" si="1"/>
        <v>0</v>
      </c>
      <c r="M15" s="909">
        <f t="shared" si="1"/>
        <v>11654.188348010883</v>
      </c>
      <c r="N15" s="909">
        <f t="shared" ca="1" si="1"/>
        <v>10563.270155183616</v>
      </c>
      <c r="O15" s="909">
        <f t="shared" si="1"/>
        <v>181.34666666666666</v>
      </c>
      <c r="P15" s="909">
        <f t="shared" si="1"/>
        <v>552.93333333333339</v>
      </c>
      <c r="Q15" s="909">
        <f t="shared" ca="1" si="1"/>
        <v>484317.57583072199</v>
      </c>
    </row>
    <row r="17" spans="1:17">
      <c r="A17" s="452" t="s">
        <v>551</v>
      </c>
      <c r="B17" s="715">
        <f ca="1">huishoudens!B10</f>
        <v>0.20834463444400639</v>
      </c>
      <c r="C17" s="715">
        <f ca="1">huishoudens!C10</f>
        <v>0.23764705882352946</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7316.8705926670973</v>
      </c>
      <c r="C22" s="442">
        <f t="shared" ref="C22:C32" ca="1" si="3">C4*$C$17</f>
        <v>0</v>
      </c>
      <c r="D22" s="442">
        <f t="shared" ref="D22:D32" si="4">D4*$D$17</f>
        <v>16443.346405104556</v>
      </c>
      <c r="E22" s="442">
        <f t="shared" ref="E22:E32" si="5">E4*$E$17</f>
        <v>311.13560775344524</v>
      </c>
      <c r="F22" s="442">
        <f t="shared" ref="F22:F32" si="6">F4*$F$17</f>
        <v>11544.936198866702</v>
      </c>
      <c r="G22" s="442">
        <f t="shared" ref="G22:G32" si="7">G4*$G$17</f>
        <v>0</v>
      </c>
      <c r="H22" s="442">
        <f t="shared" ref="H22:H32" si="8">H4*$H$17</f>
        <v>0</v>
      </c>
      <c r="I22" s="442">
        <f t="shared" ref="I22:I32" si="9">I4*$I$17</f>
        <v>0</v>
      </c>
      <c r="J22" s="442">
        <f t="shared" ref="J22:J32" si="10">J4*$J$17</f>
        <v>356.95328282801381</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35973.242087219813</v>
      </c>
    </row>
    <row r="23" spans="1:17">
      <c r="A23" s="441" t="s">
        <v>149</v>
      </c>
      <c r="B23" s="442">
        <f t="shared" ca="1" si="2"/>
        <v>5449.0183594392847</v>
      </c>
      <c r="C23" s="442">
        <f t="shared" ca="1" si="3"/>
        <v>803.5865546218489</v>
      </c>
      <c r="D23" s="442">
        <f t="shared" ca="1" si="4"/>
        <v>6720.9006127905059</v>
      </c>
      <c r="E23" s="442">
        <f t="shared" si="5"/>
        <v>86.540184118341841</v>
      </c>
      <c r="F23" s="442">
        <f t="shared" ca="1" si="6"/>
        <v>1323.0942173407363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14383.139928310718</v>
      </c>
    </row>
    <row r="24" spans="1:17">
      <c r="A24" s="441" t="s">
        <v>187</v>
      </c>
      <c r="B24" s="442">
        <f t="shared" ca="1" si="2"/>
        <v>282.98159959795834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282.98159959795834</v>
      </c>
    </row>
    <row r="25" spans="1:17">
      <c r="A25" s="441" t="s">
        <v>105</v>
      </c>
      <c r="B25" s="442">
        <f t="shared" ca="1" si="2"/>
        <v>57.971269500141446</v>
      </c>
      <c r="C25" s="442">
        <f t="shared" ca="1" si="3"/>
        <v>0</v>
      </c>
      <c r="D25" s="442">
        <f t="shared" si="4"/>
        <v>53.620329987691498</v>
      </c>
      <c r="E25" s="442">
        <f t="shared" si="5"/>
        <v>1.3544183149220792</v>
      </c>
      <c r="F25" s="442">
        <f t="shared" si="6"/>
        <v>240.97927689518454</v>
      </c>
      <c r="G25" s="442">
        <f t="shared" si="7"/>
        <v>0</v>
      </c>
      <c r="H25" s="442">
        <f t="shared" si="8"/>
        <v>0</v>
      </c>
      <c r="I25" s="442">
        <f t="shared" si="9"/>
        <v>0</v>
      </c>
      <c r="J25" s="442">
        <f t="shared" si="10"/>
        <v>9.4904729063226601</v>
      </c>
      <c r="K25" s="442">
        <f t="shared" si="11"/>
        <v>0</v>
      </c>
      <c r="L25" s="442">
        <f t="shared" si="12"/>
        <v>0</v>
      </c>
      <c r="M25" s="442">
        <f t="shared" si="13"/>
        <v>0</v>
      </c>
      <c r="N25" s="442">
        <f t="shared" si="14"/>
        <v>0</v>
      </c>
      <c r="O25" s="442">
        <f t="shared" si="15"/>
        <v>0</v>
      </c>
      <c r="P25" s="443">
        <f t="shared" si="16"/>
        <v>0</v>
      </c>
      <c r="Q25" s="441">
        <f t="shared" ca="1" si="17"/>
        <v>363.41576760426227</v>
      </c>
    </row>
    <row r="26" spans="1:17">
      <c r="A26" s="441" t="s">
        <v>612</v>
      </c>
      <c r="B26" s="442">
        <f t="shared" ca="1" si="2"/>
        <v>398.64266499710737</v>
      </c>
      <c r="C26" s="442">
        <f t="shared" ca="1" si="3"/>
        <v>0</v>
      </c>
      <c r="D26" s="442">
        <f t="shared" si="4"/>
        <v>317.97567027165024</v>
      </c>
      <c r="E26" s="442">
        <f t="shared" si="5"/>
        <v>47.748132846800964</v>
      </c>
      <c r="F26" s="442">
        <f t="shared" si="6"/>
        <v>304.45646744361682</v>
      </c>
      <c r="G26" s="442">
        <f t="shared" si="7"/>
        <v>0</v>
      </c>
      <c r="H26" s="442">
        <f t="shared" si="8"/>
        <v>0</v>
      </c>
      <c r="I26" s="442">
        <f t="shared" si="9"/>
        <v>0</v>
      </c>
      <c r="J26" s="442">
        <f t="shared" si="10"/>
        <v>3.6994905669911691</v>
      </c>
      <c r="K26" s="442">
        <f t="shared" si="11"/>
        <v>0</v>
      </c>
      <c r="L26" s="442">
        <f t="shared" si="12"/>
        <v>0</v>
      </c>
      <c r="M26" s="442">
        <f t="shared" si="13"/>
        <v>0</v>
      </c>
      <c r="N26" s="442">
        <f t="shared" si="14"/>
        <v>0</v>
      </c>
      <c r="O26" s="442">
        <f t="shared" si="15"/>
        <v>0</v>
      </c>
      <c r="P26" s="443">
        <f t="shared" si="16"/>
        <v>0</v>
      </c>
      <c r="Q26" s="441">
        <f t="shared" ca="1" si="17"/>
        <v>1072.5224261261667</v>
      </c>
    </row>
    <row r="27" spans="1:17" s="447" customFormat="1">
      <c r="A27" s="445" t="s">
        <v>556</v>
      </c>
      <c r="B27" s="709">
        <f t="shared" ca="1" si="2"/>
        <v>7.7229292794395592</v>
      </c>
      <c r="C27" s="446">
        <f t="shared" ca="1" si="3"/>
        <v>0</v>
      </c>
      <c r="D27" s="446">
        <f t="shared" si="4"/>
        <v>11.265499047252</v>
      </c>
      <c r="E27" s="446">
        <f t="shared" si="5"/>
        <v>140.6529917151793</v>
      </c>
      <c r="F27" s="446">
        <f t="shared" si="6"/>
        <v>0</v>
      </c>
      <c r="G27" s="446">
        <f t="shared" si="7"/>
        <v>47661.673251290144</v>
      </c>
      <c r="H27" s="446">
        <f t="shared" si="8"/>
        <v>8769.9044288050627</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56591.219100137081</v>
      </c>
    </row>
    <row r="28" spans="1:17">
      <c r="A28" s="441" t="s">
        <v>546</v>
      </c>
      <c r="B28" s="442">
        <f t="shared" ca="1" si="2"/>
        <v>4.4018364216554389</v>
      </c>
      <c r="C28" s="442">
        <f t="shared" ca="1" si="3"/>
        <v>0</v>
      </c>
      <c r="D28" s="442">
        <f t="shared" si="4"/>
        <v>0</v>
      </c>
      <c r="E28" s="442">
        <f t="shared" si="5"/>
        <v>0</v>
      </c>
      <c r="F28" s="442">
        <f t="shared" si="6"/>
        <v>0</v>
      </c>
      <c r="G28" s="442">
        <f t="shared" si="7"/>
        <v>1068.9116792630111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1073.3135156846665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346.88214904974177</v>
      </c>
      <c r="C32" s="442">
        <f t="shared" ca="1" si="3"/>
        <v>0</v>
      </c>
      <c r="D32" s="442">
        <f t="shared" si="4"/>
        <v>659.621976584246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1006.5041256339878</v>
      </c>
    </row>
    <row r="33" spans="1:17" s="451" customFormat="1">
      <c r="A33" s="969" t="s">
        <v>550</v>
      </c>
      <c r="B33" s="909">
        <f ca="1">SUM(B22:B32)</f>
        <v>13864.491400952427</v>
      </c>
      <c r="C33" s="909">
        <f t="shared" ref="C33:Q33" ca="1" si="18">SUM(C22:C32)</f>
        <v>803.5865546218489</v>
      </c>
      <c r="D33" s="909">
        <f t="shared" ca="1" si="18"/>
        <v>24206.730493785901</v>
      </c>
      <c r="E33" s="909">
        <f t="shared" si="18"/>
        <v>587.43133474868944</v>
      </c>
      <c r="F33" s="909">
        <f t="shared" ca="1" si="18"/>
        <v>13413.466160546241</v>
      </c>
      <c r="G33" s="909">
        <f t="shared" si="18"/>
        <v>48730.584930553152</v>
      </c>
      <c r="H33" s="909">
        <f t="shared" si="18"/>
        <v>8769.9044288050627</v>
      </c>
      <c r="I33" s="909">
        <f t="shared" si="18"/>
        <v>0</v>
      </c>
      <c r="J33" s="909">
        <f t="shared" si="18"/>
        <v>370.14324630132768</v>
      </c>
      <c r="K33" s="909">
        <f t="shared" si="18"/>
        <v>0</v>
      </c>
      <c r="L33" s="909">
        <f t="shared" ca="1" si="18"/>
        <v>0</v>
      </c>
      <c r="M33" s="909">
        <f t="shared" si="18"/>
        <v>0</v>
      </c>
      <c r="N33" s="909">
        <f t="shared" ca="1" si="18"/>
        <v>0</v>
      </c>
      <c r="O33" s="909">
        <f t="shared" si="18"/>
        <v>0</v>
      </c>
      <c r="P33" s="909">
        <f t="shared" si="18"/>
        <v>0</v>
      </c>
      <c r="Q33" s="909">
        <f t="shared" ca="1" si="18"/>
        <v>110746.33855031466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3988.990488946255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2367</v>
      </c>
      <c r="D8" s="986">
        <f>'SEAP template'!D76</f>
        <v>2784.705882352941</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562.51058823529411</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3988.990488946255</v>
      </c>
      <c r="C10" s="990">
        <f>SUM(C4:C9)</f>
        <v>2367</v>
      </c>
      <c r="D10" s="990">
        <f t="shared" ref="D10:H10" si="0">SUM(D8:D9)</f>
        <v>2784.705882352941</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562.51058823529411</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0.20834463444400639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3381.4285714285716</v>
      </c>
      <c r="D17" s="987">
        <f>'SEAP template'!D87</f>
        <v>3978.1512605042021</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803.5865546218489</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3381.4285714285716</v>
      </c>
      <c r="D20" s="990">
        <f t="shared" ref="D20:H20" si="2">SUM(D17:D19)</f>
        <v>3978.1512605042021</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803.5865546218489</v>
      </c>
    </row>
    <row r="22" spans="1:16">
      <c r="A22" s="452" t="s">
        <v>826</v>
      </c>
      <c r="B22" s="715" t="s">
        <v>820</v>
      </c>
      <c r="C22" s="71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0.20834463444400639</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2022-07-26T11:33:03Z</dcterms:modified>
</cp:coreProperties>
</file>