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AE2BF923-5F07-491A-B941-1F87ACB1621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<sst xmlns="http://schemas.openxmlformats.org/spreadsheetml/2006/main" count="2431" uniqueCount="904">
  <si>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</si>
  <si>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</si>
  <si>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</si>
  <si>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</si>
  <si>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</si>
  <si>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</si>
  <si>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</si>
  <si>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</si>
  <si>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</si>
  <si>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</si>
  <si>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</si>
  <si>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</si>
  <si>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</si>
  <si>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</si>
  <si>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</si>
  <si>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</si>
  <si>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</si>
  <si>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</si>
  <si>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</si>
  <si>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</si>
  <si>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</si>
  <si>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</si>
  <si>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</si>
  <si>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</si>
  <si>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</si>
  <si>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</si>
  <si>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</si>
  <si>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</si>
  <si>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</si>
  <si>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</si>
  <si>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</si>
  <si>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</si>
  <si>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</si>
  <si>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</si>
  <si>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</si>
  <si>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</si>
  <si>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</si>
  <si>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</si>
  <si>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</si>
  <si>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</si>
  <si>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</si>
  <si>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</si>
  <si>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</si>
  <si>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</si>
  <si>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</si>
  <si>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</si>
  <si>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</si>
  <si>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</si>
  <si>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</si>
  <si>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</si>
  <si>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</si>
  <si>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</si>
  <si>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</si>
  <si>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</si>
  <si>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</si>
  <si>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</si>
  <si>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</si>
  <si>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</si>
  <si>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</si>
  <si>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</si>
  <si>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</si>
  <si>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</si>
  <si>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</si>
  <si>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</si>
  <si>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</si>
  <si>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</si>
  <si>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</si>
  <si>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</si>
  <si>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</si>
  <si>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</si>
  <si>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</si>
  <si>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</si>
  <si>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</si>
  <si>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</si>
  <si>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</si>
  <si>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</si>
  <si>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</si>
  <si>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</si>
  <si>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</si>
  <si>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</si>
  <si>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</si>
  <si>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</si>
  <si>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</si>
  <si>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</si>
  <si>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</si>
  <si>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</si>
  <si>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</si>
  <si>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</si>
  <si>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</si>
  <si>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</si>
  <si>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</si>
  <si>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</si>
  <si>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</si>
  <si>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</si>
  <si>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</si>
  <si>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</si>
  <si>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</si>
  <si>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</si>
  <si>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</si>
  <si>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</si>
  <si>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</si>
  <si>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</si>
  <si>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</si>
  <si>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</si>
  <si>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</si>
  <si>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</si>
  <si>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</si>
  <si>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</si>
  <si>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</si>
  <si>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</si>
  <si>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</si>
  <si>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</si>
  <si>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</si>
  <si>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</si>
  <si>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</si>
  <si>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</si>
  <si>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</si>
  <si>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</si>
  <si>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</si>
  <si>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</si>
  <si>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</si>
  <si>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</si>
  <si>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</si>
  <si>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</si>
  <si>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</si>
  <si>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</si>
  <si>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</si>
  <si>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</si>
  <si>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</si>
  <si>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</si>
  <si>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</si>
  <si>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</si>
  <si>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</si>
  <si>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</si>
  <si>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</si>
  <si>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</si>
  <si>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</si>
  <si>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</si>
  <si>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</si>
  <si>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</si>
  <si>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</si>
  <si>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</si>
  <si>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</si>
  <si>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</si>
  <si>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</si>
  <si>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</si>
  <si>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</si>
  <si>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</si>
  <si>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</si>
  <si>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</si>
  <si>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</si>
  <si>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</si>
  <si>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</si>
  <si>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</si>
  <si>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</si>
  <si>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</si>
  <si>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</si>
  <si>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</si>
  <si>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</si>
  <si>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</si>
  <si>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</si>
  <si>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</si>
  <si>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</si>
  <si>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</si>
  <si>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</si>
  <si>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</si>
  <si>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</si>
  <si>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</si>
  <si>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</si>
  <si>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</si>
  <si>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</si>
  <si>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</si>
  <si>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</si>
  <si>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</si>
  <si>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</si>
  <si>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</si>
  <si>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</si>
  <si>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</si>
  <si>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</si>
  <si>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</si>
  <si>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</si>
  <si>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</si>
  <si>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</si>
  <si>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</si>
  <si>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</si>
  <si>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</si>
  <si>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</si>
  <si>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</si>
  <si>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</si>
  <si>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</si>
  <si>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</si>
  <si>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</si>
  <si>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</si>
  <si>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</si>
  <si>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</si>
  <si>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</si>
  <si>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</si>
  <si>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</si>
  <si>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</si>
  <si>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</si>
  <si>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</si>
  <si>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</si>
  <si>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</si>
  <si>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</si>
  <si>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</si>
  <si>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</si>
  <si>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</si>
  <si>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</si>
  <si>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</si>
  <si>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</si>
  <si>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</si>
  <si>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</si>
  <si>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</si>
  <si>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</si>
  <si>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</si>
  <si>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</si>
  <si>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</si>
  <si>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</si>
  <si>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</si>
  <si>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</si>
  <si>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</si>
  <si>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</si>
  <si>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</si>
  <si>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</si>
  <si>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</si>
  <si>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</si>
  <si>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</si>
  <si>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</si>
  <si>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</si>
  <si>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</si>
  <si>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</si>
  <si>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</si>
  <si>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</si>
  <si>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</si>
  <si>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</si>
  <si>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</si>
  <si>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</si>
  <si>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</si>
  <si>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</si>
  <si>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</si>
  <si>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</si>
  <si>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</si>
  <si>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</si>
  <si>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</si>
  <si>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</si>
  <si>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</si>
  <si>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</si>
  <si>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</si>
  <si>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</si>
  <si>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</si>
  <si>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</si>
  <si>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</si>
  <si>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</si>
  <si>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</si>
  <si>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</si>
  <si>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</si>
  <si>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</si>
  <si>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</si>
  <si>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</si>
  <si>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</si>
  <si>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</si>
  <si>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</si>
  <si>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</si>
  <si>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</si>
  <si>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</si>
  <si>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</si>
  <si>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</si>
  <si>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</si>
  <si>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</si>
  <si>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</si>
  <si>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</si>
  <si>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</si>
  <si>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</si>
  <si>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</si>
  <si>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</si>
  <si>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</si>
  <si>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</si>
  <si>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</si>
  <si>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</si>
  <si>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</si>
  <si>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</si>
  <si>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</si>
  <si>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</si>
  <si>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</si>
  <si>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</si>
  <si>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</si>
  <si>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</si>
  <si>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</si>
  <si>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</si>
  <si>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</si>
  <si>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</si>
  <si>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</si>
  <si>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</si>
  <si>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</si>
  <si>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</si>
  <si>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</si>
  <si>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</si>
  <si>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</si>
  <si>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</si>
  <si>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</si>
  <si>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</si>
  <si>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</si>
  <si>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</si>
  <si>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</si>
  <si>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</si>
  <si>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</si>
  <si>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</si>
  <si>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</si>
  <si>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</si>
  <si>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</si>
  <si>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</si>
  <si>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</si>
  <si>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</si>
  <si>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</si>
  <si>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</si>
  <si>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</si>
  <si>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</si>
  <si>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</si>
  <si>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</si>
  <si>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</si>
  <si>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</si>
  <si>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</si>
  <si>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</si>
  <si>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</si>
  <si>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</si>
  <si>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</si>
  <si>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</si>
  <si>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</si>
  <si>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</si>
  <si>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</si>
  <si>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</si>
  <si>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</si>
  <si>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</si>
  <si>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</si>
  <si>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</si>
  <si>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</si>
  <si>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</si>
  <si>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</si>
  <si>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</si>
  <si>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</si>
  <si>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</si>
  <si>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</si>
  <si>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</si>
  <si>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</si>
  <si>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</si>
  <si>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</si>
  <si>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</si>
  <si>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</si>
  <si>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</si>
  <si>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</si>
  <si>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</si>
  <si>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</si>
  <si>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</si>
  <si>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</si>
  <si>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</si>
  <si>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</si>
  <si>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</si>
  <si>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</si>
  <si>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</si>
  <si>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</si>
  <si>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</si>
  <si>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</si>
  <si>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</si>
  <si>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</si>
  <si>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</si>
  <si>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</si>
  <si>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</si>
  <si>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</si>
  <si>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</si>
  <si>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</si>
  <si>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</si>
  <si>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</si>
  <si>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</si>
  <si>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</si>
  <si>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</si>
  <si>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</si>
  <si>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</si>
  <si>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</si>
  <si>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</si>
  <si>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</si>
  <si>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</si>
  <si>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</si>
  <si>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</si>
  <si>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</si>
  <si>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</si>
  <si>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</si>
  <si>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</si>
  <si>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</si>
  <si>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</si>
  <si>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</si>
  <si>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</si>
  <si>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</si>
  <si>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</si>
  <si>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</si>
  <si>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</si>
  <si>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</si>
  <si>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</si>
  <si>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</si>
  <si>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</si>
  <si>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</si>
  <si>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</si>
  <si>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</si>
  <si>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</si>
  <si>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</si>
  <si>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</si>
  <si>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</si>
  <si>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</si>
  <si>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</si>
  <si>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</si>
  <si>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</si>
  <si>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</si>
  <si>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</si>
  <si>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</si>
  <si>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</si>
  <si>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</si>
  <si>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</si>
  <si>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</si>
  <si>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</si>
  <si>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</si>
  <si>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</si>
  <si>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</si>
  <si>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</si>
  <si>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</si>
  <si>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</si>
  <si>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</si>
  <si>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</si>
  <si>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</si>
  <si>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</si>
  <si>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</si>
  <si>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</si>
  <si>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</si>
  <si>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</si>
  <si>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</si>
  <si>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</si>
  <si>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</si>
  <si>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</si>
  <si>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</si>
  <si>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</si>
  <si>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</si>
  <si>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</si>
  <si>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</si>
  <si>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</si>
  <si>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</si>
  <si>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</si>
  <si>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</si>
  <si>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</si>
  <si>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</si>
  <si>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</si>
  <si>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</si>
  <si>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</si>
  <si>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</si>
  <si>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</si>
  <si>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</si>
  <si>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</si>
  <si>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</si>
  <si>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</si>
  <si>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</si>
  <si>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</si>
  <si>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</si>
  <si>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</si>
  <si>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</si>
  <si>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</si>
  <si>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</si>
  <si>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</si>
  <si>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</si>
  <si>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</si>
  <si>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</si>
  <si>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</si>
  <si>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</si>
  <si>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</si>
  <si>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</si>
  <si>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</si>
  <si>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</si>
  <si>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</si>
  <si>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</si>
  <si>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</si>
  <si>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</si>
  <si>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</si>
  <si>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</si>
  <si>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</si>
  <si>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</si>
  <si>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</si>
  <si>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</si>
  <si>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</si>
  <si>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</si>
  <si>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</si>
  <si>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</si>
  <si>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</si>
  <si>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</si>
  <si>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</si>
  <si>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</si>
  <si>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</si>
  <si>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</si>
  <si>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</si>
  <si>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</si>
  <si>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</si>
  <si>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</si>
  <si>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</si>
  <si>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</si>
  <si>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</si>
  <si>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</si>
  <si>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</si>
  <si>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</si>
  <si>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</si>
  <si>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</si>
  <si>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</si>
  <si>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</si>
  <si>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</si>
  <si>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</si>
  <si>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</si>
  <si>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</si>
  <si>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</si>
  <si>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</si>
  <si>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</si>
  <si>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</si>
  <si>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</si>
  <si>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</si>
  <si>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</si>
  <si>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</si>
  <si>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</si>
  <si>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</si>
  <si>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</si>
  <si>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</si>
  <si>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</si>
  <si>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</si>
  <si>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</si>
  <si>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</si>
  <si>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</si>
  <si>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</si>
  <si>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</si>
  <si>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</si>
  <si>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</si>
  <si>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</si>
  <si>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</si>
  <si>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</si>
  <si>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</si>
  <si>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</si>
  <si>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</si>
  <si>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</si>
  <si>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</si>
  <si>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</si>
  <si>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</si>
  <si>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</si>
  <si>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</si>
  <si>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</si>
  <si>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</si>
  <si>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</si>
  <si>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</si>
  <si>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</si>
  <si>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</si>
  <si>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</si>
  <si>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</si>
  <si>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</si>
  <si>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</si>
  <si>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</si>
  <si>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</si>
  <si>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</si>
  <si>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</si>
  <si>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</si>
  <si>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</si>
  <si>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</si>
  <si>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</si>
  <si>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</si>
  <si>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</si>
  <si>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</si>
  <si>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</si>
  <si>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</si>
  <si>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</si>
  <si>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</si>
  <si>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</si>
  <si>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</si>
  <si>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</si>
  <si>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</si>
  <si>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</si>
  <si>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</si>
  <si>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</si>
  <si>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</si>
  <si>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</si>
  <si>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</si>
  <si>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</si>
  <si>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</si>
  <si>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</si>
  <si>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</si>
  <si>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</si>
  <si>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</si>
  <si>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</si>
  <si>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</si>
  <si>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</si>
  <si>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</si>
  <si>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</si>
  <si>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</si>
  <si>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</si>
  <si>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</si>
  <si>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</si>
  <si>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</si>
  <si>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</si>
  <si>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</si>
  <si>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</si>
  <si>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</si>
  <si>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</si>
  <si>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</si>
  <si>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</si>
  <si>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</si>
  <si>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</si>
  <si>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</si>
  <si>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</si>
  <si>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</si>
  <si>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</si>
  <si>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</si>
  <si>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</si>
  <si>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</si>
  <si>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</si>
  <si>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</si>
  <si>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</si>
  <si>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</si>
  <si>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</si>
  <si>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</si>
  <si>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</si>
  <si>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</si>
  <si>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</si>
  <si>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</si>
  <si>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</si>
  <si>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</si>
  <si>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</si>
  <si>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</si>
  <si>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</si>
  <si>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</si>
  <si>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</si>
  <si>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</si>
  <si>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</si>
  <si>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</si>
  <si>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</si>
  <si>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</si>
  <si>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</si>
  <si>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</si>
  <si>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</si>
  <si>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</si>
  <si>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</si>
  <si>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</si>
  <si>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</si>
  <si>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</si>
  <si>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</si>
  <si>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</si>
  <si>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</si>
  <si>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</si>
  <si>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</si>
  <si>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</si>
  <si>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</si>
  <si>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</si>
  <si>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</si>
  <si>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</si>
  <si>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</si>
  <si>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</si>
  <si>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</si>
  <si>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</si>
  <si>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</si>
  <si>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</si>
  <si>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</si>
  <si>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</si>
  <si>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</si>
  <si>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</si>
  <si>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</si>
  <si>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</si>
  <si>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</si>
  <si>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</si>
  <si>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</si>
  <si>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</si>
  <si>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</si>
  <si>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</si>
  <si>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</si>
  <si>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</si>
  <si>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</si>
  <si>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</si>
  <si>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</si>
  <si>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</si>
  <si>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</si>
  <si>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</si>
  <si>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</si>
  <si>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</si>
  <si>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</si>
  <si>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</si>
  <si>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</si>
  <si>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</si>
  <si>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</si>
  <si>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</si>
  <si>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</si>
  <si>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</si>
  <si>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</si>
  <si>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</si>
  <si>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</si>
  <si>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</si>
  <si>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</si>
  <si>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</si>
  <si>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</si>
  <si>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</si>
  <si>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</si>
  <si>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</si>
  <si>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</si>
  <si>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</si>
  <si>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</si>
  <si>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</si>
  <si>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</si>
  <si>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</si>
  <si>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</si>
  <si>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</si>
  <si>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</si>
  <si>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</si>
  <si>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</si>
  <si>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</si>
  <si>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</si>
  <si>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</si>
  <si>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</si>
  <si>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</si>
  <si>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</si>
  <si>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</si>
  <si>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</si>
  <si>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</si>
  <si>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</si>
  <si>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</si>
  <si>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</si>
  <si>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</si>
  <si>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</si>
  <si>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</si>
  <si>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</si>
  <si>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</si>
  <si>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</si>
  <si>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</si>
  <si>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</si>
  <si>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</si>
  <si>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</si>
  <si>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</si>
  <si>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</si>
  <si>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</si>
  <si>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</si>
  <si>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</si>
  <si>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</si>
  <si>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</si>
  <si>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</si>
  <si>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</si>
  <si>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</si>
  <si>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</si>
  <si>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</si>
  <si>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</si>
  <si>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</si>
  <si>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</si>
  <si>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</si>
  <si>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</si>
  <si>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</si>
  <si>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</si>
  <si>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</si>
  <si>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</si>
  <si>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</si>
  <si>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</si>
  <si>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</si>
  <si>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</si>
  <si>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</si>
  <si>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</si>
  <si>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</si>
  <si>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</si>
  <si>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</si>
  <si>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</si>
  <si>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</si>
  <si>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</si>
  <si>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</si>
  <si>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</si>
  <si>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</si>
  <si>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</si>
  <si>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</si>
  <si>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</si>
  <si>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</si>
  <si>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</si>
  <si>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</si>
  <si>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</si>
  <si>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</si>
  <si>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</si>
  <si>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</si>
  <si>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</si>
  <si>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</si>
  <si>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</si>
  <si>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</si>
  <si>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</si>
  <si>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</si>
  <si>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</si>
  <si>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</si>
  <si>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</si>
  <si>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</si>
  <si>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</si>
  <si>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</si>
  <si>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</si>
  <si>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</si>
  <si>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</si>
  <si>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</si>
  <si>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</si>
  <si>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</si>
  <si>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</si>
  <si>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</si>
  <si>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</si>
  <si>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</si>
  <si>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</si>
  <si>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</si>
  <si>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</si>
  <si>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</si>
  <si>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</si>
  <si>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</si>
  <si>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</si>
  <si>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</si>
  <si>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</si>
  <si>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</si>
  <si>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</si>
  <si>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</si>
  <si>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</si>
  <si>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</si>
  <si>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</si>
  <si>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</si>
  <si>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</si>
  <si>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</si>
  <si>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</si>
  <si>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</si>
  <si>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</si>
  <si>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</si>
  <si>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</si>
  <si>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</si>
  <si>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</si>
  <si>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</si>
  <si>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</si>
  <si>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</si>
  <si>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</si>
  <si>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</si>
  <si>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</si>
  <si>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</si>
  <si>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</si>
  <si>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</si>
  <si>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</si>
  <si>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</si>
  <si>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</si>
  <si>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</si>
  <si>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</si>
  <si>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</si>
  <si>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</si>
  <si>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</si>
  <si>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</si>
  <si>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</si>
  <si>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</si>
  <si>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</si>
  <si>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</si>
  <si>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</si>
  <si>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</si>
  <si>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</si>
  <si>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</si>
  <si>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</si>
  <si>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</si>
  <si>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</si>
  <si>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</si>
  <si>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</si>
  <si>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</si>
  <si>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</si>
  <si>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</si>
  <si>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</si>
  <si>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</si>
  <si>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</si>
  <si>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</si>
  <si>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</si>
  <si>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</si>
  <si>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</si>
  <si>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</si>
  <si>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</si>
  <si>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</si>
  <si>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</si>
  <si>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</si>
  <si>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</si>
  <si>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</si>
  <si>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</si>
  <si>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</si>
  <si>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</si>
  <si>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</si>
  <si>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</si>
  <si>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</si>
  <si>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</si>
  <si>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</si>
  <si>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</si>
  <si>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</si>
  <si>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</si>
  <si>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</si>
  <si>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</si>
  <si>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</si>
  <si>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</si>
  <si>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</si>
  <si>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</si>
  <si>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</si>
  <si>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</si>
  <si>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</si>
  <si>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</si>
  <si>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</si>
  <si>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</si>
  <si>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</si>
  <si>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</si>
  <si>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</si>
  <si>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</si>
  <si>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</si>
  <si>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24043</t>
  </si>
  <si>
    <t>HOLSBEEK</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</si>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</sst>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A7859052-0A45-4B2D-8C8F-64E6474A5531}"/>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85415.478090703153</c:v>
                </c:pt>
                <c:pt idx="1">
                  <c:v>10371.215943092171</c:v>
                </c:pt>
                <c:pt idx="2">
                  <c:v>619.95500000000004</c:v>
                </c:pt>
                <c:pt idx="3">
                  <c:v>2002.6363214339087</c:v>
                </c:pt>
                <c:pt idx="4">
                  <c:v>2897.136614100205</c:v>
                </c:pt>
                <c:pt idx="5">
                  <c:v>115006.77828649495</c:v>
                </c:pt>
                <c:pt idx="6">
                  <c:v>1239.8625159726234</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85415.478090703153</c:v>
                </c:pt>
                <c:pt idx="1">
                  <c:v>10371.215943092171</c:v>
                </c:pt>
                <c:pt idx="2">
                  <c:v>619.95500000000004</c:v>
                </c:pt>
                <c:pt idx="3">
                  <c:v>2002.6363214339087</c:v>
                </c:pt>
                <c:pt idx="4">
                  <c:v>2897.136614100205</c:v>
                </c:pt>
                <c:pt idx="5">
                  <c:v>115006.77828649495</c:v>
                </c:pt>
                <c:pt idx="6">
                  <c:v>1239.8625159726234</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18803.666300583551</c:v>
                </c:pt>
                <c:pt idx="2">
                  <c:v>2058.8804460451174</c:v>
                </c:pt>
                <c:pt idx="3">
                  <c:v>121.73769235578722</c:v>
                </c:pt>
                <c:pt idx="4">
                  <c:v>501.17638640950804</c:v>
                </c:pt>
                <c:pt idx="5">
                  <c:v>612.59123328561293</c:v>
                </c:pt>
                <c:pt idx="6">
                  <c:v>28824.68615645609</c:v>
                </c:pt>
                <c:pt idx="7">
                  <c:v>312.67778685340721</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18803.666300583551</c:v>
                </c:pt>
                <c:pt idx="2">
                  <c:v>2058.8804460451174</c:v>
                </c:pt>
                <c:pt idx="3">
                  <c:v>121.73769235578722</c:v>
                </c:pt>
                <c:pt idx="4">
                  <c:v>501.17638640950804</c:v>
                </c:pt>
                <c:pt idx="5">
                  <c:v>612.59123328561293</c:v>
                </c:pt>
                <c:pt idx="6">
                  <c:v>28824.68615645609</c:v>
                </c:pt>
                <c:pt idx="7">
                  <c:v>312.67778685340721</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24043</v>
      </c>
      <c r="B6" s="381"/>
      <c r="C6" s="382"/>
    </row>
    <row r="7" spans="1:7" s="379" customFormat="1" ht="15.75" customHeight="1">
      <c r="A7" s="383" t="str">
        <f>txtMunicipality</f>
        <v>HOLSBEEK</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0.19636536902805399</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0.19636536902805399</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3827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1656</v>
      </c>
      <c r="C14" s="322"/>
      <c r="D14" s="322"/>
      <c r="E14" s="322"/>
      <c r="F14" s="322"/>
    </row>
    <row r="15" spans="1:6">
      <c r="A15" s="1261" t="s">
        <v>177</v>
      </c>
      <c r="B15" s="1262">
        <v>590</v>
      </c>
      <c r="C15" s="322"/>
      <c r="D15" s="322"/>
      <c r="E15" s="322"/>
      <c r="F15" s="322"/>
    </row>
    <row r="16" spans="1:6">
      <c r="A16" s="1261" t="s">
        <v>6</v>
      </c>
      <c r="B16" s="1262">
        <v>135</v>
      </c>
      <c r="C16" s="322"/>
      <c r="D16" s="322"/>
      <c r="E16" s="322"/>
      <c r="F16" s="322"/>
    </row>
    <row r="17" spans="1:6">
      <c r="A17" s="1261" t="s">
        <v>7</v>
      </c>
      <c r="B17" s="1262">
        <v>250</v>
      </c>
      <c r="C17" s="322"/>
      <c r="D17" s="322"/>
      <c r="E17" s="322"/>
      <c r="F17" s="322"/>
    </row>
    <row r="18" spans="1:6">
      <c r="A18" s="1261" t="s">
        <v>8</v>
      </c>
      <c r="B18" s="1262">
        <v>221</v>
      </c>
      <c r="C18" s="322"/>
      <c r="D18" s="322"/>
      <c r="E18" s="322"/>
      <c r="F18" s="322"/>
    </row>
    <row r="19" spans="1:6">
      <c r="A19" s="1261" t="s">
        <v>9</v>
      </c>
      <c r="B19" s="1262">
        <v>203</v>
      </c>
      <c r="C19" s="322"/>
      <c r="D19" s="322"/>
      <c r="E19" s="322"/>
      <c r="F19" s="322"/>
    </row>
    <row r="20" spans="1:6">
      <c r="A20" s="1261" t="s">
        <v>10</v>
      </c>
      <c r="B20" s="1262">
        <v>334</v>
      </c>
      <c r="C20" s="322"/>
      <c r="D20" s="322"/>
      <c r="E20" s="322"/>
      <c r="F20" s="322"/>
    </row>
    <row r="21" spans="1:6">
      <c r="A21" s="1261" t="s">
        <v>11</v>
      </c>
      <c r="B21" s="1262">
        <v>1565</v>
      </c>
      <c r="C21" s="322"/>
      <c r="D21" s="322"/>
      <c r="E21" s="322"/>
      <c r="F21" s="322"/>
    </row>
    <row r="22" spans="1:6">
      <c r="A22" s="1261" t="s">
        <v>12</v>
      </c>
      <c r="B22" s="1262">
        <v>1223</v>
      </c>
      <c r="C22" s="322"/>
      <c r="D22" s="322"/>
      <c r="E22" s="322"/>
      <c r="F22" s="322"/>
    </row>
    <row r="23" spans="1:6">
      <c r="A23" s="1261" t="s">
        <v>13</v>
      </c>
      <c r="B23" s="1262">
        <v>148</v>
      </c>
      <c r="C23" s="322"/>
      <c r="D23" s="322"/>
      <c r="E23" s="322"/>
      <c r="F23" s="322"/>
    </row>
    <row r="24" spans="1:6">
      <c r="A24" s="1261" t="s">
        <v>14</v>
      </c>
      <c r="B24" s="1262">
        <v>2</v>
      </c>
      <c r="C24" s="322"/>
      <c r="D24" s="322"/>
      <c r="E24" s="322"/>
      <c r="F24" s="322"/>
    </row>
    <row r="25" spans="1:6">
      <c r="A25" s="1261" t="s">
        <v>15</v>
      </c>
      <c r="B25" s="1262">
        <v>602</v>
      </c>
      <c r="C25" s="322"/>
      <c r="D25" s="322"/>
      <c r="E25" s="322"/>
      <c r="F25" s="322"/>
    </row>
    <row r="26" spans="1:6">
      <c r="A26" s="1261" t="s">
        <v>16</v>
      </c>
      <c r="B26" s="1262">
        <v>134</v>
      </c>
      <c r="C26" s="322"/>
      <c r="D26" s="322"/>
      <c r="E26" s="322"/>
      <c r="F26" s="322"/>
    </row>
    <row r="27" spans="1:6">
      <c r="A27" s="1261" t="s">
        <v>17</v>
      </c>
      <c r="B27" s="1262">
        <v>6</v>
      </c>
      <c r="C27" s="322"/>
      <c r="D27" s="322"/>
      <c r="E27" s="322"/>
      <c r="F27" s="322"/>
    </row>
    <row r="28" spans="1:6">
      <c r="A28" s="1261" t="s">
        <v>18</v>
      </c>
      <c r="B28" s="1263">
        <v>15</v>
      </c>
      <c r="C28" s="322"/>
      <c r="D28" s="322"/>
      <c r="E28" s="322"/>
      <c r="F28" s="322"/>
    </row>
    <row r="29" spans="1:6">
      <c r="A29" s="1261" t="s">
        <v>901</v>
      </c>
      <c r="B29" s="1263">
        <v>176</v>
      </c>
      <c r="C29" s="322"/>
      <c r="D29" s="322"/>
      <c r="E29" s="322"/>
      <c r="F29" s="322"/>
    </row>
    <row r="30" spans="1:6">
      <c r="A30" s="1256" t="s">
        <v>902</v>
      </c>
      <c r="B30" s="1264">
        <v>34</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1</v>
      </c>
      <c r="D38" s="1262">
        <v>26341</v>
      </c>
      <c r="E38" s="1262">
        <v>1</v>
      </c>
      <c r="F38" s="1262">
        <v>128</v>
      </c>
    </row>
    <row r="39" spans="1:6">
      <c r="A39" s="1261" t="s">
        <v>29</v>
      </c>
      <c r="B39" s="1261" t="s">
        <v>30</v>
      </c>
      <c r="C39" s="1262">
        <v>1308</v>
      </c>
      <c r="D39" s="1262">
        <v>21109204</v>
      </c>
      <c r="E39" s="1262">
        <v>3724</v>
      </c>
      <c r="F39" s="1262">
        <v>15323884</v>
      </c>
    </row>
    <row r="40" spans="1:6">
      <c r="A40" s="1261" t="s">
        <v>29</v>
      </c>
      <c r="B40" s="1261" t="s">
        <v>28</v>
      </c>
      <c r="C40" s="1262">
        <v>0</v>
      </c>
      <c r="D40" s="1262">
        <v>0</v>
      </c>
      <c r="E40" s="1262">
        <v>0</v>
      </c>
      <c r="F40" s="1262">
        <v>0</v>
      </c>
    </row>
    <row r="41" spans="1:6">
      <c r="A41" s="1261" t="s">
        <v>31</v>
      </c>
      <c r="B41" s="1261" t="s">
        <v>32</v>
      </c>
      <c r="C41" s="1262">
        <v>18</v>
      </c>
      <c r="D41" s="1262">
        <v>322426</v>
      </c>
      <c r="E41" s="1262">
        <v>73</v>
      </c>
      <c r="F41" s="1262">
        <v>607995</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3</v>
      </c>
      <c r="F44" s="1262">
        <v>168760</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4</v>
      </c>
      <c r="F47" s="1262">
        <v>22251</v>
      </c>
    </row>
    <row r="48" spans="1:6">
      <c r="A48" s="1261" t="s">
        <v>31</v>
      </c>
      <c r="B48" s="1261" t="s">
        <v>28</v>
      </c>
      <c r="C48" s="1262">
        <v>2</v>
      </c>
      <c r="D48" s="1262">
        <v>82932</v>
      </c>
      <c r="E48" s="1262">
        <v>1</v>
      </c>
      <c r="F48" s="1262">
        <v>14000</v>
      </c>
    </row>
    <row r="49" spans="1:6">
      <c r="A49" s="1261" t="s">
        <v>31</v>
      </c>
      <c r="B49" s="1261" t="s">
        <v>39</v>
      </c>
      <c r="C49" s="1262">
        <v>0</v>
      </c>
      <c r="D49" s="1262">
        <v>0</v>
      </c>
      <c r="E49" s="1262">
        <v>0</v>
      </c>
      <c r="F49" s="1262">
        <v>0</v>
      </c>
    </row>
    <row r="50" spans="1:6">
      <c r="A50" s="1261" t="s">
        <v>31</v>
      </c>
      <c r="B50" s="1261" t="s">
        <v>40</v>
      </c>
      <c r="C50" s="1262">
        <v>0</v>
      </c>
      <c r="D50" s="1262">
        <v>0</v>
      </c>
      <c r="E50" s="1262">
        <v>12</v>
      </c>
      <c r="F50" s="1262">
        <v>276801</v>
      </c>
    </row>
    <row r="51" spans="1:6">
      <c r="A51" s="1261" t="s">
        <v>41</v>
      </c>
      <c r="B51" s="1261" t="s">
        <v>42</v>
      </c>
      <c r="C51" s="1262">
        <v>3</v>
      </c>
      <c r="D51" s="1262">
        <v>99821</v>
      </c>
      <c r="E51" s="1262">
        <v>55</v>
      </c>
      <c r="F51" s="1262">
        <v>438521</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5</v>
      </c>
      <c r="F54" s="1262">
        <v>619955</v>
      </c>
    </row>
    <row r="55" spans="1:6">
      <c r="A55" s="1261" t="s">
        <v>45</v>
      </c>
      <c r="B55" s="1261" t="s">
        <v>28</v>
      </c>
      <c r="C55" s="1262">
        <v>0</v>
      </c>
      <c r="D55" s="1262">
        <v>0</v>
      </c>
      <c r="E55" s="1262">
        <v>0</v>
      </c>
      <c r="F55" s="1262">
        <v>0</v>
      </c>
    </row>
    <row r="56" spans="1:6">
      <c r="A56" s="1261" t="s">
        <v>47</v>
      </c>
      <c r="B56" s="1261" t="s">
        <v>28</v>
      </c>
      <c r="C56" s="1262">
        <v>39</v>
      </c>
      <c r="D56" s="1262">
        <v>2554085</v>
      </c>
      <c r="E56" s="1262">
        <v>129</v>
      </c>
      <c r="F56" s="1262">
        <v>1148878</v>
      </c>
    </row>
    <row r="57" spans="1:6">
      <c r="A57" s="1261" t="s">
        <v>48</v>
      </c>
      <c r="B57" s="1261" t="s">
        <v>49</v>
      </c>
      <c r="C57" s="1262">
        <v>15</v>
      </c>
      <c r="D57" s="1262">
        <v>350389</v>
      </c>
      <c r="E57" s="1262">
        <v>39</v>
      </c>
      <c r="F57" s="1262">
        <v>934498</v>
      </c>
    </row>
    <row r="58" spans="1:6">
      <c r="A58" s="1261" t="s">
        <v>48</v>
      </c>
      <c r="B58" s="1261" t="s">
        <v>50</v>
      </c>
      <c r="C58" s="1262">
        <v>7</v>
      </c>
      <c r="D58" s="1262">
        <v>1007497</v>
      </c>
      <c r="E58" s="1262">
        <v>19</v>
      </c>
      <c r="F58" s="1262">
        <v>135217</v>
      </c>
    </row>
    <row r="59" spans="1:6">
      <c r="A59" s="1261" t="s">
        <v>48</v>
      </c>
      <c r="B59" s="1261" t="s">
        <v>51</v>
      </c>
      <c r="C59" s="1262">
        <v>20</v>
      </c>
      <c r="D59" s="1262">
        <v>603602</v>
      </c>
      <c r="E59" s="1262">
        <v>87</v>
      </c>
      <c r="F59" s="1262">
        <v>1678297.1216730038</v>
      </c>
    </row>
    <row r="60" spans="1:6">
      <c r="A60" s="1261" t="s">
        <v>48</v>
      </c>
      <c r="B60" s="1261" t="s">
        <v>52</v>
      </c>
      <c r="C60" s="1262">
        <v>7</v>
      </c>
      <c r="D60" s="1262">
        <v>297806</v>
      </c>
      <c r="E60" s="1262">
        <v>22</v>
      </c>
      <c r="F60" s="1262">
        <v>386700</v>
      </c>
    </row>
    <row r="61" spans="1:6">
      <c r="A61" s="1261" t="s">
        <v>48</v>
      </c>
      <c r="B61" s="1261" t="s">
        <v>53</v>
      </c>
      <c r="C61" s="1262">
        <v>39</v>
      </c>
      <c r="D61" s="1262">
        <v>1440309</v>
      </c>
      <c r="E61" s="1262">
        <v>193</v>
      </c>
      <c r="F61" s="1262">
        <v>1992479.4845938375</v>
      </c>
    </row>
    <row r="62" spans="1:6">
      <c r="A62" s="1261" t="s">
        <v>48</v>
      </c>
      <c r="B62" s="1261" t="s">
        <v>54</v>
      </c>
      <c r="C62" s="1262">
        <v>3</v>
      </c>
      <c r="D62" s="1262">
        <v>155043</v>
      </c>
      <c r="E62" s="1262">
        <v>3</v>
      </c>
      <c r="F62" s="1262">
        <v>32243</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0</v>
      </c>
      <c r="D65" s="1262">
        <v>0</v>
      </c>
      <c r="E65" s="1262">
        <v>1</v>
      </c>
      <c r="F65" s="1262">
        <v>29521</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9</v>
      </c>
      <c r="F68" s="1264">
        <v>44508</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17323867</v>
      </c>
      <c r="E73" s="440"/>
      <c r="F73" s="322"/>
    </row>
    <row r="74" spans="1:6">
      <c r="A74" s="1261" t="s">
        <v>63</v>
      </c>
      <c r="B74" s="1261" t="s">
        <v>670</v>
      </c>
      <c r="C74" s="1274" t="s">
        <v>672</v>
      </c>
      <c r="D74" s="1262">
        <v>1903150.0291692601</v>
      </c>
      <c r="E74" s="440"/>
      <c r="F74" s="322"/>
    </row>
    <row r="75" spans="1:6">
      <c r="A75" s="1261" t="s">
        <v>64</v>
      </c>
      <c r="B75" s="1261" t="s">
        <v>669</v>
      </c>
      <c r="C75" s="1274" t="s">
        <v>673</v>
      </c>
      <c r="D75" s="1262">
        <v>26529251</v>
      </c>
      <c r="E75" s="440"/>
      <c r="F75" s="322"/>
    </row>
    <row r="76" spans="1:6">
      <c r="A76" s="1261" t="s">
        <v>64</v>
      </c>
      <c r="B76" s="1261" t="s">
        <v>670</v>
      </c>
      <c r="C76" s="1274" t="s">
        <v>674</v>
      </c>
      <c r="D76" s="1262">
        <v>1143967.0291692601</v>
      </c>
      <c r="E76" s="440"/>
      <c r="F76" s="322"/>
    </row>
    <row r="77" spans="1:6">
      <c r="A77" s="1261" t="s">
        <v>65</v>
      </c>
      <c r="B77" s="1261" t="s">
        <v>669</v>
      </c>
      <c r="C77" s="1274" t="s">
        <v>675</v>
      </c>
      <c r="D77" s="1262">
        <v>74813519</v>
      </c>
      <c r="E77" s="440"/>
      <c r="F77" s="322"/>
    </row>
    <row r="78" spans="1:6">
      <c r="A78" s="1256" t="s">
        <v>65</v>
      </c>
      <c r="B78" s="1256" t="s">
        <v>670</v>
      </c>
      <c r="C78" s="1256" t="s">
        <v>676</v>
      </c>
      <c r="D78" s="1264">
        <v>7762084</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333005.94166148012</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2734.9708080675982</v>
      </c>
      <c r="C91" s="322"/>
      <c r="D91" s="322"/>
      <c r="E91" s="322"/>
      <c r="F91" s="322"/>
    </row>
    <row r="92" spans="1:6">
      <c r="A92" s="1256" t="s">
        <v>68</v>
      </c>
      <c r="B92" s="1257">
        <v>223.34076925472596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346</v>
      </c>
      <c r="C97" s="322"/>
      <c r="D97" s="322"/>
      <c r="E97" s="322"/>
      <c r="F97" s="322"/>
    </row>
    <row r="98" spans="1:6">
      <c r="A98" s="1261" t="s">
        <v>71</v>
      </c>
      <c r="B98" s="1262">
        <v>3</v>
      </c>
      <c r="C98" s="322"/>
      <c r="D98" s="322"/>
      <c r="E98" s="322"/>
      <c r="F98" s="322"/>
    </row>
    <row r="99" spans="1:6">
      <c r="A99" s="1261" t="s">
        <v>72</v>
      </c>
      <c r="B99" s="1262">
        <v>91</v>
      </c>
      <c r="C99" s="322"/>
      <c r="D99" s="322"/>
      <c r="E99" s="322"/>
      <c r="F99" s="322"/>
    </row>
    <row r="100" spans="1:6">
      <c r="A100" s="1261" t="s">
        <v>73</v>
      </c>
      <c r="B100" s="1262">
        <v>270</v>
      </c>
      <c r="C100" s="322"/>
      <c r="D100" s="322"/>
      <c r="E100" s="322"/>
      <c r="F100" s="322"/>
    </row>
    <row r="101" spans="1:6">
      <c r="A101" s="1261" t="s">
        <v>74</v>
      </c>
      <c r="B101" s="1262">
        <v>71</v>
      </c>
      <c r="C101" s="322"/>
      <c r="D101" s="322"/>
      <c r="E101" s="322"/>
      <c r="F101" s="322"/>
    </row>
    <row r="102" spans="1:6">
      <c r="A102" s="1261" t="s">
        <v>75</v>
      </c>
      <c r="B102" s="1262">
        <v>29</v>
      </c>
      <c r="C102" s="322"/>
      <c r="D102" s="322"/>
      <c r="E102" s="322"/>
      <c r="F102" s="322"/>
    </row>
    <row r="103" spans="1:6">
      <c r="A103" s="1261" t="s">
        <v>76</v>
      </c>
      <c r="B103" s="1262">
        <v>94</v>
      </c>
      <c r="C103" s="322"/>
      <c r="D103" s="322"/>
      <c r="E103" s="322"/>
      <c r="F103" s="322"/>
    </row>
    <row r="104" spans="1:6">
      <c r="A104" s="1261" t="s">
        <v>77</v>
      </c>
      <c r="B104" s="1262">
        <v>2304</v>
      </c>
      <c r="C104" s="322"/>
      <c r="D104" s="322"/>
      <c r="E104" s="322"/>
      <c r="F104" s="322"/>
    </row>
    <row r="105" spans="1:6">
      <c r="A105" s="1256" t="s">
        <v>78</v>
      </c>
      <c r="B105" s="1264">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15</v>
      </c>
      <c r="C123" s="1262">
        <v>10</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87</v>
      </c>
      <c r="C129" s="322"/>
      <c r="D129" s="322"/>
      <c r="E129" s="322"/>
      <c r="F129" s="322"/>
    </row>
    <row r="130" spans="1:6">
      <c r="A130" s="1261" t="s">
        <v>284</v>
      </c>
      <c r="B130" s="1262">
        <v>0</v>
      </c>
      <c r="C130" s="322"/>
      <c r="D130" s="322"/>
      <c r="E130" s="322"/>
      <c r="F130" s="322"/>
    </row>
    <row r="131" spans="1:6">
      <c r="A131" s="1261" t="s">
        <v>285</v>
      </c>
      <c r="B131" s="1262">
        <v>1</v>
      </c>
      <c r="C131" s="322"/>
      <c r="D131" s="322"/>
      <c r="E131" s="322"/>
      <c r="F131" s="322"/>
    </row>
    <row r="132" spans="1:6">
      <c r="A132" s="1256" t="s">
        <v>286</v>
      </c>
      <c r="B132" s="1257">
        <v>24</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26539.340464761532</v>
      </c>
      <c r="C3" s="43" t="s">
        <v>163</v>
      </c>
      <c r="D3" s="43"/>
      <c r="E3" s="153"/>
      <c r="F3" s="43"/>
      <c r="G3" s="43"/>
      <c r="H3" s="43"/>
      <c r="I3" s="43"/>
      <c r="J3" s="43"/>
      <c r="K3" s="96"/>
    </row>
    <row r="4" spans="1:11">
      <c r="A4" s="349" t="s">
        <v>164</v>
      </c>
      <c r="B4" s="49">
        <f>IF(ISERROR('SEAP template'!B78+'SEAP template'!C78),0,'SEAP template'!B78+'SEAP template'!C78)</f>
        <v>2958.3115773223244</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0.19636536902805399</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619.95500000000004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619.95500000000004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0.19636536902805399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121.73769235578722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15323.884</v>
      </c>
      <c r="C5" s="17">
        <f>IF(ISERROR('Eigen informatie GS &amp; warmtenet'!B57),0,'Eigen informatie GS &amp; warmtenet'!B57)</f>
        <v>0</v>
      </c>
      <c r="D5" s="30">
        <f>(SUM(HH_hh_gas_kWh,HH_rest_gas_kWh)/1000)*0.902</f>
        <v>19040.502008000003</v>
      </c>
      <c r="E5" s="17">
        <f>B32*B41</f>
        <v>1280.6713143698594</v>
      </c>
      <c r="F5" s="17">
        <f>B36*B45</f>
        <v>40401.184523233605</v>
      </c>
      <c r="G5" s="18"/>
      <c r="H5" s="17"/>
      <c r="I5" s="17"/>
      <c r="J5" s="17">
        <f>B35*B44+C35*C44</f>
        <v>942.15409686999283</v>
      </c>
      <c r="K5" s="17"/>
      <c r="L5" s="17"/>
      <c r="M5" s="17"/>
      <c r="N5" s="17">
        <f>B34*B43+C34*C43</f>
        <v>4777.8013401620783</v>
      </c>
      <c r="O5" s="17">
        <f>B52*B53*B54</f>
        <v>151.64333333333335</v>
      </c>
      <c r="P5" s="17">
        <f>B60*B61*B62/1000-B60*B61*B62/1000/B63</f>
        <v>762.66666666666674</v>
      </c>
    </row>
    <row r="6" spans="1:16">
      <c r="A6" s="16" t="s">
        <v>593</v>
      </c>
      <c r="B6" s="717">
        <f>kWh_PV_kleiner_dan_10kW</f>
        <v>2734.9708080675982</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18058.854808067597</v>
      </c>
      <c r="C8" s="21">
        <f>C5</f>
        <v>0</v>
      </c>
      <c r="D8" s="21">
        <f>D5</f>
        <v>19040.502008000003</v>
      </c>
      <c r="E8" s="21">
        <f>E5</f>
        <v>1280.6713143698594</v>
      </c>
      <c r="F8" s="21">
        <f>F5</f>
        <v>40401.184523233605</v>
      </c>
      <c r="G8" s="21"/>
      <c r="H8" s="21"/>
      <c r="I8" s="21"/>
      <c r="J8" s="21">
        <f>J5</f>
        <v>942.15409686999283</v>
      </c>
      <c r="K8" s="21"/>
      <c r="L8" s="21">
        <f>L5</f>
        <v>0</v>
      </c>
      <c r="M8" s="21">
        <f>M5</f>
        <v>0</v>
      </c>
      <c r="N8" s="21">
        <f>N5</f>
        <v>4777.8013401620783</v>
      </c>
      <c r="O8" s="21">
        <f>O5</f>
        <v>151.64333333333335</v>
      </c>
      <c r="P8" s="21">
        <f>P5</f>
        <v>762.66666666666674</v>
      </c>
    </row>
    <row r="9" spans="1:16">
      <c r="B9" s="19"/>
      <c r="C9" s="19"/>
      <c r="D9" s="253"/>
      <c r="E9" s="19"/>
      <c r="F9" s="19"/>
      <c r="G9" s="19"/>
      <c r="H9" s="19"/>
      <c r="I9" s="19"/>
      <c r="J9" s="19"/>
      <c r="K9" s="19"/>
      <c r="L9" s="19"/>
      <c r="M9" s="19"/>
      <c r="N9" s="19"/>
      <c r="O9" s="19"/>
      <c r="P9" s="19"/>
    </row>
    <row r="10" spans="1:16">
      <c r="A10" s="24" t="s">
        <v>207</v>
      </c>
      <c r="B10" s="25">
        <f ca="1">'EF ele_warmte'!B12</f>
        <v>0.19636536902805399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3546.1336886102408</v>
      </c>
      <c r="C12" s="23">
        <f ca="1">C10*C8</f>
        <v>0</v>
      </c>
      <c r="D12" s="23">
        <f>D8*D10</f>
        <v>3846.181405616001</v>
      </c>
      <c r="E12" s="23">
        <f>E10*E8</f>
        <v>290.71238836195806</v>
      </c>
      <c r="F12" s="23">
        <f>F10*F8</f>
        <v>10787.116267703374</v>
      </c>
      <c r="G12" s="23"/>
      <c r="H12" s="23"/>
      <c r="I12" s="23"/>
      <c r="J12" s="23">
        <f>J10*J8</f>
        <v>333.52255029197744</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3827</v>
      </c>
      <c r="C26" s="36"/>
      <c r="D26" s="224"/>
    </row>
    <row r="27" spans="1:5" s="15" customFormat="1">
      <c r="A27" s="226" t="s">
        <v>696</v>
      </c>
      <c r="B27" s="37">
        <f>SUM(HH_hh_gas_aantal,HH_rest_gas_aantal)</f>
        <v>1308</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1242.5999999999999</v>
      </c>
      <c r="C31" s="34" t="s">
        <v>104</v>
      </c>
      <c r="D31" s="170"/>
    </row>
    <row r="32" spans="1:5">
      <c r="A32" s="167" t="s">
        <v>72</v>
      </c>
      <c r="B32" s="33">
        <f>IF((B21*($B$26-($B$27-0.05*$B$27)-$B$60))&lt;0,0,B21*($B$26-($B$27-0.05*$B$27)-$B$60))</f>
        <v>16.043002911974206</v>
      </c>
      <c r="C32" s="34" t="s">
        <v>104</v>
      </c>
      <c r="D32" s="170"/>
    </row>
    <row r="33" spans="1:6">
      <c r="A33" s="167" t="s">
        <v>73</v>
      </c>
      <c r="B33" s="33">
        <f>IF((B22*($B$26-($B$27-0.05*$B$27)-$B$60))&lt;0,0,B22*($B$26-($B$27-0.05*$B$27)-$B$60))</f>
        <v>558.67564104425583</v>
      </c>
      <c r="C33" s="34" t="s">
        <v>104</v>
      </c>
      <c r="D33" s="170"/>
    </row>
    <row r="34" spans="1:6">
      <c r="A34" s="167" t="s">
        <v>74</v>
      </c>
      <c r="B34" s="33">
        <f>IF((B24*($B$26-($B$27-0.05*$B$27)-$B$60))&lt;0,0,B24*($B$26-($B$27-0.05*$B$27)-$B$60))</f>
        <v>110.8946432077684</v>
      </c>
      <c r="C34" s="33">
        <f>B26*C24</f>
        <v>783.00298463855756</v>
      </c>
      <c r="D34" s="229"/>
    </row>
    <row r="35" spans="1:6">
      <c r="A35" s="167" t="s">
        <v>76</v>
      </c>
      <c r="B35" s="33">
        <f>IF((B19*($B$26-($B$27-0.05*$B$27)-$B$60))&lt;0,0,B19*($B$26-($B$27-0.05*$B$27)-$B$60))</f>
        <v>54.178339738606319</v>
      </c>
      <c r="C35" s="33">
        <f>B35/2</f>
        <v>27.089169869303159</v>
      </c>
      <c r="D35" s="229"/>
    </row>
    <row r="36" spans="1:6">
      <c r="A36" s="167" t="s">
        <v>77</v>
      </c>
      <c r="B36" s="33">
        <f>IF((B18*($B$26-($B$27-0.05*$B$27)-$B$60))&lt;0,0,B18*($B$26-($B$27-0.05*$B$27)-$B$60))</f>
        <v>1804.6083730973962</v>
      </c>
      <c r="C36" s="34" t="s">
        <v>104</v>
      </c>
      <c r="D36" s="170"/>
    </row>
    <row r="37" spans="1:6">
      <c r="A37" s="167" t="s">
        <v>78</v>
      </c>
      <c r="B37" s="33">
        <f>B60</f>
        <v>40</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97</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40</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5159.434606266841</v>
      </c>
      <c r="C5" s="17">
        <f>IF(ISERROR('Eigen informatie GS &amp; warmtenet'!B58),0,'Eigen informatie GS &amp; warmtenet'!B58)</f>
        <v>0</v>
      </c>
      <c r="D5" s="30">
        <f>SUM(D6:D12)</f>
        <v>3476.8906919999999</v>
      </c>
      <c r="E5" s="17">
        <f>SUM(E6:E12)</f>
        <v>79.232394051386621</v>
      </c>
      <c r="F5" s="17">
        <f>SUM(F6:F12)</f>
        <v>1218.8333047780975</v>
      </c>
      <c r="G5" s="18"/>
      <c r="H5" s="17"/>
      <c r="I5" s="17"/>
      <c r="J5" s="17">
        <f>SUM(J6:J12)</f>
        <v>0</v>
      </c>
      <c r="K5" s="17"/>
      <c r="L5" s="17"/>
      <c r="M5" s="17"/>
      <c r="N5" s="17">
        <f>SUM(N6:N12)</f>
        <v>417.75827932917656</v>
      </c>
      <c r="O5" s="17">
        <f>B38*B39*B40</f>
        <v>0</v>
      </c>
      <c r="P5" s="17">
        <f>B46*B47*B48/1000-B46*B47*B48/1000/B49</f>
        <v>19.066666666666666</v>
      </c>
      <c r="R5" s="32"/>
    </row>
    <row r="6" spans="1:18">
      <c r="A6" s="32" t="s">
        <v>53</v>
      </c>
      <c r="B6" s="37">
        <f>B26</f>
        <v>1992.4794845938375</v>
      </c>
      <c r="C6" s="33"/>
      <c r="D6" s="37">
        <f>IF(ISERROR(TER_kantoor_gas_kWh/1000),0,TER_kantoor_gas_kWh/1000)*0.902</f>
        <v>1299.1587179999999</v>
      </c>
      <c r="E6" s="33">
        <f>$C$26*'E Balans VL '!I12/100/3.6*1000000</f>
        <v>2.79425128664515E-2</v>
      </c>
      <c r="F6" s="33">
        <f>$C$26*('E Balans VL '!L12+'E Balans VL '!N12)/100/3.6*1000000</f>
        <v>276.95137889700328</v>
      </c>
      <c r="G6" s="34"/>
      <c r="H6" s="33"/>
      <c r="I6" s="33"/>
      <c r="J6" s="33">
        <f>$C$26*('E Balans VL '!D12+'E Balans VL '!E12)/100/3.6*1000000</f>
        <v>0</v>
      </c>
      <c r="K6" s="33"/>
      <c r="L6" s="33"/>
      <c r="M6" s="33"/>
      <c r="N6" s="33">
        <f>$C$26*'E Balans VL '!Y12/100/3.6*1000000</f>
        <v>24.660485778299677</v>
      </c>
      <c r="O6" s="33"/>
      <c r="P6" s="33"/>
      <c r="R6" s="32"/>
    </row>
    <row r="7" spans="1:18">
      <c r="A7" s="32" t="s">
        <v>52</v>
      </c>
      <c r="B7" s="37">
        <f t="shared" ref="B7:B12" si="0">B27</f>
        <v>386.7</v>
      </c>
      <c r="C7" s="33"/>
      <c r="D7" s="37">
        <f>IF(ISERROR(TER_horeca_gas_kWh/1000),0,TER_horeca_gas_kWh/1000)*0.902</f>
        <v>268.62101200000001</v>
      </c>
      <c r="E7" s="33">
        <f>$C$27*'E Balans VL '!I9/100/3.6*1000000</f>
        <v>5.5198486038165839</v>
      </c>
      <c r="F7" s="33">
        <f>$C$27*('E Balans VL '!L9+'E Balans VL '!N9)/100/3.6*1000000</f>
        <v>60.116300737884309</v>
      </c>
      <c r="G7" s="34"/>
      <c r="H7" s="33"/>
      <c r="I7" s="33"/>
      <c r="J7" s="33">
        <f>$C$27*('E Balans VL '!D9+'E Balans VL '!E9)/100/3.6*1000000</f>
        <v>0</v>
      </c>
      <c r="K7" s="33"/>
      <c r="L7" s="33"/>
      <c r="M7" s="33"/>
      <c r="N7" s="33">
        <f>$C$27*'E Balans VL '!Y9/100/3.6*1000000</f>
        <v>9.9646505598555077E-2</v>
      </c>
      <c r="O7" s="33"/>
      <c r="P7" s="33"/>
      <c r="R7" s="32"/>
    </row>
    <row r="8" spans="1:18">
      <c r="A8" s="6" t="s">
        <v>51</v>
      </c>
      <c r="B8" s="37">
        <f t="shared" si="0"/>
        <v>1678.2971216730039</v>
      </c>
      <c r="C8" s="33"/>
      <c r="D8" s="37">
        <f>IF(ISERROR(TER_handel_gas_kWh/1000),0,TER_handel_gas_kWh/1000)*0.902</f>
        <v>544.44900399999995</v>
      </c>
      <c r="E8" s="33">
        <f>$C$28*'E Balans VL '!I13/100/3.6*1000000</f>
        <v>45.423501110256034</v>
      </c>
      <c r="F8" s="33">
        <f>$C$28*('E Balans VL '!L13+'E Balans VL '!N13)/100/3.6*1000000</f>
        <v>260.60826962536419</v>
      </c>
      <c r="G8" s="34"/>
      <c r="H8" s="33"/>
      <c r="I8" s="33"/>
      <c r="J8" s="33">
        <f>$C$28*('E Balans VL '!D13+'E Balans VL '!E13)/100/3.6*1000000</f>
        <v>0</v>
      </c>
      <c r="K8" s="33"/>
      <c r="L8" s="33"/>
      <c r="M8" s="33"/>
      <c r="N8" s="33">
        <f>$C$28*'E Balans VL '!Y13/100/3.6*1000000</f>
        <v>13.598703569081403</v>
      </c>
      <c r="O8" s="33"/>
      <c r="P8" s="33"/>
      <c r="R8" s="32"/>
    </row>
    <row r="9" spans="1:18">
      <c r="A9" s="32" t="s">
        <v>50</v>
      </c>
      <c r="B9" s="37">
        <f t="shared" si="0"/>
        <v>135.21700000000001</v>
      </c>
      <c r="C9" s="33"/>
      <c r="D9" s="37">
        <f>IF(ISERROR(TER_gezond_gas_kWh/1000),0,TER_gezond_gas_kWh/1000)*0.902</f>
        <v>908.762294</v>
      </c>
      <c r="E9" s="33">
        <f>$C$29*'E Balans VL '!I10/100/3.6*1000000</f>
        <v>8.4374705108008017E-3</v>
      </c>
      <c r="F9" s="33">
        <f>$C$29*('E Balans VL '!L10+'E Balans VL '!N10)/100/3.6*1000000</f>
        <v>17.505128098555918</v>
      </c>
      <c r="G9" s="34"/>
      <c r="H9" s="33"/>
      <c r="I9" s="33"/>
      <c r="J9" s="33">
        <f>$C$29*('E Balans VL '!D10+'E Balans VL '!E10)/100/3.6*1000000</f>
        <v>0</v>
      </c>
      <c r="K9" s="33"/>
      <c r="L9" s="33"/>
      <c r="M9" s="33"/>
      <c r="N9" s="33">
        <f>$C$29*'E Balans VL '!Y10/100/3.6*1000000</f>
        <v>1.1086472665249236</v>
      </c>
      <c r="O9" s="33"/>
      <c r="P9" s="33"/>
      <c r="R9" s="32"/>
    </row>
    <row r="10" spans="1:18">
      <c r="A10" s="32" t="s">
        <v>49</v>
      </c>
      <c r="B10" s="37">
        <f t="shared" si="0"/>
        <v>934.49800000000005</v>
      </c>
      <c r="C10" s="33"/>
      <c r="D10" s="37">
        <f>IF(ISERROR(TER_ander_gas_kWh/1000),0,TER_ander_gas_kWh/1000)*0.902</f>
        <v>316.05087800000001</v>
      </c>
      <c r="E10" s="33">
        <f>$C$30*'E Balans VL '!I14/100/3.6*1000000</f>
        <v>28.212058341319182</v>
      </c>
      <c r="F10" s="33">
        <f>$C$30*('E Balans VL '!L14+'E Balans VL '!N14)/100/3.6*1000000</f>
        <v>591.67541928673029</v>
      </c>
      <c r="G10" s="34"/>
      <c r="H10" s="33"/>
      <c r="I10" s="33"/>
      <c r="J10" s="33">
        <f>$C$30*('E Balans VL '!D14+'E Balans VL '!E14)/100/3.6*1000000</f>
        <v>0</v>
      </c>
      <c r="K10" s="33"/>
      <c r="L10" s="33"/>
      <c r="M10" s="33"/>
      <c r="N10" s="33">
        <f>$C$30*'E Balans VL '!Y14/100/3.6*1000000</f>
        <v>378.24996638958288</v>
      </c>
      <c r="O10" s="33"/>
      <c r="P10" s="33"/>
      <c r="R10" s="32"/>
    </row>
    <row r="11" spans="1:18">
      <c r="A11" s="32" t="s">
        <v>54</v>
      </c>
      <c r="B11" s="37">
        <f t="shared" si="0"/>
        <v>32.243000000000002</v>
      </c>
      <c r="C11" s="33"/>
      <c r="D11" s="37">
        <f>IF(ISERROR(TER_onderwijs_gas_kWh/1000),0,TER_onderwijs_gas_kWh/1000)*0.902</f>
        <v>139.84878600000002</v>
      </c>
      <c r="E11" s="33">
        <f>$C$31*'E Balans VL '!I11/100/3.6*1000000</f>
        <v>4.0606012617577146E-2</v>
      </c>
      <c r="F11" s="33">
        <f>$C$31*('E Balans VL '!L11+'E Balans VL '!N11)/100/3.6*1000000</f>
        <v>11.976808132559436</v>
      </c>
      <c r="G11" s="34"/>
      <c r="H11" s="33"/>
      <c r="I11" s="33"/>
      <c r="J11" s="33">
        <f>$C$31*('E Balans VL '!D11+'E Balans VL '!E11)/100/3.6*1000000</f>
        <v>0</v>
      </c>
      <c r="K11" s="33"/>
      <c r="L11" s="33"/>
      <c r="M11" s="33"/>
      <c r="N11" s="33">
        <f>$C$31*'E Balans VL '!Y11/100/3.6*1000000</f>
        <v>4.0829820089109986E-2</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5159.434606266841</v>
      </c>
      <c r="C16" s="21">
        <f t="shared" ca="1" si="1"/>
        <v>0</v>
      </c>
      <c r="D16" s="21">
        <f t="shared" ca="1" si="1"/>
        <v>3476.8906919999999</v>
      </c>
      <c r="E16" s="21">
        <f t="shared" si="1"/>
        <v>79.232394051386621</v>
      </c>
      <c r="F16" s="21">
        <f t="shared" ca="1" si="1"/>
        <v>1218.8333047780975</v>
      </c>
      <c r="G16" s="21">
        <f t="shared" si="1"/>
        <v>0</v>
      </c>
      <c r="H16" s="21">
        <f t="shared" si="1"/>
        <v>0</v>
      </c>
      <c r="I16" s="21">
        <f t="shared" si="1"/>
        <v>0</v>
      </c>
      <c r="J16" s="21">
        <f t="shared" si="1"/>
        <v>0</v>
      </c>
      <c r="K16" s="21">
        <f t="shared" si="1"/>
        <v>0</v>
      </c>
      <c r="L16" s="21">
        <f t="shared" ca="1" si="1"/>
        <v>0</v>
      </c>
      <c r="M16" s="21">
        <f t="shared" si="1"/>
        <v>0</v>
      </c>
      <c r="N16" s="21">
        <f t="shared" ca="1" si="1"/>
        <v>417.75827932917656</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0.19636536902805399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1013.1342804357007</v>
      </c>
      <c r="C20" s="23">
        <f t="shared" ref="C20:P20" ca="1" si="2">C16*C18</f>
        <v>0</v>
      </c>
      <c r="D20" s="23">
        <f t="shared" ca="1" si="2"/>
        <v>702.33191978399998</v>
      </c>
      <c r="E20" s="23">
        <f t="shared" si="2"/>
        <v>17.985753449664763</v>
      </c>
      <c r="F20" s="23">
        <f t="shared" ca="1" si="2"/>
        <v>325.42849237575206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1992.4794845938375</v>
      </c>
      <c r="C26" s="39">
        <f>IF(ISERROR(B26*3.6/1000000/'E Balans VL '!Z12*100),0,B26*3.6/1000000/'E Balans VL '!Z12*100)</f>
        <v>5.4119476274469641E-2</v>
      </c>
      <c r="D26" s="232" t="s">
        <v>651</v>
      </c>
      <c r="F26" s="6"/>
    </row>
    <row r="27" spans="1:18">
      <c r="A27" s="227" t="s">
        <v>52</v>
      </c>
      <c r="B27" s="33">
        <f>IF(ISERROR(TER_horeca_ele_kWh/1000),0,TER_horeca_ele_kWh/1000)</f>
        <v>386.7</v>
      </c>
      <c r="C27" s="39">
        <f>IF(ISERROR(B27*3.6/1000000/'E Balans VL '!Z9*100),0,B27*3.6/1000000/'E Balans VL '!Z9*100)</f>
        <v>3.1074356880298696E-2</v>
      </c>
      <c r="D27" s="232" t="s">
        <v>651</v>
      </c>
      <c r="F27" s="6"/>
    </row>
    <row r="28" spans="1:18">
      <c r="A28" s="167" t="s">
        <v>51</v>
      </c>
      <c r="B28" s="33">
        <f>IF(ISERROR(TER_handel_ele_kWh/1000),0,TER_handel_ele_kWh/1000)</f>
        <v>1678.2971216730039</v>
      </c>
      <c r="C28" s="39">
        <f>IF(ISERROR(B28*3.6/1000000/'E Balans VL '!Z13*100),0,B28*3.6/1000000/'E Balans VL '!Z13*100)</f>
        <v>4.9568720132415103E-2</v>
      </c>
      <c r="D28" s="232" t="s">
        <v>651</v>
      </c>
      <c r="F28" s="6"/>
    </row>
    <row r="29" spans="1:18">
      <c r="A29" s="227" t="s">
        <v>50</v>
      </c>
      <c r="B29" s="33">
        <f>IF(ISERROR(TER_gezond_ele_kWh/1000),0,TER_gezond_ele_kWh/1000)</f>
        <v>135.21700000000001</v>
      </c>
      <c r="C29" s="39">
        <f>IF(ISERROR(B29*3.6/1000000/'E Balans VL '!Z10*100),0,B29*3.6/1000000/'E Balans VL '!Z10*100)</f>
        <v>1.546422643793601E-2</v>
      </c>
      <c r="D29" s="232" t="s">
        <v>651</v>
      </c>
      <c r="F29" s="6"/>
    </row>
    <row r="30" spans="1:18">
      <c r="A30" s="227" t="s">
        <v>49</v>
      </c>
      <c r="B30" s="33">
        <f>IF(ISERROR(TER_ander_ele_kWh/1000),0,TER_ander_ele_kWh/1000)</f>
        <v>934.49800000000005</v>
      </c>
      <c r="C30" s="39">
        <f>IF(ISERROR(B30*3.6/1000000/'E Balans VL '!Z14*100),0,B30*3.6/1000000/'E Balans VL '!Z14*100)</f>
        <v>4.3671038671331285E-2</v>
      </c>
      <c r="D30" s="232" t="s">
        <v>651</v>
      </c>
      <c r="F30" s="6"/>
    </row>
    <row r="31" spans="1:18">
      <c r="A31" s="227" t="s">
        <v>54</v>
      </c>
      <c r="B31" s="33">
        <f>IF(ISERROR(TER_onderwijs_ele_kWh/1000),0,TER_onderwijs_ele_kWh/1000)</f>
        <v>32.243000000000002</v>
      </c>
      <c r="C31" s="39">
        <f>IF(ISERROR(B31*3.6/1000000/'E Balans VL '!Z11*100),0,B31*3.6/1000000/'E Balans VL '!Z11*100)</f>
        <v>8.5143626557066827E-3</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1089.807</v>
      </c>
      <c r="C5" s="17">
        <f>IF(ISERROR('Eigen informatie GS &amp; warmtenet'!B59),0,'Eigen informatie GS &amp; warmtenet'!B59)</f>
        <v>0</v>
      </c>
      <c r="D5" s="30">
        <f>SUM(D6:D15)</f>
        <v>365.63291600000002</v>
      </c>
      <c r="E5" s="17">
        <f>SUM(E6:E15)</f>
        <v>174.97730077617317</v>
      </c>
      <c r="F5" s="17">
        <f>SUM(F6:F15)</f>
        <v>1058.6038517297698</v>
      </c>
      <c r="G5" s="18"/>
      <c r="H5" s="17"/>
      <c r="I5" s="17"/>
      <c r="J5" s="17">
        <f>SUM(J6:J15)</f>
        <v>6.6834882520244818</v>
      </c>
      <c r="K5" s="17"/>
      <c r="L5" s="17"/>
      <c r="M5" s="17"/>
      <c r="N5" s="17">
        <f>SUM(N6:N15)</f>
        <v>201.43205734223764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168.76</v>
      </c>
      <c r="C8" s="33"/>
      <c r="D8" s="37">
        <f>IF( ISERROR(IND_metaal_Gas_kWH/1000),0,IND_metaal_Gas_kWH/1000)*0.902</f>
        <v>0</v>
      </c>
      <c r="E8" s="33">
        <f>C30*'E Balans VL '!I18/100/3.6*1000000</f>
        <v>4.2234721526537946</v>
      </c>
      <c r="F8" s="33">
        <f>C30*'E Balans VL '!L18/100/3.6*1000000+C30*'E Balans VL '!N18/100/3.6*1000000</f>
        <v>52.890223455411487</v>
      </c>
      <c r="G8" s="34"/>
      <c r="H8" s="33"/>
      <c r="I8" s="33"/>
      <c r="J8" s="40">
        <f>C30*'E Balans VL '!D18/100/3.6*1000000+C30*'E Balans VL '!E18/100/3.6*1000000</f>
        <v>0</v>
      </c>
      <c r="K8" s="33"/>
      <c r="L8" s="33"/>
      <c r="M8" s="33"/>
      <c r="N8" s="33">
        <f>C30*'E Balans VL '!Y18/100/3.6*1000000</f>
        <v>4.2396891703913129</v>
      </c>
      <c r="O8" s="33"/>
      <c r="P8" s="33"/>
      <c r="R8" s="32"/>
    </row>
    <row r="9" spans="1:18">
      <c r="A9" s="6" t="s">
        <v>32</v>
      </c>
      <c r="B9" s="37">
        <f t="shared" si="0"/>
        <v>607.995</v>
      </c>
      <c r="C9" s="33"/>
      <c r="D9" s="37">
        <f>IF( ISERROR(IND_andere_gas_kWh/1000),0,IND_andere_gas_kWh/1000)*0.902</f>
        <v>290.82825200000002</v>
      </c>
      <c r="E9" s="33">
        <f>C31*'E Balans VL '!I19/100/3.6*1000000</f>
        <v>167.17368805127404</v>
      </c>
      <c r="F9" s="33">
        <f>C31*'E Balans VL '!L19/100/3.6*1000000+C31*'E Balans VL '!N19/100/3.6*1000000</f>
        <v>479.20585872613276</v>
      </c>
      <c r="G9" s="34"/>
      <c r="H9" s="33"/>
      <c r="I9" s="33"/>
      <c r="J9" s="40">
        <f>C31*'E Balans VL '!D19/100/3.6*1000000+C31*'E Balans VL '!E19/100/3.6*1000000</f>
        <v>0</v>
      </c>
      <c r="K9" s="33"/>
      <c r="L9" s="33"/>
      <c r="M9" s="33"/>
      <c r="N9" s="33">
        <f>C31*'E Balans VL '!Y19/100/3.6*1000000</f>
        <v>48.980460331376861</v>
      </c>
      <c r="O9" s="33"/>
      <c r="P9" s="33"/>
      <c r="R9" s="32"/>
    </row>
    <row r="10" spans="1:18">
      <c r="A10" s="6" t="s">
        <v>40</v>
      </c>
      <c r="B10" s="37">
        <f t="shared" si="0"/>
        <v>276.80099999999999</v>
      </c>
      <c r="C10" s="33"/>
      <c r="D10" s="37">
        <f>IF( ISERROR(IND_voed_gas_kWh/1000),0,IND_voed_gas_kWh/1000)*0.902</f>
        <v>0</v>
      </c>
      <c r="E10" s="33">
        <f>C32*'E Balans VL '!I20/100/3.6*1000000</f>
        <v>2.8218337044589852</v>
      </c>
      <c r="F10" s="33">
        <f>C32*'E Balans VL '!L20/100/3.6*1000000+C32*'E Balans VL '!N20/100/3.6*1000000</f>
        <v>522.87535777686173</v>
      </c>
      <c r="G10" s="34"/>
      <c r="H10" s="33"/>
      <c r="I10" s="33"/>
      <c r="J10" s="40">
        <f>C32*'E Balans VL '!D20/100/3.6*1000000+C32*'E Balans VL '!E20/100/3.6*1000000</f>
        <v>6.6247536269724501</v>
      </c>
      <c r="K10" s="33"/>
      <c r="L10" s="33"/>
      <c r="M10" s="33"/>
      <c r="N10" s="33">
        <f>C32*'E Balans VL '!Y20/100/3.6*1000000</f>
        <v>145.9060105655235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22.251000000000001</v>
      </c>
      <c r="C13" s="33"/>
      <c r="D13" s="37">
        <f>IF( ISERROR(IND_papier_gas_kWh/1000),0,IND_papier_gas_kWh/1000)*0.902</f>
        <v>0</v>
      </c>
      <c r="E13" s="33">
        <f>C35*'E Balans VL '!I23/100/3.6*1000000</f>
        <v>4.6083322906334732E-2</v>
      </c>
      <c r="F13" s="33">
        <f>C35*'E Balans VL '!L23/100/3.6*1000000+C35*'E Balans VL '!N23/100/3.6*1000000</f>
        <v>0.44128503235257971</v>
      </c>
      <c r="G13" s="34"/>
      <c r="H13" s="33"/>
      <c r="I13" s="33"/>
      <c r="J13" s="40">
        <f>C35*'E Balans VL '!D23/100/3.6*1000000+C35*'E Balans VL '!E23/100/3.6*1000000</f>
        <v>0</v>
      </c>
      <c r="K13" s="33"/>
      <c r="L13" s="33"/>
      <c r="M13" s="33"/>
      <c r="N13" s="33">
        <f>C35*'E Balans VL '!Y23/100/3.6*1000000</f>
        <v>1.5432193187224159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v>
      </c>
      <c r="C15" s="33"/>
      <c r="D15" s="37">
        <f>IF( ISERROR(IND_rest_gas_kWh/1000),0,IND_rest_gas_kWh/1000)*0.902</f>
        <v>74.804664000000002</v>
      </c>
      <c r="E15" s="33">
        <f>C37*'E Balans VL '!I15/100/3.6*1000000</f>
        <v>0.71222354488004302</v>
      </c>
      <c r="F15" s="33">
        <f>C37*'E Balans VL '!L15/100/3.6*1000000+C37*'E Balans VL '!N15/100/3.6*1000000</f>
        <v>3.1911267390111688</v>
      </c>
      <c r="G15" s="34"/>
      <c r="H15" s="33"/>
      <c r="I15" s="33"/>
      <c r="J15" s="40">
        <f>C37*'E Balans VL '!D15/100/3.6*1000000+C37*'E Balans VL '!E15/100/3.6*1000000</f>
        <v>5.8734625052032058E-2</v>
      </c>
      <c r="K15" s="33"/>
      <c r="L15" s="33"/>
      <c r="M15" s="33"/>
      <c r="N15" s="33">
        <f>C37*'E Balans VL '!Y15/100/3.6*1000000</f>
        <v>0.76267795622357737</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1089.807</v>
      </c>
      <c r="C18" s="21">
        <f>C5+C16</f>
        <v>0</v>
      </c>
      <c r="D18" s="21">
        <f>MAX((D5+D16),0)</f>
        <v>365.63291600000002</v>
      </c>
      <c r="E18" s="21">
        <f>MAX((E5+E16),0)</f>
        <v>174.97730077617317</v>
      </c>
      <c r="F18" s="21">
        <f>MAX((F5+F16),0)</f>
        <v>1058.6038517297698</v>
      </c>
      <c r="G18" s="21"/>
      <c r="H18" s="21"/>
      <c r="I18" s="21"/>
      <c r="J18" s="21">
        <f>MAX((J5+J16),0)</f>
        <v>6.6834882520244818</v>
      </c>
      <c r="K18" s="21"/>
      <c r="L18" s="21">
        <f>MAX((L5+L16),0)</f>
        <v>0</v>
      </c>
      <c r="M18" s="21"/>
      <c r="N18" s="21">
        <f>MAX((N5+N16),0)</f>
        <v>201.43205734223764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0.19636536902805399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214.00035372435644</v>
      </c>
      <c r="C22" s="23">
        <f ca="1">C18*C20</f>
        <v>0</v>
      </c>
      <c r="D22" s="23">
        <f>D18*D20</f>
        <v>73.857849032000004</v>
      </c>
      <c r="E22" s="23">
        <f>E18*E20</f>
        <v>39.71984727619131</v>
      </c>
      <c r="F22" s="23">
        <f>F18*F20</f>
        <v>282.64722841184852</v>
      </c>
      <c r="G22" s="23"/>
      <c r="H22" s="23"/>
      <c r="I22" s="23"/>
      <c r="J22" s="23">
        <f>J18*J20</f>
        <v>2.3659548412166664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168.76</v>
      </c>
      <c r="C30" s="39">
        <f>IF(ISERROR(B30*3.6/1000000/'E Balans VL '!Z18*100),0,B30*3.6/1000000/'E Balans VL '!Z18*100)</f>
        <v>2.3620776010870075E-2</v>
      </c>
      <c r="D30" s="232" t="s">
        <v>651</v>
      </c>
    </row>
    <row r="31" spans="1:18">
      <c r="A31" s="6" t="s">
        <v>32</v>
      </c>
      <c r="B31" s="37">
        <f>IF( ISERROR(IND_ander_ele_kWh/1000),0,IND_ander_ele_kWh/1000)</f>
        <v>607.995</v>
      </c>
      <c r="C31" s="39">
        <f>IF(ISERROR(B31*3.6/1000000/'E Balans VL '!Z19*100),0,B31*3.6/1000000/'E Balans VL '!Z19*100)</f>
        <v>2.6611842519198094E-2</v>
      </c>
      <c r="D31" s="232" t="s">
        <v>651</v>
      </c>
    </row>
    <row r="32" spans="1:18">
      <c r="A32" s="167" t="s">
        <v>40</v>
      </c>
      <c r="B32" s="37">
        <f>IF( ISERROR(IND_voed_ele_kWh/1000),0,IND_voed_ele_kWh/1000)</f>
        <v>276.80099999999999</v>
      </c>
      <c r="C32" s="39">
        <f>IF(ISERROR(B32*3.6/1000000/'E Balans VL '!Z20*100),0,B32*3.6/1000000/'E Balans VL '!Z20*100)</f>
        <v>6.8526735492195137E-2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22.251000000000001</v>
      </c>
      <c r="C35" s="39">
        <f>IF(ISERROR(B35*3.6/1000000/'E Balans VL '!Z22*100),0,B35*3.6/1000000/'E Balans VL '!Z22*100)</f>
        <v>6.3139260079887868E-4</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14</v>
      </c>
      <c r="C37" s="39">
        <f>IF(ISERROR(B37*3.6/1000000/'E Balans VL '!Z15*100),0,B37*3.6/1000000/'E Balans VL '!Z15*100)</f>
        <v>1.0380760309857166E-4</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438.52100000000002</v>
      </c>
      <c r="C5" s="17">
        <f>'Eigen informatie GS &amp; warmtenet'!B60</f>
        <v>0</v>
      </c>
      <c r="D5" s="30">
        <f>IF(ISERROR(SUM(LB_lb_gas_kWh,LB_rest_gas_kWh)/1000),0,SUM(LB_lb_gas_kWh,LB_rest_gas_kWh)/1000)*0.902</f>
        <v>90.038542000000007</v>
      </c>
      <c r="E5" s="17">
        <f>B17*'E Balans VL '!I25/3.6*1000000/100</f>
        <v>9.4034423393879791</v>
      </c>
      <c r="F5" s="17">
        <f>B17*('E Balans VL '!L25/3.6*1000000+'E Balans VL '!N25/3.6*1000000)/100</f>
        <v>1422.4216069947661</v>
      </c>
      <c r="G5" s="18"/>
      <c r="H5" s="17"/>
      <c r="I5" s="17"/>
      <c r="J5" s="17">
        <f>('E Balans VL '!D25+'E Balans VL '!E25)/3.6*1000000*landbouw!B17/100</f>
        <v>42.251730099754667</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438.52100000000002</v>
      </c>
      <c r="C8" s="21">
        <f>C5+C6</f>
        <v>0</v>
      </c>
      <c r="D8" s="21">
        <f>MAX((D5+D6),0)</f>
        <v>90.038542000000007</v>
      </c>
      <c r="E8" s="21">
        <f>MAX((E5+E6),0)</f>
        <v>9.4034423393879791</v>
      </c>
      <c r="F8" s="21">
        <f>MAX((F5+F6),0)</f>
        <v>1422.4216069947661</v>
      </c>
      <c r="G8" s="21"/>
      <c r="H8" s="21"/>
      <c r="I8" s="21"/>
      <c r="J8" s="21">
        <f>MAX((J5+J6),0)</f>
        <v>42.251730099754667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0.19636536902805399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86.110337991551262</v>
      </c>
      <c r="C12" s="23">
        <f ca="1">C8*C10</f>
        <v>0</v>
      </c>
      <c r="D12" s="23">
        <f>D8*D10</f>
        <v>18.187785484000003</v>
      </c>
      <c r="E12" s="23">
        <f>E8*E10</f>
        <v>2.1345814110410712</v>
      </c>
      <c r="F12" s="23">
        <f>F8*F10</f>
        <v>379.78656906760256</v>
      </c>
      <c r="G12" s="23"/>
      <c r="H12" s="23"/>
      <c r="I12" s="23"/>
      <c r="J12" s="23">
        <f>J8*J10</f>
        <v>14.957112455313151</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6.2348387947605714E-2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76.547311228708708</v>
      </c>
      <c r="C26" s="242">
        <f>B26*'GWP N2O_CH4'!B5</f>
        <v>1607.4935358028829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26.560536161492326</v>
      </c>
      <c r="C27" s="242">
        <f>B27*'GWP N2O_CH4'!B5</f>
        <v>557.77125939133884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1.7015512421730454</v>
      </c>
      <c r="C28" s="242">
        <f>B28*'GWP N2O_CH4'!B4</f>
        <v>527.48088507364412</v>
      </c>
      <c r="D28" s="50"/>
    </row>
    <row r="29" spans="1:4">
      <c r="A29" s="41" t="s">
        <v>266</v>
      </c>
      <c r="B29" s="242">
        <f>B34*'ha_N2O bodem landbouw'!B4</f>
        <v>10.96236751640801</v>
      </c>
      <c r="C29" s="242">
        <f>B29*'GWP N2O_CH4'!B4</f>
        <v>3398.3339300864832</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2.4586659064994298E-3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6.3841263908200185E-5</v>
      </c>
      <c r="C5" s="428" t="s">
        <v>204</v>
      </c>
      <c r="D5" s="413">
        <f>SUM(D6:D11)</f>
        <v>9.8288018246684089E-5</v>
      </c>
      <c r="E5" s="413">
        <f>SUM(E6:E11)</f>
        <v>1.0674136337673829E-3</v>
      </c>
      <c r="F5" s="426" t="s">
        <v>204</v>
      </c>
      <c r="G5" s="413">
        <f>SUM(G6:G11)</f>
        <v>0.33012820471068827</v>
      </c>
      <c r="H5" s="413">
        <f>SUM(H6:H11)</f>
        <v>6.164637035176939E-2</v>
      </c>
      <c r="I5" s="428" t="s">
        <v>204</v>
      </c>
      <c r="J5" s="428" t="s">
        <v>204</v>
      </c>
      <c r="K5" s="428" t="s">
        <v>204</v>
      </c>
      <c r="L5" s="428" t="s">
        <v>204</v>
      </c>
      <c r="M5" s="413">
        <f>SUM(M6:M11)</f>
        <v>2.1020283853001857E-2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8.125746734630164E-6</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1.2289596826829369E-5</v>
      </c>
      <c r="E6" s="819">
        <f>vkm_GW_PW*SUMIFS(TableVerdeelsleutelVkm[LPG],TableVerdeelsleutelVkm[Voertuigtype],"Lichte voertuigen")*SUMIFS(TableECFTransport[EnergieConsumptieFactor (PJ per km)],TableECFTransport[Index],CONCATENATE($A6,"_LPG_LPG"))</f>
        <v>1.2005448352530461E-4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2.7875011158754473E-2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7.5926251161170348E-3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1.8477106127755515E-3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4.6391643203324034E-7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1.7805211326055347E-2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3.9897058639519004E-7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1.0323075365207231E-3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1.4176504483859395E-5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3.2288834268642396E-5</v>
      </c>
      <c r="E8" s="416">
        <f>vkm_NGW_PW*SUMIFS(TableVerdeelsleutelVkm[LPG],TableVerdeelsleutelVkm[Voertuigtype],"Lichte voertuigen")*SUMIFS(TableECFTransport[EnergieConsumptieFactor (PJ per km)],TableECFTransport[Index],CONCATENATE($A8,"_LPG_LPG"))</f>
        <v>2.9996029271296898E-4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6.49175921982484E-2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1.9224535036295596E-2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4.3501406200271066E-3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2.7885615658347539E-7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1.375079986737098E-2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2.8946616470966116E-7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7.9724098436908923E-4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3.8904135821751231E-5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5.3709587151212324E-5</v>
      </c>
      <c r="E10" s="416">
        <f>vkm_SW_PW*SUMIFS(TableVerdeelsleutelVkm[LPG],TableVerdeelsleutelVkm[Voertuigtype],"Lichte voertuigen")*SUMIFS(TableECFTransport[EnergieConsumptieFactor (PJ per km)],TableECFTransport[Index],CONCATENATE($A10,"_LPG_LPG"))</f>
        <v>6.4739885752910934E-4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0.13655697774127296</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3.4826846909855352E-2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8.979503387514803E-3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1.8921042793426797E-6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6.9222612418986099E-2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1.6748527503035948E-6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4.0133807117945846E-3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17.733684418944495</v>
      </c>
      <c r="C14" s="21"/>
      <c r="D14" s="21">
        <f t="shared" ref="D14:M14" si="0">((D5)*10^9/3600)+D12</f>
        <v>27.302227290745581</v>
      </c>
      <c r="E14" s="21">
        <f t="shared" si="0"/>
        <v>296.50378715760638</v>
      </c>
      <c r="F14" s="21"/>
      <c r="G14" s="21">
        <f t="shared" si="0"/>
        <v>91702.279086302296</v>
      </c>
      <c r="H14" s="21">
        <f t="shared" si="0"/>
        <v>17123.991764380386</v>
      </c>
      <c r="I14" s="21"/>
      <c r="J14" s="21"/>
      <c r="K14" s="21"/>
      <c r="L14" s="21"/>
      <c r="M14" s="21">
        <f t="shared" si="0"/>
        <v>5838.967736944961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0.19636536902805399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3.482281485153087</v>
      </c>
      <c r="C18" s="23"/>
      <c r="D18" s="23">
        <f t="shared" ref="D18:M18" si="1">D14*D16</f>
        <v>5.5150499127306079</v>
      </c>
      <c r="E18" s="23">
        <f t="shared" si="1"/>
        <v>67.306359684776652</v>
      </c>
      <c r="F18" s="23"/>
      <c r="G18" s="23">
        <f t="shared" si="1"/>
        <v>24484.508516042715</v>
      </c>
      <c r="H18" s="23">
        <f t="shared" si="1"/>
        <v>4263.8739493307157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2.21629176293277E-5</v>
      </c>
      <c r="C50" s="311">
        <f t="shared" ref="C50:P50" si="2">SUM(C51:C52)</f>
        <v>0</v>
      </c>
      <c r="D50" s="311">
        <f t="shared" si="2"/>
        <v>0</v>
      </c>
      <c r="E50" s="311">
        <f t="shared" si="2"/>
        <v>0</v>
      </c>
      <c r="F50" s="311">
        <f t="shared" si="2"/>
        <v>0</v>
      </c>
      <c r="G50" s="311">
        <f t="shared" si="2"/>
        <v>4.1995805362293808E-3</v>
      </c>
      <c r="H50" s="311">
        <f t="shared" si="2"/>
        <v>0</v>
      </c>
      <c r="I50" s="311">
        <f t="shared" si="2"/>
        <v>0</v>
      </c>
      <c r="J50" s="311">
        <f t="shared" si="2"/>
        <v>0</v>
      </c>
      <c r="K50" s="311">
        <f t="shared" si="2"/>
        <v>0</v>
      </c>
      <c r="L50" s="311">
        <f t="shared" si="2"/>
        <v>0</v>
      </c>
      <c r="M50" s="311">
        <f t="shared" si="2"/>
        <v>2.4176160364273631E-4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2.21629176293277E-5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4.1995805362293808E-3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2.4176160364273631E-4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6.1563660081465823</v>
      </c>
      <c r="C54" s="21">
        <f t="shared" ref="C54:P54" si="3">(C50)*10^9/3600</f>
        <v>0</v>
      </c>
      <c r="D54" s="21">
        <f t="shared" si="3"/>
        <v>0</v>
      </c>
      <c r="E54" s="21">
        <f t="shared" si="3"/>
        <v>0</v>
      </c>
      <c r="F54" s="21">
        <f t="shared" si="3"/>
        <v>0</v>
      </c>
      <c r="G54" s="21">
        <f t="shared" si="3"/>
        <v>1166.5501489526057</v>
      </c>
      <c r="H54" s="21">
        <f t="shared" si="3"/>
        <v>0</v>
      </c>
      <c r="I54" s="21">
        <f t="shared" si="3"/>
        <v>0</v>
      </c>
      <c r="J54" s="21">
        <f t="shared" si="3"/>
        <v>0</v>
      </c>
      <c r="K54" s="21">
        <f t="shared" si="3"/>
        <v>0</v>
      </c>
      <c r="L54" s="21">
        <f t="shared" si="3"/>
        <v>0</v>
      </c>
      <c r="M54" s="21">
        <f t="shared" si="3"/>
        <v>67.156001011871197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0.19636536902805399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1.2088970830614711</v>
      </c>
      <c r="C58" s="23">
        <f t="shared" ref="C58:P58" ca="1" si="4">C54*C56</f>
        <v>0</v>
      </c>
      <c r="D58" s="23">
        <f t="shared" si="4"/>
        <v>0</v>
      </c>
      <c r="E58" s="23">
        <f t="shared" si="4"/>
        <v>0</v>
      </c>
      <c r="F58" s="23">
        <f t="shared" si="4"/>
        <v>0</v>
      </c>
      <c r="G58" s="23">
        <f t="shared" si="4"/>
        <v>311.46888977034575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2958.3115773223244</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2958.3115773223244</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5779.3896062668409</v>
      </c>
      <c r="D10" s="943">
        <f ca="1">tertiair!C16</f>
        <v>0</v>
      </c>
      <c r="E10" s="943">
        <f ca="1">tertiair!D16</f>
        <v>3476.8906919999999</v>
      </c>
      <c r="F10" s="943">
        <f>tertiair!E16</f>
        <v>79.232394051386621</v>
      </c>
      <c r="G10" s="943">
        <f ca="1">tertiair!F16</f>
        <v>1218.8333047780975</v>
      </c>
      <c r="H10" s="943">
        <f>tertiair!G16</f>
        <v>0</v>
      </c>
      <c r="I10" s="943">
        <f>tertiair!H16</f>
        <v>0</v>
      </c>
      <c r="J10" s="943">
        <f>tertiair!I16</f>
        <v>0</v>
      </c>
      <c r="K10" s="943">
        <f>tertiair!J16</f>
        <v>0</v>
      </c>
      <c r="L10" s="943">
        <f>tertiair!K16</f>
        <v>0</v>
      </c>
      <c r="M10" s="943">
        <f ca="1">tertiair!L16</f>
        <v>0</v>
      </c>
      <c r="N10" s="943">
        <f>tertiair!M16</f>
        <v>0</v>
      </c>
      <c r="O10" s="943">
        <f ca="1">tertiair!N16</f>
        <v>417.75827932917656</v>
      </c>
      <c r="P10" s="943">
        <f>tertiair!O16</f>
        <v>0</v>
      </c>
      <c r="Q10" s="944">
        <f>tertiair!P16</f>
        <v>19.066666666666666</v>
      </c>
      <c r="R10" s="629">
        <f ca="1">SUM(C10:Q10)</f>
        <v>10991.170943092169</v>
      </c>
      <c r="S10" s="67"/>
    </row>
    <row r="11" spans="1:19" s="438" customFormat="1">
      <c r="A11" s="737" t="s">
        <v>214</v>
      </c>
      <c r="B11" s="742"/>
      <c r="C11" s="943">
        <f>huishoudens!B8</f>
        <v>18058.854808067597</v>
      </c>
      <c r="D11" s="943">
        <f>huishoudens!C8</f>
        <v>0</v>
      </c>
      <c r="E11" s="943">
        <f>huishoudens!D8</f>
        <v>19040.502008000003</v>
      </c>
      <c r="F11" s="943">
        <f>huishoudens!E8</f>
        <v>1280.6713143698594</v>
      </c>
      <c r="G11" s="943">
        <f>huishoudens!F8</f>
        <v>40401.184523233605</v>
      </c>
      <c r="H11" s="943">
        <f>huishoudens!G8</f>
        <v>0</v>
      </c>
      <c r="I11" s="943">
        <f>huishoudens!H8</f>
        <v>0</v>
      </c>
      <c r="J11" s="943">
        <f>huishoudens!I8</f>
        <v>0</v>
      </c>
      <c r="K11" s="943">
        <f>huishoudens!J8</f>
        <v>942.15409686999283</v>
      </c>
      <c r="L11" s="943">
        <f>huishoudens!K8</f>
        <v>0</v>
      </c>
      <c r="M11" s="943">
        <f>huishoudens!L8</f>
        <v>0</v>
      </c>
      <c r="N11" s="943">
        <f>huishoudens!M8</f>
        <v>0</v>
      </c>
      <c r="O11" s="943">
        <f>huishoudens!N8</f>
        <v>4777.8013401620783</v>
      </c>
      <c r="P11" s="943">
        <f>huishoudens!O8</f>
        <v>151.64333333333335</v>
      </c>
      <c r="Q11" s="944">
        <f>huishoudens!P8</f>
        <v>762.66666666666674</v>
      </c>
      <c r="R11" s="629">
        <f>SUM(C11:Q11)</f>
        <v>85415.478090703153</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1089.807</v>
      </c>
      <c r="D13" s="943">
        <f>industrie!C18</f>
        <v>0</v>
      </c>
      <c r="E13" s="943">
        <f>industrie!D18</f>
        <v>365.63291600000002</v>
      </c>
      <c r="F13" s="943">
        <f>industrie!E18</f>
        <v>174.97730077617317</v>
      </c>
      <c r="G13" s="943">
        <f>industrie!F18</f>
        <v>1058.6038517297698</v>
      </c>
      <c r="H13" s="943">
        <f>industrie!G18</f>
        <v>0</v>
      </c>
      <c r="I13" s="943">
        <f>industrie!H18</f>
        <v>0</v>
      </c>
      <c r="J13" s="943">
        <f>industrie!I18</f>
        <v>0</v>
      </c>
      <c r="K13" s="943">
        <f>industrie!J18</f>
        <v>6.6834882520244818</v>
      </c>
      <c r="L13" s="943">
        <f>industrie!K18</f>
        <v>0</v>
      </c>
      <c r="M13" s="943">
        <f>industrie!L18</f>
        <v>0</v>
      </c>
      <c r="N13" s="943">
        <f>industrie!M18</f>
        <v>0</v>
      </c>
      <c r="O13" s="943">
        <f>industrie!N18</f>
        <v>201.43205734223764</v>
      </c>
      <c r="P13" s="943">
        <f>industrie!O18</f>
        <v>0</v>
      </c>
      <c r="Q13" s="944">
        <f>industrie!P18</f>
        <v>0</v>
      </c>
      <c r="R13" s="629">
        <f>SUM(C13:Q13)</f>
        <v>2897.136614100205</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24928.051414334441</v>
      </c>
      <c r="D16" s="661">
        <f t="shared" ref="D16:R16" ca="1" si="0">SUM(D9:D15)</f>
        <v>0</v>
      </c>
      <c r="E16" s="661">
        <f t="shared" ca="1" si="0"/>
        <v>22883.025616000003</v>
      </c>
      <c r="F16" s="661">
        <f t="shared" si="0"/>
        <v>1534.8810091974192</v>
      </c>
      <c r="G16" s="661">
        <f t="shared" ca="1" si="0"/>
        <v>42678.621679741475</v>
      </c>
      <c r="H16" s="661">
        <f t="shared" si="0"/>
        <v>0</v>
      </c>
      <c r="I16" s="661">
        <f t="shared" si="0"/>
        <v>0</v>
      </c>
      <c r="J16" s="661">
        <f t="shared" si="0"/>
        <v>0</v>
      </c>
      <c r="K16" s="661">
        <f t="shared" si="0"/>
        <v>948.83758512201734</v>
      </c>
      <c r="L16" s="661">
        <f t="shared" si="0"/>
        <v>0</v>
      </c>
      <c r="M16" s="661">
        <f t="shared" ca="1" si="0"/>
        <v>0</v>
      </c>
      <c r="N16" s="661">
        <f t="shared" si="0"/>
        <v>0</v>
      </c>
      <c r="O16" s="661">
        <f t="shared" ca="1" si="0"/>
        <v>5396.9916768334924</v>
      </c>
      <c r="P16" s="661">
        <f t="shared" si="0"/>
        <v>151.64333333333335</v>
      </c>
      <c r="Q16" s="661">
        <f t="shared" si="0"/>
        <v>781.73333333333346</v>
      </c>
      <c r="R16" s="661">
        <f t="shared" ca="1" si="0"/>
        <v>99303.785647895522</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6.1563660081465823</v>
      </c>
      <c r="D19" s="943">
        <f>transport!C54</f>
        <v>0</v>
      </c>
      <c r="E19" s="943">
        <f>transport!D54</f>
        <v>0</v>
      </c>
      <c r="F19" s="943">
        <f>transport!E54</f>
        <v>0</v>
      </c>
      <c r="G19" s="943">
        <f>transport!F54</f>
        <v>0</v>
      </c>
      <c r="H19" s="943">
        <f>transport!G54</f>
        <v>1166.5501489526057</v>
      </c>
      <c r="I19" s="943">
        <f>transport!H54</f>
        <v>0</v>
      </c>
      <c r="J19" s="943">
        <f>transport!I54</f>
        <v>0</v>
      </c>
      <c r="K19" s="943">
        <f>transport!J54</f>
        <v>0</v>
      </c>
      <c r="L19" s="943">
        <f>transport!K54</f>
        <v>0</v>
      </c>
      <c r="M19" s="943">
        <f>transport!L54</f>
        <v>0</v>
      </c>
      <c r="N19" s="943">
        <f>transport!M54</f>
        <v>67.156001011871197</v>
      </c>
      <c r="O19" s="943">
        <f>transport!N54</f>
        <v>0</v>
      </c>
      <c r="P19" s="943">
        <f>transport!O54</f>
        <v>0</v>
      </c>
      <c r="Q19" s="944">
        <f>transport!P54</f>
        <v>0</v>
      </c>
      <c r="R19" s="629">
        <f>SUM(C19:Q19)</f>
        <v>1239.8625159726234</v>
      </c>
      <c r="S19" s="67"/>
    </row>
    <row r="20" spans="1:19" s="438" customFormat="1">
      <c r="A20" s="737" t="s">
        <v>296</v>
      </c>
      <c r="B20" s="742"/>
      <c r="C20" s="943">
        <f>transport!B14</f>
        <v>17.733684418944495</v>
      </c>
      <c r="D20" s="943">
        <f>transport!C14</f>
        <v>0</v>
      </c>
      <c r="E20" s="943">
        <f>transport!D14</f>
        <v>27.302227290745581</v>
      </c>
      <c r="F20" s="943">
        <f>transport!E14</f>
        <v>296.50378715760638</v>
      </c>
      <c r="G20" s="943">
        <f>transport!F14</f>
        <v>0</v>
      </c>
      <c r="H20" s="943">
        <f>transport!G14</f>
        <v>91702.279086302296</v>
      </c>
      <c r="I20" s="943">
        <f>transport!H14</f>
        <v>17123.991764380386</v>
      </c>
      <c r="J20" s="943">
        <f>transport!I14</f>
        <v>0</v>
      </c>
      <c r="K20" s="943">
        <f>transport!J14</f>
        <v>0</v>
      </c>
      <c r="L20" s="943">
        <f>transport!K14</f>
        <v>0</v>
      </c>
      <c r="M20" s="943">
        <f>transport!L14</f>
        <v>0</v>
      </c>
      <c r="N20" s="943">
        <f>transport!M14</f>
        <v>5838.967736944961</v>
      </c>
      <c r="O20" s="943">
        <f>transport!N14</f>
        <v>0</v>
      </c>
      <c r="P20" s="943">
        <f>transport!O14</f>
        <v>0</v>
      </c>
      <c r="Q20" s="944">
        <f>transport!P14</f>
        <v>0</v>
      </c>
      <c r="R20" s="629">
        <f>SUM(C20:Q20)</f>
        <v>115006.77828649495</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23.890050427091076</v>
      </c>
      <c r="D22" s="740">
        <f t="shared" ref="D22:R22" si="1">SUM(D18:D21)</f>
        <v>0</v>
      </c>
      <c r="E22" s="740">
        <f t="shared" si="1"/>
        <v>27.302227290745581</v>
      </c>
      <c r="F22" s="740">
        <f t="shared" si="1"/>
        <v>296.50378715760638</v>
      </c>
      <c r="G22" s="740">
        <f t="shared" si="1"/>
        <v>0</v>
      </c>
      <c r="H22" s="740">
        <f t="shared" si="1"/>
        <v>92868.829235254903</v>
      </c>
      <c r="I22" s="740">
        <f t="shared" si="1"/>
        <v>17123.991764380386</v>
      </c>
      <c r="J22" s="740">
        <f t="shared" si="1"/>
        <v>0</v>
      </c>
      <c r="K22" s="740">
        <f t="shared" si="1"/>
        <v>0</v>
      </c>
      <c r="L22" s="740">
        <f t="shared" si="1"/>
        <v>0</v>
      </c>
      <c r="M22" s="740">
        <f t="shared" si="1"/>
        <v>0</v>
      </c>
      <c r="N22" s="740">
        <f t="shared" si="1"/>
        <v>5906.123737956832</v>
      </c>
      <c r="O22" s="740">
        <f t="shared" si="1"/>
        <v>0</v>
      </c>
      <c r="P22" s="740">
        <f t="shared" si="1"/>
        <v>0</v>
      </c>
      <c r="Q22" s="740">
        <f t="shared" si="1"/>
        <v>0</v>
      </c>
      <c r="R22" s="740">
        <f t="shared" si="1"/>
        <v>116246.64080246758</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438.52100000000002</v>
      </c>
      <c r="D24" s="943">
        <f>+landbouw!C8</f>
        <v>0</v>
      </c>
      <c r="E24" s="943">
        <f>+landbouw!D8</f>
        <v>90.038542000000007</v>
      </c>
      <c r="F24" s="943">
        <f>+landbouw!E8</f>
        <v>9.4034423393879791</v>
      </c>
      <c r="G24" s="943">
        <f>+landbouw!F8</f>
        <v>1422.4216069947661</v>
      </c>
      <c r="H24" s="943">
        <f>+landbouw!G8</f>
        <v>0</v>
      </c>
      <c r="I24" s="943">
        <f>+landbouw!H8</f>
        <v>0</v>
      </c>
      <c r="J24" s="943">
        <f>+landbouw!I8</f>
        <v>0</v>
      </c>
      <c r="K24" s="943">
        <f>+landbouw!J8</f>
        <v>42.251730099754667</v>
      </c>
      <c r="L24" s="943">
        <f>+landbouw!K8</f>
        <v>0</v>
      </c>
      <c r="M24" s="943">
        <f>+landbouw!L8</f>
        <v>0</v>
      </c>
      <c r="N24" s="943">
        <f>+landbouw!M8</f>
        <v>0</v>
      </c>
      <c r="O24" s="943">
        <f>+landbouw!N8</f>
        <v>0</v>
      </c>
      <c r="P24" s="943">
        <f>+landbouw!O8</f>
        <v>0</v>
      </c>
      <c r="Q24" s="944">
        <f>+landbouw!P8</f>
        <v>0</v>
      </c>
      <c r="R24" s="629">
        <f>SUM(C24:Q24)</f>
        <v>2002.6363214339087</v>
      </c>
      <c r="S24" s="67"/>
    </row>
    <row r="25" spans="1:19" s="438" customFormat="1" ht="15" thickBot="1">
      <c r="A25" s="759" t="s">
        <v>802</v>
      </c>
      <c r="B25" s="946"/>
      <c r="C25" s="947">
        <f>IF(Onbekend_ele_kWh="---",0,Onbekend_ele_kWh)/1000+IF(REST_rest_ele_kWh="---",0,REST_rest_ele_kWh)/1000</f>
        <v>1148.8779999999999</v>
      </c>
      <c r="D25" s="947"/>
      <c r="E25" s="947">
        <f>IF(onbekend_gas_kWh="---",0,onbekend_gas_kWh)/1000+IF(REST_rest_gas_kWh="---",0,REST_rest_gas_kWh)/1000</f>
        <v>2554.085</v>
      </c>
      <c r="F25" s="947"/>
      <c r="G25" s="947"/>
      <c r="H25" s="947"/>
      <c r="I25" s="947"/>
      <c r="J25" s="947"/>
      <c r="K25" s="947"/>
      <c r="L25" s="947"/>
      <c r="M25" s="947"/>
      <c r="N25" s="947"/>
      <c r="O25" s="947"/>
      <c r="P25" s="947"/>
      <c r="Q25" s="948"/>
      <c r="R25" s="629">
        <f>SUM(C25:Q25)</f>
        <v>3702.9629999999997</v>
      </c>
      <c r="S25" s="67"/>
    </row>
    <row r="26" spans="1:19" s="438" customFormat="1" ht="15.75" thickBot="1">
      <c r="A26" s="634" t="s">
        <v>803</v>
      </c>
      <c r="B26" s="745"/>
      <c r="C26" s="740">
        <f>SUM(C24:C25)</f>
        <v>1587.3989999999999</v>
      </c>
      <c r="D26" s="740">
        <f t="shared" ref="D26:R26" si="2">SUM(D24:D25)</f>
        <v>0</v>
      </c>
      <c r="E26" s="740">
        <f t="shared" si="2"/>
        <v>2644.1235420000003</v>
      </c>
      <c r="F26" s="740">
        <f t="shared" si="2"/>
        <v>9.4034423393879791</v>
      </c>
      <c r="G26" s="740">
        <f t="shared" si="2"/>
        <v>1422.4216069947661</v>
      </c>
      <c r="H26" s="740">
        <f t="shared" si="2"/>
        <v>0</v>
      </c>
      <c r="I26" s="740">
        <f t="shared" si="2"/>
        <v>0</v>
      </c>
      <c r="J26" s="740">
        <f t="shared" si="2"/>
        <v>0</v>
      </c>
      <c r="K26" s="740">
        <f t="shared" si="2"/>
        <v>42.251730099754667</v>
      </c>
      <c r="L26" s="740">
        <f t="shared" si="2"/>
        <v>0</v>
      </c>
      <c r="M26" s="740">
        <f t="shared" si="2"/>
        <v>0</v>
      </c>
      <c r="N26" s="740">
        <f t="shared" si="2"/>
        <v>0</v>
      </c>
      <c r="O26" s="740">
        <f t="shared" si="2"/>
        <v>0</v>
      </c>
      <c r="P26" s="740">
        <f t="shared" si="2"/>
        <v>0</v>
      </c>
      <c r="Q26" s="740">
        <f t="shared" si="2"/>
        <v>0</v>
      </c>
      <c r="R26" s="740">
        <f t="shared" si="2"/>
        <v>5705.5993214339087</v>
      </c>
      <c r="S26" s="67"/>
    </row>
    <row r="27" spans="1:19" s="438" customFormat="1" ht="17.25" thickTop="1" thickBot="1">
      <c r="A27" s="635" t="s">
        <v>109</v>
      </c>
      <c r="B27" s="733"/>
      <c r="C27" s="636">
        <f ca="1">C22+C16+C26</f>
        <v>26539.340464761532</v>
      </c>
      <c r="D27" s="636">
        <f t="shared" ref="D27:R27" ca="1" si="3">D22+D16+D26</f>
        <v>0</v>
      </c>
      <c r="E27" s="636">
        <f t="shared" ca="1" si="3"/>
        <v>25554.451385290751</v>
      </c>
      <c r="F27" s="636">
        <f t="shared" si="3"/>
        <v>1840.7882386944136</v>
      </c>
      <c r="G27" s="636">
        <f t="shared" ca="1" si="3"/>
        <v>44101.04328673624</v>
      </c>
      <c r="H27" s="636">
        <f t="shared" si="3"/>
        <v>92868.829235254903</v>
      </c>
      <c r="I27" s="636">
        <f t="shared" si="3"/>
        <v>17123.991764380386</v>
      </c>
      <c r="J27" s="636">
        <f t="shared" si="3"/>
        <v>0</v>
      </c>
      <c r="K27" s="636">
        <f t="shared" si="3"/>
        <v>991.08931522177204</v>
      </c>
      <c r="L27" s="636">
        <f t="shared" si="3"/>
        <v>0</v>
      </c>
      <c r="M27" s="636">
        <f t="shared" ca="1" si="3"/>
        <v>0</v>
      </c>
      <c r="N27" s="636">
        <f t="shared" si="3"/>
        <v>5906.123737956832</v>
      </c>
      <c r="O27" s="636">
        <f t="shared" ca="1" si="3"/>
        <v>5396.9916768334924</v>
      </c>
      <c r="P27" s="636">
        <f t="shared" si="3"/>
        <v>151.64333333333335</v>
      </c>
      <c r="Q27" s="636">
        <f t="shared" si="3"/>
        <v>781.73333333333346</v>
      </c>
      <c r="R27" s="636">
        <f t="shared" ca="1" si="3"/>
        <v>221256.02577179699</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1134.8719727914879</v>
      </c>
      <c r="D40" s="943">
        <f ca="1">tertiair!C20</f>
        <v>0</v>
      </c>
      <c r="E40" s="943">
        <f ca="1">tertiair!D20</f>
        <v>702.33191978399998</v>
      </c>
      <c r="F40" s="943">
        <f>tertiair!E20</f>
        <v>17.985753449664763</v>
      </c>
      <c r="G40" s="943">
        <f ca="1">tertiair!F20</f>
        <v>325.42849237575206</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2180.6181384009046</v>
      </c>
    </row>
    <row r="41" spans="1:18">
      <c r="A41" s="750" t="s">
        <v>214</v>
      </c>
      <c r="B41" s="757"/>
      <c r="C41" s="943">
        <f ca="1">huishoudens!B12</f>
        <v>3546.1336886102408</v>
      </c>
      <c r="D41" s="943">
        <f ca="1">huishoudens!C12</f>
        <v>0</v>
      </c>
      <c r="E41" s="943">
        <f>huishoudens!D12</f>
        <v>3846.181405616001</v>
      </c>
      <c r="F41" s="943">
        <f>huishoudens!E12</f>
        <v>290.71238836195806</v>
      </c>
      <c r="G41" s="943">
        <f>huishoudens!F12</f>
        <v>10787.116267703374</v>
      </c>
      <c r="H41" s="943">
        <f>huishoudens!G12</f>
        <v>0</v>
      </c>
      <c r="I41" s="943">
        <f>huishoudens!H12</f>
        <v>0</v>
      </c>
      <c r="J41" s="943">
        <f>huishoudens!I12</f>
        <v>0</v>
      </c>
      <c r="K41" s="943">
        <f>huishoudens!J12</f>
        <v>333.52255029197744</v>
      </c>
      <c r="L41" s="943">
        <f>huishoudens!K12</f>
        <v>0</v>
      </c>
      <c r="M41" s="943">
        <f>huishoudens!L12</f>
        <v>0</v>
      </c>
      <c r="N41" s="943">
        <f>huishoudens!M12</f>
        <v>0</v>
      </c>
      <c r="O41" s="943">
        <f>huishoudens!N12</f>
        <v>0</v>
      </c>
      <c r="P41" s="943">
        <f>huishoudens!O12</f>
        <v>0</v>
      </c>
      <c r="Q41" s="703">
        <f>huishoudens!P12</f>
        <v>0</v>
      </c>
      <c r="R41" s="778">
        <f t="shared" ca="1" si="4"/>
        <v>18803.666300583551</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214.00035372435644</v>
      </c>
      <c r="D43" s="943">
        <f ca="1">industrie!C22</f>
        <v>0</v>
      </c>
      <c r="E43" s="943">
        <f>industrie!D22</f>
        <v>73.857849032000004</v>
      </c>
      <c r="F43" s="943">
        <f>industrie!E22</f>
        <v>39.71984727619131</v>
      </c>
      <c r="G43" s="943">
        <f>industrie!F22</f>
        <v>282.64722841184852</v>
      </c>
      <c r="H43" s="943">
        <f>industrie!G22</f>
        <v>0</v>
      </c>
      <c r="I43" s="943">
        <f>industrie!H22</f>
        <v>0</v>
      </c>
      <c r="J43" s="943">
        <f>industrie!I22</f>
        <v>0</v>
      </c>
      <c r="K43" s="943">
        <f>industrie!J22</f>
        <v>2.3659548412166664</v>
      </c>
      <c r="L43" s="943">
        <f>industrie!K22</f>
        <v>0</v>
      </c>
      <c r="M43" s="943">
        <f>industrie!L22</f>
        <v>0</v>
      </c>
      <c r="N43" s="943">
        <f>industrie!M22</f>
        <v>0</v>
      </c>
      <c r="O43" s="943">
        <f>industrie!N22</f>
        <v>0</v>
      </c>
      <c r="P43" s="943">
        <f>industrie!O22</f>
        <v>0</v>
      </c>
      <c r="Q43" s="703">
        <f>industrie!P22</f>
        <v>0</v>
      </c>
      <c r="R43" s="777">
        <f t="shared" ca="1" si="4"/>
        <v>612.59123328561293</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4895.006015126085</v>
      </c>
      <c r="D46" s="661">
        <f t="shared" ref="D46:Q46" ca="1" si="5">SUM(D39:D45)</f>
        <v>0</v>
      </c>
      <c r="E46" s="661">
        <f t="shared" ca="1" si="5"/>
        <v>4622.3711744320008</v>
      </c>
      <c r="F46" s="661">
        <f t="shared" si="5"/>
        <v>348.41798908781414</v>
      </c>
      <c r="G46" s="661">
        <f t="shared" ca="1" si="5"/>
        <v>11395.191988490973</v>
      </c>
      <c r="H46" s="661">
        <f t="shared" si="5"/>
        <v>0</v>
      </c>
      <c r="I46" s="661">
        <f t="shared" si="5"/>
        <v>0</v>
      </c>
      <c r="J46" s="661">
        <f t="shared" si="5"/>
        <v>0</v>
      </c>
      <c r="K46" s="661">
        <f t="shared" si="5"/>
        <v>335.88850513319409</v>
      </c>
      <c r="L46" s="661">
        <f t="shared" si="5"/>
        <v>0</v>
      </c>
      <c r="M46" s="661">
        <f t="shared" ca="1" si="5"/>
        <v>0</v>
      </c>
      <c r="N46" s="661">
        <f t="shared" si="5"/>
        <v>0</v>
      </c>
      <c r="O46" s="661">
        <f t="shared" ca="1" si="5"/>
        <v>0</v>
      </c>
      <c r="P46" s="661">
        <f t="shared" si="5"/>
        <v>0</v>
      </c>
      <c r="Q46" s="661">
        <f t="shared" si="5"/>
        <v>0</v>
      </c>
      <c r="R46" s="661">
        <f ca="1">SUM(R39:R45)</f>
        <v>21596.875672270067</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1.2088970830614711</v>
      </c>
      <c r="D49" s="943">
        <f ca="1">transport!C58</f>
        <v>0</v>
      </c>
      <c r="E49" s="943">
        <f>transport!D58</f>
        <v>0</v>
      </c>
      <c r="F49" s="943">
        <f>transport!E58</f>
        <v>0</v>
      </c>
      <c r="G49" s="943">
        <f>transport!F58</f>
        <v>0</v>
      </c>
      <c r="H49" s="943">
        <f>transport!G58</f>
        <v>311.46888977034575</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312.67778685340721</v>
      </c>
    </row>
    <row r="50" spans="1:18">
      <c r="A50" s="753" t="s">
        <v>296</v>
      </c>
      <c r="B50" s="763"/>
      <c r="C50" s="632">
        <f ca="1">transport!B18</f>
        <v>3.482281485153087</v>
      </c>
      <c r="D50" s="632">
        <f>transport!C18</f>
        <v>0</v>
      </c>
      <c r="E50" s="632">
        <f>transport!D18</f>
        <v>5.5150499127306079</v>
      </c>
      <c r="F50" s="632">
        <f>transport!E18</f>
        <v>67.306359684776652</v>
      </c>
      <c r="G50" s="632">
        <f>transport!F18</f>
        <v>0</v>
      </c>
      <c r="H50" s="632">
        <f>transport!G18</f>
        <v>24484.508516042715</v>
      </c>
      <c r="I50" s="632">
        <f>transport!H18</f>
        <v>4263.8739493307157</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28824.68615645609</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4.6911785682145579</v>
      </c>
      <c r="D52" s="661">
        <f t="shared" ref="D52:Q52" ca="1" si="6">SUM(D48:D51)</f>
        <v>0</v>
      </c>
      <c r="E52" s="661">
        <f t="shared" si="6"/>
        <v>5.5150499127306079</v>
      </c>
      <c r="F52" s="661">
        <f t="shared" si="6"/>
        <v>67.306359684776652</v>
      </c>
      <c r="G52" s="661">
        <f t="shared" si="6"/>
        <v>0</v>
      </c>
      <c r="H52" s="661">
        <f t="shared" si="6"/>
        <v>24795.977405813061</v>
      </c>
      <c r="I52" s="661">
        <f t="shared" si="6"/>
        <v>4263.8739493307157</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29137.363943309498</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86.110337991551262</v>
      </c>
      <c r="D54" s="632">
        <f ca="1">+landbouw!C12</f>
        <v>0</v>
      </c>
      <c r="E54" s="632">
        <f>+landbouw!D12</f>
        <v>18.187785484000003</v>
      </c>
      <c r="F54" s="632">
        <f>+landbouw!E12</f>
        <v>2.1345814110410712</v>
      </c>
      <c r="G54" s="632">
        <f>+landbouw!F12</f>
        <v>379.78656906760256</v>
      </c>
      <c r="H54" s="632">
        <f>+landbouw!G12</f>
        <v>0</v>
      </c>
      <c r="I54" s="632">
        <f>+landbouw!H12</f>
        <v>0</v>
      </c>
      <c r="J54" s="632">
        <f>+landbouw!I12</f>
        <v>0</v>
      </c>
      <c r="K54" s="632">
        <f>+landbouw!J12</f>
        <v>14.957112455313151</v>
      </c>
      <c r="L54" s="632">
        <f>+landbouw!K12</f>
        <v>0</v>
      </c>
      <c r="M54" s="632">
        <f>+landbouw!L12</f>
        <v>0</v>
      </c>
      <c r="N54" s="632">
        <f>+landbouw!M12</f>
        <v>0</v>
      </c>
      <c r="O54" s="632">
        <f>+landbouw!N12</f>
        <v>0</v>
      </c>
      <c r="P54" s="632">
        <f>+landbouw!O12</f>
        <v>0</v>
      </c>
      <c r="Q54" s="633">
        <f>+landbouw!P12</f>
        <v>0</v>
      </c>
      <c r="R54" s="660">
        <f ca="1">SUM(C54:Q54)</f>
        <v>501.17638640950804</v>
      </c>
    </row>
    <row r="55" spans="1:18" ht="15" thickBot="1">
      <c r="A55" s="753" t="s">
        <v>802</v>
      </c>
      <c r="B55" s="763"/>
      <c r="C55" s="632">
        <f ca="1">C25*'EF ele_warmte'!B12</f>
        <v>225.59985243821259</v>
      </c>
      <c r="D55" s="632"/>
      <c r="E55" s="632">
        <f>E25*EF_CO2_aardgas</f>
        <v>515.92517000000009</v>
      </c>
      <c r="F55" s="632"/>
      <c r="G55" s="632"/>
      <c r="H55" s="632"/>
      <c r="I55" s="632"/>
      <c r="J55" s="632"/>
      <c r="K55" s="632"/>
      <c r="L55" s="632"/>
      <c r="M55" s="632"/>
      <c r="N55" s="632"/>
      <c r="O55" s="632"/>
      <c r="P55" s="632"/>
      <c r="Q55" s="633"/>
      <c r="R55" s="660">
        <f ca="1">SUM(C55:Q55)</f>
        <v>741.52502243821266</v>
      </c>
    </row>
    <row r="56" spans="1:18" ht="15.75" thickBot="1">
      <c r="A56" s="751" t="s">
        <v>803</v>
      </c>
      <c r="B56" s="764"/>
      <c r="C56" s="661">
        <f ca="1">SUM(C54:C55)</f>
        <v>311.71019042976388</v>
      </c>
      <c r="D56" s="661">
        <f t="shared" ref="D56:Q56" ca="1" si="7">SUM(D54:D55)</f>
        <v>0</v>
      </c>
      <c r="E56" s="661">
        <f t="shared" si="7"/>
        <v>534.11295548400005</v>
      </c>
      <c r="F56" s="661">
        <f t="shared" si="7"/>
        <v>2.1345814110410712</v>
      </c>
      <c r="G56" s="661">
        <f t="shared" si="7"/>
        <v>379.78656906760256</v>
      </c>
      <c r="H56" s="661">
        <f t="shared" si="7"/>
        <v>0</v>
      </c>
      <c r="I56" s="661">
        <f t="shared" si="7"/>
        <v>0</v>
      </c>
      <c r="J56" s="661">
        <f t="shared" si="7"/>
        <v>0</v>
      </c>
      <c r="K56" s="661">
        <f t="shared" si="7"/>
        <v>14.957112455313151</v>
      </c>
      <c r="L56" s="661">
        <f t="shared" si="7"/>
        <v>0</v>
      </c>
      <c r="M56" s="661">
        <f t="shared" si="7"/>
        <v>0</v>
      </c>
      <c r="N56" s="661">
        <f t="shared" si="7"/>
        <v>0</v>
      </c>
      <c r="O56" s="661">
        <f t="shared" si="7"/>
        <v>0</v>
      </c>
      <c r="P56" s="661">
        <f t="shared" si="7"/>
        <v>0</v>
      </c>
      <c r="Q56" s="662">
        <f t="shared" si="7"/>
        <v>0</v>
      </c>
      <c r="R56" s="663">
        <f ca="1">SUM(R54:R55)</f>
        <v>1242.7014088477208</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5211.4073841240634</v>
      </c>
      <c r="D61" s="669">
        <f t="shared" ref="D61:Q61" ca="1" si="8">D46+D52+D56</f>
        <v>0</v>
      </c>
      <c r="E61" s="669">
        <f t="shared" ca="1" si="8"/>
        <v>5161.999179828731</v>
      </c>
      <c r="F61" s="669">
        <f t="shared" si="8"/>
        <v>417.85893018363191</v>
      </c>
      <c r="G61" s="669">
        <f t="shared" ca="1" si="8"/>
        <v>11774.978557558576</v>
      </c>
      <c r="H61" s="669">
        <f t="shared" si="8"/>
        <v>24795.977405813061</v>
      </c>
      <c r="I61" s="669">
        <f t="shared" si="8"/>
        <v>4263.8739493307157</v>
      </c>
      <c r="J61" s="669">
        <f t="shared" si="8"/>
        <v>0</v>
      </c>
      <c r="K61" s="669">
        <f t="shared" si="8"/>
        <v>350.84561758850725</v>
      </c>
      <c r="L61" s="669">
        <f t="shared" si="8"/>
        <v>0</v>
      </c>
      <c r="M61" s="669">
        <f t="shared" ca="1" si="8"/>
        <v>0</v>
      </c>
      <c r="N61" s="669">
        <f t="shared" si="8"/>
        <v>0</v>
      </c>
      <c r="O61" s="669">
        <f t="shared" ca="1" si="8"/>
        <v>0</v>
      </c>
      <c r="P61" s="669">
        <f t="shared" si="8"/>
        <v>0</v>
      </c>
      <c r="Q61" s="669">
        <f t="shared" si="8"/>
        <v>0</v>
      </c>
      <c r="R61" s="669">
        <f ca="1">R46+R52+R56</f>
        <v>51976.941024427288</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0.19636536902805396</v>
      </c>
      <c r="D63" s="710">
        <f t="shared" ca="1" si="9"/>
        <v>0</v>
      </c>
      <c r="E63" s="954">
        <f t="shared" ca="1" si="9"/>
        <v>0.20199999999999999</v>
      </c>
      <c r="F63" s="710">
        <f t="shared" si="9"/>
        <v>0.22700000000000001</v>
      </c>
      <c r="G63" s="710">
        <f t="shared" ca="1" si="9"/>
        <v>0.26700000000000002</v>
      </c>
      <c r="H63" s="710">
        <f t="shared" si="9"/>
        <v>0.26700000000000002</v>
      </c>
      <c r="I63" s="710">
        <f t="shared" si="9"/>
        <v>0.24899999999999997</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2958.3115773223244</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2958.3115773223244</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18058.854808067597</v>
      </c>
      <c r="C4" s="442">
        <f>huishoudens!C8</f>
        <v>0</v>
      </c>
      <c r="D4" s="442">
        <f>huishoudens!D8</f>
        <v>19040.502008000003</v>
      </c>
      <c r="E4" s="442">
        <f>huishoudens!E8</f>
        <v>1280.6713143698594</v>
      </c>
      <c r="F4" s="442">
        <f>huishoudens!F8</f>
        <v>40401.184523233605</v>
      </c>
      <c r="G4" s="442">
        <f>huishoudens!G8</f>
        <v>0</v>
      </c>
      <c r="H4" s="442">
        <f>huishoudens!H8</f>
        <v>0</v>
      </c>
      <c r="I4" s="442">
        <f>huishoudens!I8</f>
        <v>0</v>
      </c>
      <c r="J4" s="442">
        <f>huishoudens!J8</f>
        <v>942.15409686999283</v>
      </c>
      <c r="K4" s="442">
        <f>huishoudens!K8</f>
        <v>0</v>
      </c>
      <c r="L4" s="442">
        <f>huishoudens!L8</f>
        <v>0</v>
      </c>
      <c r="M4" s="442">
        <f>huishoudens!M8</f>
        <v>0</v>
      </c>
      <c r="N4" s="442">
        <f>huishoudens!N8</f>
        <v>4777.8013401620783</v>
      </c>
      <c r="O4" s="442">
        <f>huishoudens!O8</f>
        <v>151.64333333333335</v>
      </c>
      <c r="P4" s="443">
        <f>huishoudens!P8</f>
        <v>762.66666666666674</v>
      </c>
      <c r="Q4" s="444">
        <f>SUM(B4:P4)</f>
        <v>85415.478090703153</v>
      </c>
    </row>
    <row r="5" spans="1:17">
      <c r="A5" s="441" t="s">
        <v>149</v>
      </c>
      <c r="B5" s="442">
        <f ca="1">tertiair!B16</f>
        <v>5159.434606266841</v>
      </c>
      <c r="C5" s="442">
        <f ca="1">tertiair!C16</f>
        <v>0</v>
      </c>
      <c r="D5" s="442">
        <f ca="1">tertiair!D16</f>
        <v>3476.8906919999999</v>
      </c>
      <c r="E5" s="442">
        <f>tertiair!E16</f>
        <v>79.232394051386621</v>
      </c>
      <c r="F5" s="442">
        <f ca="1">tertiair!F16</f>
        <v>1218.8333047780975</v>
      </c>
      <c r="G5" s="442">
        <f>tertiair!G16</f>
        <v>0</v>
      </c>
      <c r="H5" s="442">
        <f>tertiair!H16</f>
        <v>0</v>
      </c>
      <c r="I5" s="442">
        <f>tertiair!I16</f>
        <v>0</v>
      </c>
      <c r="J5" s="442">
        <f>tertiair!J16</f>
        <v>0</v>
      </c>
      <c r="K5" s="442">
        <f>tertiair!K16</f>
        <v>0</v>
      </c>
      <c r="L5" s="442">
        <f ca="1">tertiair!L16</f>
        <v>0</v>
      </c>
      <c r="M5" s="442">
        <f>tertiair!M16</f>
        <v>0</v>
      </c>
      <c r="N5" s="442">
        <f ca="1">tertiair!N16</f>
        <v>417.75827932917656</v>
      </c>
      <c r="O5" s="442">
        <f>tertiair!O16</f>
        <v>0</v>
      </c>
      <c r="P5" s="443">
        <f>tertiair!P16</f>
        <v>19.066666666666666</v>
      </c>
      <c r="Q5" s="441">
        <f t="shared" ref="Q5:Q14" ca="1" si="0">SUM(B5:P5)</f>
        <v>10371.215943092171</v>
      </c>
    </row>
    <row r="6" spans="1:17">
      <c r="A6" s="441" t="s">
        <v>187</v>
      </c>
      <c r="B6" s="442">
        <f>'openbare verlichting'!B8</f>
        <v>619.95500000000004</v>
      </c>
      <c r="C6" s="442"/>
      <c r="D6" s="442"/>
      <c r="E6" s="442"/>
      <c r="F6" s="442"/>
      <c r="G6" s="442"/>
      <c r="H6" s="442"/>
      <c r="I6" s="442"/>
      <c r="J6" s="442"/>
      <c r="K6" s="442"/>
      <c r="L6" s="442"/>
      <c r="M6" s="442"/>
      <c r="N6" s="442"/>
      <c r="O6" s="442"/>
      <c r="P6" s="443"/>
      <c r="Q6" s="441">
        <f t="shared" si="0"/>
        <v>619.95500000000004</v>
      </c>
    </row>
    <row r="7" spans="1:17">
      <c r="A7" s="441" t="s">
        <v>105</v>
      </c>
      <c r="B7" s="442">
        <f>landbouw!B8</f>
        <v>438.52100000000002</v>
      </c>
      <c r="C7" s="442">
        <f>landbouw!C8</f>
        <v>0</v>
      </c>
      <c r="D7" s="442">
        <f>landbouw!D8</f>
        <v>90.038542000000007</v>
      </c>
      <c r="E7" s="442">
        <f>landbouw!E8</f>
        <v>9.4034423393879791</v>
      </c>
      <c r="F7" s="442">
        <f>landbouw!F8</f>
        <v>1422.4216069947661</v>
      </c>
      <c r="G7" s="442">
        <f>landbouw!G8</f>
        <v>0</v>
      </c>
      <c r="H7" s="442">
        <f>landbouw!H8</f>
        <v>0</v>
      </c>
      <c r="I7" s="442">
        <f>landbouw!I8</f>
        <v>0</v>
      </c>
      <c r="J7" s="442">
        <f>landbouw!J8</f>
        <v>42.251730099754667</v>
      </c>
      <c r="K7" s="442">
        <f>landbouw!K8</f>
        <v>0</v>
      </c>
      <c r="L7" s="442">
        <f>landbouw!L8</f>
        <v>0</v>
      </c>
      <c r="M7" s="442">
        <f>landbouw!M8</f>
        <v>0</v>
      </c>
      <c r="N7" s="442">
        <f>landbouw!N8</f>
        <v>0</v>
      </c>
      <c r="O7" s="442">
        <f>landbouw!O8</f>
        <v>0</v>
      </c>
      <c r="P7" s="443">
        <f>landbouw!P8</f>
        <v>0</v>
      </c>
      <c r="Q7" s="441">
        <f t="shared" si="0"/>
        <v>2002.6363214339087</v>
      </c>
    </row>
    <row r="8" spans="1:17">
      <c r="A8" s="441" t="s">
        <v>612</v>
      </c>
      <c r="B8" s="442">
        <f>industrie!B18</f>
        <v>1089.807</v>
      </c>
      <c r="C8" s="442">
        <f>industrie!C18</f>
        <v>0</v>
      </c>
      <c r="D8" s="442">
        <f>industrie!D18</f>
        <v>365.63291600000002</v>
      </c>
      <c r="E8" s="442">
        <f>industrie!E18</f>
        <v>174.97730077617317</v>
      </c>
      <c r="F8" s="442">
        <f>industrie!F18</f>
        <v>1058.6038517297698</v>
      </c>
      <c r="G8" s="442">
        <f>industrie!G18</f>
        <v>0</v>
      </c>
      <c r="H8" s="442">
        <f>industrie!H18</f>
        <v>0</v>
      </c>
      <c r="I8" s="442">
        <f>industrie!I18</f>
        <v>0</v>
      </c>
      <c r="J8" s="442">
        <f>industrie!J18</f>
        <v>6.6834882520244818</v>
      </c>
      <c r="K8" s="442">
        <f>industrie!K18</f>
        <v>0</v>
      </c>
      <c r="L8" s="442">
        <f>industrie!L18</f>
        <v>0</v>
      </c>
      <c r="M8" s="442">
        <f>industrie!M18</f>
        <v>0</v>
      </c>
      <c r="N8" s="442">
        <f>industrie!N18</f>
        <v>201.43205734223764</v>
      </c>
      <c r="O8" s="442">
        <f>industrie!O18</f>
        <v>0</v>
      </c>
      <c r="P8" s="443">
        <f>industrie!P18</f>
        <v>0</v>
      </c>
      <c r="Q8" s="441">
        <f t="shared" si="0"/>
        <v>2897.136614100205</v>
      </c>
    </row>
    <row r="9" spans="1:17" s="447" customFormat="1">
      <c r="A9" s="445" t="s">
        <v>556</v>
      </c>
      <c r="B9" s="446">
        <f>transport!B14</f>
        <v>17.733684418944495</v>
      </c>
      <c r="C9" s="446">
        <f>transport!C14</f>
        <v>0</v>
      </c>
      <c r="D9" s="446">
        <f>transport!D14</f>
        <v>27.302227290745581</v>
      </c>
      <c r="E9" s="446">
        <f>transport!E14</f>
        <v>296.50378715760638</v>
      </c>
      <c r="F9" s="446">
        <f>transport!F14</f>
        <v>0</v>
      </c>
      <c r="G9" s="446">
        <f>transport!G14</f>
        <v>91702.279086302296</v>
      </c>
      <c r="H9" s="446">
        <f>transport!H14</f>
        <v>17123.991764380386</v>
      </c>
      <c r="I9" s="446">
        <f>transport!I14</f>
        <v>0</v>
      </c>
      <c r="J9" s="446">
        <f>transport!J14</f>
        <v>0</v>
      </c>
      <c r="K9" s="446">
        <f>transport!K14</f>
        <v>0</v>
      </c>
      <c r="L9" s="446">
        <f>transport!L14</f>
        <v>0</v>
      </c>
      <c r="M9" s="446">
        <f>transport!M14</f>
        <v>5838.967736944961</v>
      </c>
      <c r="N9" s="446">
        <f>transport!N14</f>
        <v>0</v>
      </c>
      <c r="O9" s="446">
        <f>transport!O14</f>
        <v>0</v>
      </c>
      <c r="P9" s="446">
        <f>transport!P14</f>
        <v>0</v>
      </c>
      <c r="Q9" s="445">
        <f>SUM(B9:P9)</f>
        <v>115006.77828649495</v>
      </c>
    </row>
    <row r="10" spans="1:17">
      <c r="A10" s="441" t="s">
        <v>546</v>
      </c>
      <c r="B10" s="442">
        <f>transport!B54</f>
        <v>6.1563660081465823</v>
      </c>
      <c r="C10" s="442">
        <f>transport!C54</f>
        <v>0</v>
      </c>
      <c r="D10" s="442">
        <f>transport!D54</f>
        <v>0</v>
      </c>
      <c r="E10" s="442">
        <f>transport!E54</f>
        <v>0</v>
      </c>
      <c r="F10" s="442">
        <f>transport!F54</f>
        <v>0</v>
      </c>
      <c r="G10" s="442">
        <f>transport!G54</f>
        <v>1166.5501489526057</v>
      </c>
      <c r="H10" s="442">
        <f>transport!H54</f>
        <v>0</v>
      </c>
      <c r="I10" s="442">
        <f>transport!I54</f>
        <v>0</v>
      </c>
      <c r="J10" s="442">
        <f>transport!J54</f>
        <v>0</v>
      </c>
      <c r="K10" s="442">
        <f>transport!K54</f>
        <v>0</v>
      </c>
      <c r="L10" s="442">
        <f>transport!L54</f>
        <v>0</v>
      </c>
      <c r="M10" s="442">
        <f>transport!M54</f>
        <v>67.156001011871197</v>
      </c>
      <c r="N10" s="442">
        <f>transport!N54</f>
        <v>0</v>
      </c>
      <c r="O10" s="442">
        <f>transport!O54</f>
        <v>0</v>
      </c>
      <c r="P10" s="443">
        <f>transport!P54</f>
        <v>0</v>
      </c>
      <c r="Q10" s="441">
        <f t="shared" si="0"/>
        <v>1239.8625159726234</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1148.8779999999999</v>
      </c>
      <c r="C14" s="449"/>
      <c r="D14" s="449">
        <f>'SEAP template'!E25</f>
        <v>2554.085</v>
      </c>
      <c r="E14" s="449"/>
      <c r="F14" s="449"/>
      <c r="G14" s="449"/>
      <c r="H14" s="449"/>
      <c r="I14" s="449"/>
      <c r="J14" s="449"/>
      <c r="K14" s="449"/>
      <c r="L14" s="449"/>
      <c r="M14" s="449"/>
      <c r="N14" s="449"/>
      <c r="O14" s="449"/>
      <c r="P14" s="450"/>
      <c r="Q14" s="441">
        <f t="shared" si="0"/>
        <v>3702.9629999999997</v>
      </c>
    </row>
    <row r="15" spans="1:17" s="451" customFormat="1">
      <c r="A15" s="969" t="s">
        <v>550</v>
      </c>
      <c r="B15" s="909">
        <f ca="1">SUM(B4:B14)</f>
        <v>26539.340464761535</v>
      </c>
      <c r="C15" s="909">
        <f t="shared" ref="C15:Q15" ca="1" si="1">SUM(C4:C14)</f>
        <v>0</v>
      </c>
      <c r="D15" s="909">
        <f t="shared" ca="1" si="1"/>
        <v>25554.451385290748</v>
      </c>
      <c r="E15" s="909">
        <f t="shared" si="1"/>
        <v>1840.7882386944136</v>
      </c>
      <c r="F15" s="909">
        <f t="shared" ca="1" si="1"/>
        <v>44101.04328673624</v>
      </c>
      <c r="G15" s="909">
        <f t="shared" si="1"/>
        <v>92868.829235254903</v>
      </c>
      <c r="H15" s="909">
        <f t="shared" si="1"/>
        <v>17123.991764380386</v>
      </c>
      <c r="I15" s="909">
        <f t="shared" si="1"/>
        <v>0</v>
      </c>
      <c r="J15" s="909">
        <f t="shared" si="1"/>
        <v>991.08931522177204</v>
      </c>
      <c r="K15" s="909">
        <f t="shared" si="1"/>
        <v>0</v>
      </c>
      <c r="L15" s="909">
        <f t="shared" ca="1" si="1"/>
        <v>0</v>
      </c>
      <c r="M15" s="909">
        <f t="shared" si="1"/>
        <v>5906.123737956832</v>
      </c>
      <c r="N15" s="909">
        <f t="shared" ca="1" si="1"/>
        <v>5396.9916768334924</v>
      </c>
      <c r="O15" s="909">
        <f t="shared" si="1"/>
        <v>151.64333333333335</v>
      </c>
      <c r="P15" s="909">
        <f t="shared" si="1"/>
        <v>781.73333333333346</v>
      </c>
      <c r="Q15" s="909">
        <f t="shared" ca="1" si="1"/>
        <v>221256.02577179702</v>
      </c>
    </row>
    <row r="17" spans="1:17">
      <c r="A17" s="452" t="s">
        <v>551</v>
      </c>
      <c r="B17" s="715">
        <f ca="1">huishoudens!B10</f>
        <v>0.19636536902805399</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3546.1336886102408</v>
      </c>
      <c r="C22" s="442">
        <f t="shared" ref="C22:C32" ca="1" si="3">C4*$C$17</f>
        <v>0</v>
      </c>
      <c r="D22" s="442">
        <f t="shared" ref="D22:D32" si="4">D4*$D$17</f>
        <v>3846.181405616001</v>
      </c>
      <c r="E22" s="442">
        <f t="shared" ref="E22:E32" si="5">E4*$E$17</f>
        <v>290.71238836195806</v>
      </c>
      <c r="F22" s="442">
        <f t="shared" ref="F22:F32" si="6">F4*$F$17</f>
        <v>10787.116267703374</v>
      </c>
      <c r="G22" s="442">
        <f t="shared" ref="G22:G32" si="7">G4*$G$17</f>
        <v>0</v>
      </c>
      <c r="H22" s="442">
        <f t="shared" ref="H22:H32" si="8">H4*$H$17</f>
        <v>0</v>
      </c>
      <c r="I22" s="442">
        <f t="shared" ref="I22:I32" si="9">I4*$I$17</f>
        <v>0</v>
      </c>
      <c r="J22" s="442">
        <f t="shared" ref="J22:J32" si="10">J4*$J$17</f>
        <v>333.52255029197744</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18803.666300583551</v>
      </c>
    </row>
    <row r="23" spans="1:17">
      <c r="A23" s="441" t="s">
        <v>149</v>
      </c>
      <c r="B23" s="442">
        <f t="shared" ca="1" si="2"/>
        <v>1013.1342804357007</v>
      </c>
      <c r="C23" s="442">
        <f t="shared" ca="1" si="3"/>
        <v>0</v>
      </c>
      <c r="D23" s="442">
        <f t="shared" ca="1" si="4"/>
        <v>702.33191978399998</v>
      </c>
      <c r="E23" s="442">
        <f t="shared" si="5"/>
        <v>17.985753449664763</v>
      </c>
      <c r="F23" s="442">
        <f t="shared" ca="1" si="6"/>
        <v>325.42849237575206</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2058.8804460451174</v>
      </c>
    </row>
    <row r="24" spans="1:17">
      <c r="A24" s="441" t="s">
        <v>187</v>
      </c>
      <c r="B24" s="442">
        <f t="shared" ca="1" si="2"/>
        <v>121.73769235578722</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121.73769235578722</v>
      </c>
    </row>
    <row r="25" spans="1:17">
      <c r="A25" s="441" t="s">
        <v>105</v>
      </c>
      <c r="B25" s="442">
        <f t="shared" ca="1" si="2"/>
        <v>86.110337991551262</v>
      </c>
      <c r="C25" s="442">
        <f t="shared" ca="1" si="3"/>
        <v>0</v>
      </c>
      <c r="D25" s="442">
        <f t="shared" si="4"/>
        <v>18.187785484000003</v>
      </c>
      <c r="E25" s="442">
        <f t="shared" si="5"/>
        <v>2.1345814110410712</v>
      </c>
      <c r="F25" s="442">
        <f t="shared" si="6"/>
        <v>379.78656906760256</v>
      </c>
      <c r="G25" s="442">
        <f t="shared" si="7"/>
        <v>0</v>
      </c>
      <c r="H25" s="442">
        <f t="shared" si="8"/>
        <v>0</v>
      </c>
      <c r="I25" s="442">
        <f t="shared" si="9"/>
        <v>0</v>
      </c>
      <c r="J25" s="442">
        <f t="shared" si="10"/>
        <v>14.957112455313151</v>
      </c>
      <c r="K25" s="442">
        <f t="shared" si="11"/>
        <v>0</v>
      </c>
      <c r="L25" s="442">
        <f t="shared" si="12"/>
        <v>0</v>
      </c>
      <c r="M25" s="442">
        <f t="shared" si="13"/>
        <v>0</v>
      </c>
      <c r="N25" s="442">
        <f t="shared" si="14"/>
        <v>0</v>
      </c>
      <c r="O25" s="442">
        <f t="shared" si="15"/>
        <v>0</v>
      </c>
      <c r="P25" s="443">
        <f t="shared" si="16"/>
        <v>0</v>
      </c>
      <c r="Q25" s="441">
        <f t="shared" ca="1" si="17"/>
        <v>501.17638640950804</v>
      </c>
    </row>
    <row r="26" spans="1:17">
      <c r="A26" s="441" t="s">
        <v>612</v>
      </c>
      <c r="B26" s="442">
        <f t="shared" ca="1" si="2"/>
        <v>214.00035372435644</v>
      </c>
      <c r="C26" s="442">
        <f t="shared" ca="1" si="3"/>
        <v>0</v>
      </c>
      <c r="D26" s="442">
        <f t="shared" si="4"/>
        <v>73.857849032000004</v>
      </c>
      <c r="E26" s="442">
        <f t="shared" si="5"/>
        <v>39.71984727619131</v>
      </c>
      <c r="F26" s="442">
        <f t="shared" si="6"/>
        <v>282.64722841184852</v>
      </c>
      <c r="G26" s="442">
        <f t="shared" si="7"/>
        <v>0</v>
      </c>
      <c r="H26" s="442">
        <f t="shared" si="8"/>
        <v>0</v>
      </c>
      <c r="I26" s="442">
        <f t="shared" si="9"/>
        <v>0</v>
      </c>
      <c r="J26" s="442">
        <f t="shared" si="10"/>
        <v>2.3659548412166664</v>
      </c>
      <c r="K26" s="442">
        <f t="shared" si="11"/>
        <v>0</v>
      </c>
      <c r="L26" s="442">
        <f t="shared" si="12"/>
        <v>0</v>
      </c>
      <c r="M26" s="442">
        <f t="shared" si="13"/>
        <v>0</v>
      </c>
      <c r="N26" s="442">
        <f t="shared" si="14"/>
        <v>0</v>
      </c>
      <c r="O26" s="442">
        <f t="shared" si="15"/>
        <v>0</v>
      </c>
      <c r="P26" s="443">
        <f t="shared" si="16"/>
        <v>0</v>
      </c>
      <c r="Q26" s="441">
        <f t="shared" ca="1" si="17"/>
        <v>612.59123328561293</v>
      </c>
    </row>
    <row r="27" spans="1:17" s="447" customFormat="1">
      <c r="A27" s="445" t="s">
        <v>556</v>
      </c>
      <c r="B27" s="709">
        <f t="shared" ca="1" si="2"/>
        <v>3.482281485153087</v>
      </c>
      <c r="C27" s="446">
        <f t="shared" ca="1" si="3"/>
        <v>0</v>
      </c>
      <c r="D27" s="446">
        <f t="shared" si="4"/>
        <v>5.5150499127306079</v>
      </c>
      <c r="E27" s="446">
        <f t="shared" si="5"/>
        <v>67.306359684776652</v>
      </c>
      <c r="F27" s="446">
        <f t="shared" si="6"/>
        <v>0</v>
      </c>
      <c r="G27" s="446">
        <f t="shared" si="7"/>
        <v>24484.508516042715</v>
      </c>
      <c r="H27" s="446">
        <f t="shared" si="8"/>
        <v>4263.8739493307157</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28824.68615645609</v>
      </c>
    </row>
    <row r="28" spans="1:17">
      <c r="A28" s="441" t="s">
        <v>546</v>
      </c>
      <c r="B28" s="442">
        <f t="shared" ca="1" si="2"/>
        <v>1.2088970830614711</v>
      </c>
      <c r="C28" s="442">
        <f t="shared" ca="1" si="3"/>
        <v>0</v>
      </c>
      <c r="D28" s="442">
        <f t="shared" si="4"/>
        <v>0</v>
      </c>
      <c r="E28" s="442">
        <f t="shared" si="5"/>
        <v>0</v>
      </c>
      <c r="F28" s="442">
        <f t="shared" si="6"/>
        <v>0</v>
      </c>
      <c r="G28" s="442">
        <f t="shared" si="7"/>
        <v>311.46888977034575</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312.67778685340721</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225.59985243821259</v>
      </c>
      <c r="C32" s="442">
        <f t="shared" ca="1" si="3"/>
        <v>0</v>
      </c>
      <c r="D32" s="442">
        <f t="shared" si="4"/>
        <v>515.92517000000009</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741.52502243821266</v>
      </c>
    </row>
    <row r="33" spans="1:17" s="451" customFormat="1">
      <c r="A33" s="969" t="s">
        <v>550</v>
      </c>
      <c r="B33" s="909">
        <f ca="1">SUM(B22:B32)</f>
        <v>5211.4073841240652</v>
      </c>
      <c r="C33" s="909">
        <f t="shared" ref="C33:Q33" ca="1" si="18">SUM(C22:C32)</f>
        <v>0</v>
      </c>
      <c r="D33" s="909">
        <f t="shared" ca="1" si="18"/>
        <v>5161.9991798287319</v>
      </c>
      <c r="E33" s="909">
        <f t="shared" si="18"/>
        <v>417.85893018363186</v>
      </c>
      <c r="F33" s="909">
        <f t="shared" ca="1" si="18"/>
        <v>11774.978557558576</v>
      </c>
      <c r="G33" s="909">
        <f t="shared" si="18"/>
        <v>24795.977405813061</v>
      </c>
      <c r="H33" s="909">
        <f t="shared" si="18"/>
        <v>4263.8739493307157</v>
      </c>
      <c r="I33" s="909">
        <f t="shared" si="18"/>
        <v>0</v>
      </c>
      <c r="J33" s="909">
        <f t="shared" si="18"/>
        <v>350.84561758850725</v>
      </c>
      <c r="K33" s="909">
        <f t="shared" si="18"/>
        <v>0</v>
      </c>
      <c r="L33" s="909">
        <f t="shared" ca="1" si="18"/>
        <v>0</v>
      </c>
      <c r="M33" s="909">
        <f t="shared" si="18"/>
        <v>0</v>
      </c>
      <c r="N33" s="909">
        <f t="shared" ca="1" si="18"/>
        <v>0</v>
      </c>
      <c r="O33" s="909">
        <f t="shared" si="18"/>
        <v>0</v>
      </c>
      <c r="P33" s="909">
        <f t="shared" si="18"/>
        <v>0</v>
      </c>
      <c r="Q33" s="909">
        <f t="shared" ca="1" si="18"/>
        <v>51976.94102442728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2958.3115773223244</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2958.3115773223244</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0.19636536902805399</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0.19636536902805399</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2022-07-26T11:32:41Z</dcterms:modified>
</cp:coreProperties>
</file>