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CC21ABA-9117-4D8E-BF40-8E664385D83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<sst xmlns="http://schemas.openxmlformats.org/spreadsheetml/2006/main" count="2431" uniqueCount="904">
  <si>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</si>
  <si>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</si>
  <si>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</si>
  <si>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</si>
  <si>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</si>
  <si>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</si>
  <si>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</si>
  <si>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</si>
  <si>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</si>
  <si>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</si>
  <si>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</si>
  <si>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</si>
  <si>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</si>
  <si>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</si>
  <si>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</si>
  <si>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</si>
  <si>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</si>
  <si>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</si>
  <si>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</si>
  <si>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</si>
  <si>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</si>
  <si>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</si>
  <si>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</si>
  <si>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</si>
  <si>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</si>
  <si>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</si>
  <si>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</si>
  <si>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</si>
  <si>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</si>
  <si>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</si>
  <si>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</si>
  <si>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</si>
  <si>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</si>
  <si>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</si>
  <si>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</si>
  <si>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</si>
  <si>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</si>
  <si>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</si>
  <si>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</si>
  <si>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</si>
  <si>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</si>
  <si>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</si>
  <si>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</si>
  <si>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</si>
  <si>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</si>
  <si>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</si>
  <si>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</si>
  <si>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</si>
  <si>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</si>
  <si>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</si>
  <si>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</si>
  <si>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</si>
  <si>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</si>
  <si>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</si>
  <si>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</si>
  <si>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</si>
  <si>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</si>
  <si>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</si>
  <si>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</si>
  <si>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</si>
  <si>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</si>
  <si>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</si>
  <si>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</si>
  <si>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</si>
  <si>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</si>
  <si>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</si>
  <si>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</si>
  <si>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</si>
  <si>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</si>
  <si>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</si>
  <si>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</si>
  <si>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</si>
  <si>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</si>
  <si>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</si>
  <si>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</si>
  <si>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</si>
  <si>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</si>
  <si>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</si>
  <si>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</si>
  <si>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</si>
  <si>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</si>
  <si>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</si>
  <si>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</si>
  <si>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</si>
  <si>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</si>
  <si>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</si>
  <si>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</si>
  <si>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</si>
  <si>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</si>
  <si>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</si>
  <si>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</si>
  <si>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</si>
  <si>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</si>
  <si>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</si>
  <si>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</si>
  <si>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</si>
  <si>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</si>
  <si>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</si>
  <si>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</si>
  <si>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</si>
  <si>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</si>
  <si>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</si>
  <si>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</si>
  <si>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</si>
  <si>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</si>
  <si>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</si>
  <si>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</si>
  <si>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</si>
  <si>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</si>
  <si>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</si>
  <si>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</si>
  <si>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</si>
  <si>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</si>
  <si>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</si>
  <si>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</si>
  <si>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</si>
  <si>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</si>
  <si>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</si>
  <si>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</si>
  <si>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</si>
  <si>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</si>
  <si>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</si>
  <si>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</si>
  <si>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</si>
  <si>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</si>
  <si>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</si>
  <si>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</si>
  <si>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</si>
  <si>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</si>
  <si>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</si>
  <si>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</si>
  <si>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</si>
  <si>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</si>
  <si>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</si>
  <si>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</si>
  <si>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</si>
  <si>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</si>
  <si>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</si>
  <si>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</si>
  <si>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</si>
  <si>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</si>
  <si>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</si>
  <si>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</si>
  <si>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</si>
  <si>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</si>
  <si>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</si>
  <si>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</si>
  <si>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</si>
  <si>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</si>
  <si>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</si>
  <si>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</si>
  <si>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</si>
  <si>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</si>
  <si>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</si>
  <si>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</si>
  <si>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</si>
  <si>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</si>
  <si>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</si>
  <si>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</si>
  <si>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</si>
  <si>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</si>
  <si>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</si>
  <si>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</si>
  <si>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</si>
  <si>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</si>
  <si>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</si>
  <si>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</si>
  <si>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</si>
  <si>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</si>
  <si>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</si>
  <si>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</si>
  <si>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</si>
  <si>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</si>
  <si>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</si>
  <si>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</si>
  <si>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</si>
  <si>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</si>
  <si>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</si>
  <si>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</si>
  <si>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</si>
  <si>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</si>
  <si>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</si>
  <si>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</si>
  <si>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</si>
  <si>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</si>
  <si>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</si>
  <si>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</si>
  <si>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</si>
  <si>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</si>
  <si>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</si>
  <si>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</si>
  <si>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</si>
  <si>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</si>
  <si>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</si>
  <si>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</si>
  <si>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</si>
  <si>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</si>
  <si>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</si>
  <si>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</si>
  <si>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</si>
  <si>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</si>
  <si>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</si>
  <si>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</si>
  <si>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</si>
  <si>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</si>
  <si>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</si>
  <si>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</si>
  <si>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</si>
  <si>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</si>
  <si>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</si>
  <si>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</si>
  <si>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</si>
  <si>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</si>
  <si>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</si>
  <si>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</si>
  <si>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</si>
  <si>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</si>
  <si>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</si>
  <si>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</si>
  <si>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</si>
  <si>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</si>
  <si>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</si>
  <si>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</si>
  <si>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</si>
  <si>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</si>
  <si>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</si>
  <si>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</si>
  <si>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</si>
  <si>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</si>
  <si>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</si>
  <si>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</si>
  <si>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</si>
  <si>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</si>
  <si>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</si>
  <si>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</si>
  <si>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</si>
  <si>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</si>
  <si>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</si>
  <si>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</si>
  <si>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</si>
  <si>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</si>
  <si>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</si>
  <si>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</si>
  <si>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</si>
  <si>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</si>
  <si>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</si>
  <si>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</si>
  <si>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</si>
  <si>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</si>
  <si>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</si>
  <si>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</si>
  <si>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</si>
  <si>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</si>
  <si>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</si>
  <si>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</si>
  <si>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</si>
  <si>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</si>
  <si>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</si>
  <si>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</si>
  <si>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</si>
  <si>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</si>
  <si>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</si>
  <si>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</si>
  <si>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</si>
  <si>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</si>
  <si>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</si>
  <si>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</si>
  <si>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</si>
  <si>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</si>
  <si>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</si>
  <si>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</si>
  <si>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</si>
  <si>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</si>
  <si>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</si>
  <si>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</si>
  <si>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</si>
  <si>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</si>
  <si>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</si>
  <si>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</si>
  <si>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</si>
  <si>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</si>
  <si>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</si>
  <si>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</si>
  <si>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</si>
  <si>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</si>
  <si>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</si>
  <si>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</si>
  <si>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</si>
  <si>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</si>
  <si>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</si>
  <si>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</si>
  <si>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</si>
  <si>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</si>
  <si>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</si>
  <si>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</si>
  <si>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</si>
  <si>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</si>
  <si>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</si>
  <si>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</si>
  <si>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</si>
  <si>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</si>
  <si>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</si>
  <si>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</si>
  <si>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</si>
  <si>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</si>
  <si>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</si>
  <si>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</si>
  <si>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</si>
  <si>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</si>
  <si>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</si>
  <si>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</si>
  <si>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</si>
  <si>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</si>
  <si>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</si>
  <si>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</si>
  <si>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</si>
  <si>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</si>
  <si>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</si>
  <si>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</si>
  <si>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</si>
  <si>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</si>
  <si>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</si>
  <si>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</si>
  <si>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</si>
  <si>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</si>
  <si>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</si>
  <si>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</si>
  <si>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</si>
  <si>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</si>
  <si>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</si>
  <si>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</si>
  <si>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</si>
  <si>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</si>
  <si>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</si>
  <si>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</si>
  <si>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</si>
  <si>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</si>
  <si>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</si>
  <si>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</si>
  <si>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</si>
  <si>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</si>
  <si>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</si>
  <si>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</si>
  <si>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</si>
  <si>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</si>
  <si>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</si>
  <si>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</si>
  <si>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</si>
  <si>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</si>
  <si>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</si>
  <si>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</si>
  <si>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</si>
  <si>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</si>
  <si>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</si>
  <si>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</si>
  <si>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</si>
  <si>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</si>
  <si>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</si>
  <si>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</si>
  <si>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</si>
  <si>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</si>
  <si>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</si>
  <si>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</si>
  <si>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</si>
  <si>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</si>
  <si>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</si>
  <si>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</si>
  <si>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</si>
  <si>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</si>
  <si>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</si>
  <si>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</si>
  <si>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</si>
  <si>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</si>
  <si>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</si>
  <si>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</si>
  <si>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</si>
  <si>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</si>
  <si>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</si>
  <si>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</si>
  <si>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</si>
  <si>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</si>
  <si>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</si>
  <si>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</si>
  <si>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</si>
  <si>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</si>
  <si>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</si>
  <si>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</si>
  <si>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</si>
  <si>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</si>
  <si>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</si>
  <si>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</si>
  <si>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</si>
  <si>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</si>
  <si>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</si>
  <si>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</si>
  <si>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</si>
  <si>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</si>
  <si>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</si>
  <si>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</si>
  <si>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</si>
  <si>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</si>
  <si>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</si>
  <si>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</si>
  <si>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</si>
  <si>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</si>
  <si>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</si>
  <si>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</si>
  <si>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</si>
  <si>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</si>
  <si>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</si>
  <si>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</si>
  <si>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</si>
  <si>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</si>
  <si>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</si>
  <si>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</si>
  <si>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</si>
  <si>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</si>
  <si>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</si>
  <si>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</si>
  <si>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</si>
  <si>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</si>
  <si>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</si>
  <si>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</si>
  <si>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</si>
  <si>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</si>
  <si>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</si>
  <si>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</si>
  <si>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</si>
  <si>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</si>
  <si>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</si>
  <si>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</si>
  <si>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</si>
  <si>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</si>
  <si>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</si>
  <si>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</si>
  <si>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</si>
  <si>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</si>
  <si>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</si>
  <si>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</si>
  <si>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</si>
  <si>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</si>
  <si>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</si>
  <si>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</si>
  <si>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</si>
  <si>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</si>
  <si>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</si>
  <si>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</si>
  <si>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</si>
  <si>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</si>
  <si>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</si>
  <si>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</si>
  <si>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</si>
  <si>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</si>
  <si>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</si>
  <si>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</si>
  <si>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</si>
  <si>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</si>
  <si>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</si>
  <si>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</si>
  <si>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</si>
  <si>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</si>
  <si>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</si>
  <si>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</si>
  <si>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</si>
  <si>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</si>
  <si>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</si>
  <si>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</si>
  <si>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</si>
  <si>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</si>
  <si>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</si>
  <si>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</si>
  <si>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</si>
  <si>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</si>
  <si>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</si>
  <si>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</si>
  <si>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</si>
  <si>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</si>
  <si>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</si>
  <si>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</si>
  <si>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</si>
  <si>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</si>
  <si>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</si>
  <si>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</si>
  <si>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</si>
  <si>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</si>
  <si>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</si>
  <si>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</si>
  <si>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</si>
  <si>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</si>
  <si>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</si>
  <si>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</si>
  <si>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</si>
  <si>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</si>
  <si>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</si>
  <si>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</si>
  <si>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</si>
  <si>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</si>
  <si>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</si>
  <si>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</si>
  <si>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</si>
  <si>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</si>
  <si>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</si>
  <si>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</si>
  <si>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</si>
  <si>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</si>
  <si>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</si>
  <si>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</si>
  <si>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</si>
  <si>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</si>
  <si>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</si>
  <si>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</si>
  <si>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</si>
  <si>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</si>
  <si>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</si>
  <si>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</si>
  <si>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</si>
  <si>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</si>
  <si>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</si>
  <si>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</si>
  <si>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</si>
  <si>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</si>
  <si>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</si>
  <si>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</si>
  <si>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</si>
  <si>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</si>
  <si>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</si>
  <si>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</si>
  <si>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</si>
  <si>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</si>
  <si>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</si>
  <si>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</si>
  <si>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</si>
  <si>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</si>
  <si>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</si>
  <si>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</si>
  <si>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</si>
  <si>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</si>
  <si>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</si>
  <si>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</si>
  <si>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</si>
  <si>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</si>
  <si>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</si>
  <si>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</si>
  <si>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</si>
  <si>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</si>
  <si>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</si>
  <si>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</si>
  <si>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</si>
  <si>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</si>
  <si>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</si>
  <si>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</si>
  <si>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</si>
  <si>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</si>
  <si>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</si>
  <si>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</si>
  <si>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</si>
  <si>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</si>
  <si>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</si>
  <si>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</si>
  <si>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</si>
  <si>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</si>
  <si>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</si>
  <si>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</si>
  <si>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</si>
  <si>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</si>
  <si>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</si>
  <si>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</si>
  <si>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</si>
  <si>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</si>
  <si>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</si>
  <si>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</si>
  <si>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</si>
  <si>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</si>
  <si>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</si>
  <si>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</si>
  <si>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</si>
  <si>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</si>
  <si>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</si>
  <si>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</si>
  <si>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</si>
  <si>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</si>
  <si>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</si>
  <si>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</si>
  <si>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</si>
  <si>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</si>
  <si>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</si>
  <si>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</si>
  <si>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</si>
  <si>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</si>
  <si>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</si>
  <si>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</si>
  <si>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</si>
  <si>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</si>
  <si>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</si>
  <si>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</si>
  <si>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</si>
  <si>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</si>
  <si>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</si>
  <si>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</si>
  <si>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</si>
  <si>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</si>
  <si>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</si>
  <si>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</si>
  <si>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</si>
  <si>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</si>
  <si>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</si>
  <si>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</si>
  <si>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</si>
  <si>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</si>
  <si>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</si>
  <si>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</si>
  <si>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</si>
  <si>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</si>
  <si>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</si>
  <si>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</si>
  <si>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</si>
  <si>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</si>
  <si>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</si>
  <si>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</si>
  <si>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</si>
  <si>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</si>
  <si>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</si>
  <si>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</si>
  <si>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</si>
  <si>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</si>
  <si>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</si>
  <si>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</si>
  <si>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</si>
  <si>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</si>
  <si>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</si>
  <si>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</si>
  <si>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</si>
  <si>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</si>
  <si>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</si>
  <si>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</si>
  <si>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</si>
  <si>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</si>
  <si>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</si>
  <si>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</si>
  <si>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</si>
  <si>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</si>
  <si>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</si>
  <si>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</si>
  <si>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</si>
  <si>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</si>
  <si>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</si>
  <si>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</si>
  <si>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</si>
  <si>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</si>
  <si>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</si>
  <si>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</si>
  <si>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</si>
  <si>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</si>
  <si>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</si>
  <si>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</si>
  <si>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</si>
  <si>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</si>
  <si>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</si>
  <si>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</si>
  <si>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</si>
  <si>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</si>
  <si>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</si>
  <si>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</si>
  <si>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</si>
  <si>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</si>
  <si>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</si>
  <si>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</si>
  <si>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</si>
  <si>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</si>
  <si>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</si>
  <si>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</si>
  <si>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</si>
  <si>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</si>
  <si>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</si>
  <si>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</si>
  <si>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</si>
  <si>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</si>
  <si>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</si>
  <si>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</si>
  <si>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</si>
  <si>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</si>
  <si>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</si>
  <si>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</si>
  <si>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</si>
  <si>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</si>
  <si>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</si>
  <si>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</si>
  <si>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</si>
  <si>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</si>
  <si>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</si>
  <si>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</si>
  <si>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</si>
  <si>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</si>
  <si>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</si>
  <si>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</si>
  <si>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</si>
  <si>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</si>
  <si>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</si>
  <si>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</si>
  <si>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</si>
  <si>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</si>
  <si>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</si>
  <si>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</si>
  <si>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</si>
  <si>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</si>
  <si>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</si>
  <si>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</si>
  <si>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</si>
  <si>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</si>
  <si>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</si>
  <si>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</si>
  <si>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</si>
  <si>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</si>
  <si>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</si>
  <si>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</si>
  <si>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</si>
  <si>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</si>
  <si>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</si>
  <si>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</si>
  <si>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</si>
  <si>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</si>
  <si>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</si>
  <si>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</si>
  <si>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</si>
  <si>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</si>
  <si>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</si>
  <si>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</si>
  <si>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</si>
  <si>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</si>
  <si>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</si>
  <si>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</si>
  <si>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</si>
  <si>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</si>
  <si>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</si>
  <si>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</si>
  <si>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</si>
  <si>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</si>
  <si>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</si>
  <si>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</si>
  <si>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</si>
  <si>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</si>
  <si>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</si>
  <si>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</si>
  <si>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</si>
  <si>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</si>
  <si>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</si>
  <si>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</si>
  <si>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</si>
  <si>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</si>
  <si>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</si>
  <si>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</si>
  <si>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</si>
  <si>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</si>
  <si>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</si>
  <si>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</si>
  <si>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</si>
  <si>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</si>
  <si>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</si>
  <si>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</si>
  <si>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</si>
  <si>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</si>
  <si>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</si>
  <si>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</si>
  <si>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</si>
  <si>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</si>
  <si>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</si>
  <si>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</si>
  <si>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</si>
  <si>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</si>
  <si>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</si>
  <si>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</si>
  <si>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</si>
  <si>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</si>
  <si>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</si>
  <si>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</si>
  <si>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</si>
  <si>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</si>
  <si>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</si>
  <si>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</si>
  <si>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</si>
  <si>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</si>
  <si>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</si>
  <si>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</si>
  <si>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</si>
  <si>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</si>
  <si>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</si>
  <si>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</si>
  <si>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</si>
  <si>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</si>
  <si>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</si>
  <si>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</si>
  <si>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</si>
  <si>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</si>
  <si>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</si>
  <si>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</si>
  <si>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</si>
  <si>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</si>
  <si>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</si>
  <si>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</si>
  <si>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</si>
  <si>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</si>
  <si>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</si>
  <si>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</si>
  <si>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</si>
  <si>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</si>
  <si>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</si>
  <si>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</si>
  <si>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</si>
  <si>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</si>
  <si>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</si>
  <si>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</si>
  <si>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</si>
  <si>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</si>
  <si>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</si>
  <si>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</si>
  <si>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</si>
  <si>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</si>
  <si>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</si>
  <si>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</si>
  <si>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</si>
  <si>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</si>
  <si>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</si>
  <si>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</si>
  <si>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</si>
  <si>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</si>
  <si>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</si>
  <si>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</si>
  <si>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</si>
  <si>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</si>
  <si>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</si>
  <si>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</si>
  <si>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</si>
  <si>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</si>
  <si>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</si>
  <si>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</si>
  <si>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</si>
  <si>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</si>
  <si>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</si>
  <si>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</si>
  <si>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</si>
  <si>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</si>
  <si>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</si>
  <si>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</si>
  <si>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</si>
  <si>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</si>
  <si>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</si>
  <si>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</si>
  <si>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</si>
  <si>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</si>
  <si>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</si>
  <si>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</si>
  <si>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</si>
  <si>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</si>
  <si>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</si>
  <si>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</si>
  <si>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</si>
  <si>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</si>
  <si>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</si>
  <si>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</si>
  <si>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</si>
  <si>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</si>
  <si>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</si>
  <si>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</si>
  <si>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</si>
  <si>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</si>
  <si>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</si>
  <si>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</si>
  <si>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</si>
  <si>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</si>
  <si>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</si>
  <si>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</si>
  <si>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</si>
  <si>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</si>
  <si>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</si>
  <si>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</si>
  <si>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</si>
  <si>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</si>
  <si>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</si>
  <si>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</si>
  <si>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</si>
  <si>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</si>
  <si>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</si>
  <si>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</si>
  <si>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</si>
  <si>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</si>
  <si>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</si>
  <si>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</si>
  <si>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</si>
  <si>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</si>
  <si>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</si>
  <si>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</si>
  <si>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</si>
  <si>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</si>
  <si>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</si>
  <si>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</si>
  <si>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</si>
  <si>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</si>
  <si>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</si>
  <si>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</si>
  <si>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24007</t>
  </si>
  <si>
    <t>BEGIJNENDIJK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</si>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</sst>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7B3478F-97B9-40A6-BE79-6E0EDD7E3C8F}"/>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87567.475358334035</c:v>
                </c:pt>
                <c:pt idx="1">
                  <c:v>11458.643484326269</c:v>
                </c:pt>
                <c:pt idx="2">
                  <c:v>544.45399999999995</c:v>
                </c:pt>
                <c:pt idx="3">
                  <c:v>754.77403577776329</c:v>
                </c:pt>
                <c:pt idx="4">
                  <c:v>2516.4467936688529</c:v>
                </c:pt>
                <c:pt idx="5">
                  <c:v>60577.211674941471</c:v>
                </c:pt>
                <c:pt idx="6">
                  <c:v>297.12322370397789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87567.475358334035</c:v>
                </c:pt>
                <c:pt idx="1">
                  <c:v>11458.643484326269</c:v>
                </c:pt>
                <c:pt idx="2">
                  <c:v>544.45399999999995</c:v>
                </c:pt>
                <c:pt idx="3">
                  <c:v>754.77403577776329</c:v>
                </c:pt>
                <c:pt idx="4">
                  <c:v>2516.4467936688529</c:v>
                </c:pt>
                <c:pt idx="5">
                  <c:v>60577.211674941471</c:v>
                </c:pt>
                <c:pt idx="6">
                  <c:v>297.12322370397789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19521.111815309076</c:v>
                </c:pt>
                <c:pt idx="2">
                  <c:v>2288.047528859217</c:v>
                </c:pt>
                <c:pt idx="3">
                  <c:v>105.6504309965937</c:v>
                </c:pt>
                <c:pt idx="4">
                  <c:v>186.76943547012894</c:v>
                </c:pt>
                <c:pt idx="5">
                  <c:v>526.99688294974885</c:v>
                </c:pt>
                <c:pt idx="6">
                  <c:v>15171.354535417195</c:v>
                </c:pt>
                <c:pt idx="7">
                  <c:v>74.927334786773187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19521.111815309076</c:v>
                </c:pt>
                <c:pt idx="2">
                  <c:v>2288.047528859217</c:v>
                </c:pt>
                <c:pt idx="3">
                  <c:v>105.6504309965937</c:v>
                </c:pt>
                <c:pt idx="4">
                  <c:v>186.76943547012894</c:v>
                </c:pt>
                <c:pt idx="5">
                  <c:v>526.99688294974885</c:v>
                </c:pt>
                <c:pt idx="6">
                  <c:v>15171.354535417195</c:v>
                </c:pt>
                <c:pt idx="7">
                  <c:v>74.927334786773187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24007</v>
      </c>
      <c r="B6" s="381"/>
      <c r="C6" s="382"/>
    </row>
    <row r="7" spans="1:7" s="379" customFormat="1" ht="15.75" customHeight="1">
      <c r="A7" s="383" t="str">
        <f>txtMunicipality</f>
        <v>BEGIJNENDIJK</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0.19404840628702097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0.19404840628702097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4023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319</v>
      </c>
      <c r="C14" s="322"/>
      <c r="D14" s="322"/>
      <c r="E14" s="322"/>
      <c r="F14" s="322"/>
    </row>
    <row r="15" spans="1:6">
      <c r="A15" s="1261" t="s">
        <v>177</v>
      </c>
      <c r="B15" s="1262">
        <v>0</v>
      </c>
      <c r="C15" s="322"/>
      <c r="D15" s="322"/>
      <c r="E15" s="322"/>
      <c r="F15" s="322"/>
    </row>
    <row r="16" spans="1:6">
      <c r="A16" s="1261" t="s">
        <v>6</v>
      </c>
      <c r="B16" s="1262">
        <v>0</v>
      </c>
      <c r="C16" s="322"/>
      <c r="D16" s="322"/>
      <c r="E16" s="322"/>
      <c r="F16" s="322"/>
    </row>
    <row r="17" spans="1:6">
      <c r="A17" s="1261" t="s">
        <v>7</v>
      </c>
      <c r="B17" s="1262">
        <v>36</v>
      </c>
      <c r="C17" s="322"/>
      <c r="D17" s="322"/>
      <c r="E17" s="322"/>
      <c r="F17" s="322"/>
    </row>
    <row r="18" spans="1:6">
      <c r="A18" s="1261" t="s">
        <v>8</v>
      </c>
      <c r="B18" s="1262">
        <v>28</v>
      </c>
      <c r="C18" s="322"/>
      <c r="D18" s="322"/>
      <c r="E18" s="322"/>
      <c r="F18" s="322"/>
    </row>
    <row r="19" spans="1:6">
      <c r="A19" s="1261" t="s">
        <v>9</v>
      </c>
      <c r="B19" s="1262">
        <v>26</v>
      </c>
      <c r="C19" s="322"/>
      <c r="D19" s="322"/>
      <c r="E19" s="322"/>
      <c r="F19" s="322"/>
    </row>
    <row r="20" spans="1:6">
      <c r="A20" s="1261" t="s">
        <v>10</v>
      </c>
      <c r="B20" s="1262">
        <v>9</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17</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5</v>
      </c>
      <c r="F36" s="1262">
        <v>2015</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1175</v>
      </c>
      <c r="D39" s="1262">
        <v>17713367</v>
      </c>
      <c r="E39" s="1262">
        <v>4028</v>
      </c>
      <c r="F39" s="1262">
        <v>15066473</v>
      </c>
    </row>
    <row r="40" spans="1:6">
      <c r="A40" s="1261" t="s">
        <v>29</v>
      </c>
      <c r="B40" s="1261" t="s">
        <v>28</v>
      </c>
      <c r="C40" s="1262">
        <v>0</v>
      </c>
      <c r="D40" s="1262">
        <v>0</v>
      </c>
      <c r="E40" s="1262">
        <v>0</v>
      </c>
      <c r="F40" s="1262">
        <v>0</v>
      </c>
    </row>
    <row r="41" spans="1:6">
      <c r="A41" s="1261" t="s">
        <v>31</v>
      </c>
      <c r="B41" s="1261" t="s">
        <v>32</v>
      </c>
      <c r="C41" s="1262">
        <v>28</v>
      </c>
      <c r="D41" s="1262">
        <v>491572</v>
      </c>
      <c r="E41" s="1262">
        <v>75</v>
      </c>
      <c r="F41" s="1262">
        <v>439483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4</v>
      </c>
      <c r="F44" s="1262">
        <v>239751</v>
      </c>
    </row>
    <row r="45" spans="1:6">
      <c r="A45" s="1261" t="s">
        <v>31</v>
      </c>
      <c r="B45" s="1261" t="s">
        <v>36</v>
      </c>
      <c r="C45" s="1262">
        <v>0</v>
      </c>
      <c r="D45" s="1262">
        <v>0</v>
      </c>
      <c r="E45" s="1262">
        <v>3</v>
      </c>
      <c r="F45" s="1262">
        <v>36253</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3</v>
      </c>
      <c r="D48" s="1262">
        <v>92361</v>
      </c>
      <c r="E48" s="1262">
        <v>3</v>
      </c>
      <c r="F48" s="1262">
        <v>21295</v>
      </c>
    </row>
    <row r="49" spans="1:6">
      <c r="A49" s="1261" t="s">
        <v>31</v>
      </c>
      <c r="B49" s="1261" t="s">
        <v>39</v>
      </c>
      <c r="C49" s="1262">
        <v>0</v>
      </c>
      <c r="D49" s="1262">
        <v>0</v>
      </c>
      <c r="E49" s="1262">
        <v>0</v>
      </c>
      <c r="F49" s="1262">
        <v>0</v>
      </c>
    </row>
    <row r="50" spans="1:6">
      <c r="A50" s="1261" t="s">
        <v>31</v>
      </c>
      <c r="B50" s="1261" t="s">
        <v>40</v>
      </c>
      <c r="C50" s="1262">
        <v>3</v>
      </c>
      <c r="D50" s="1262">
        <v>62187</v>
      </c>
      <c r="E50" s="1262">
        <v>8</v>
      </c>
      <c r="F50" s="1262">
        <v>173491</v>
      </c>
    </row>
    <row r="51" spans="1:6">
      <c r="A51" s="1261" t="s">
        <v>41</v>
      </c>
      <c r="B51" s="1261" t="s">
        <v>42</v>
      </c>
      <c r="C51" s="1262">
        <v>3</v>
      </c>
      <c r="D51" s="1262">
        <v>76117</v>
      </c>
      <c r="E51" s="1262">
        <v>19</v>
      </c>
      <c r="F51" s="1262">
        <v>157313</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1</v>
      </c>
      <c r="F54" s="1262">
        <v>544454</v>
      </c>
    </row>
    <row r="55" spans="1:6">
      <c r="A55" s="1261" t="s">
        <v>45</v>
      </c>
      <c r="B55" s="1261" t="s">
        <v>28</v>
      </c>
      <c r="C55" s="1262">
        <v>0</v>
      </c>
      <c r="D55" s="1262">
        <v>0</v>
      </c>
      <c r="E55" s="1262">
        <v>0</v>
      </c>
      <c r="F55" s="1262">
        <v>0</v>
      </c>
    </row>
    <row r="56" spans="1:6">
      <c r="A56" s="1261" t="s">
        <v>47</v>
      </c>
      <c r="B56" s="1261" t="s">
        <v>28</v>
      </c>
      <c r="C56" s="1262">
        <v>15</v>
      </c>
      <c r="D56" s="1262">
        <v>381539</v>
      </c>
      <c r="E56" s="1262">
        <v>78</v>
      </c>
      <c r="F56" s="1262">
        <v>415448</v>
      </c>
    </row>
    <row r="57" spans="1:6">
      <c r="A57" s="1261" t="s">
        <v>48</v>
      </c>
      <c r="B57" s="1261" t="s">
        <v>49</v>
      </c>
      <c r="C57" s="1262">
        <v>7</v>
      </c>
      <c r="D57" s="1262">
        <v>261602</v>
      </c>
      <c r="E57" s="1262">
        <v>36</v>
      </c>
      <c r="F57" s="1262">
        <v>615726</v>
      </c>
    </row>
    <row r="58" spans="1:6">
      <c r="A58" s="1261" t="s">
        <v>48</v>
      </c>
      <c r="B58" s="1261" t="s">
        <v>50</v>
      </c>
      <c r="C58" s="1262">
        <v>3</v>
      </c>
      <c r="D58" s="1262">
        <v>61163</v>
      </c>
      <c r="E58" s="1262">
        <v>20</v>
      </c>
      <c r="F58" s="1262">
        <v>514433</v>
      </c>
    </row>
    <row r="59" spans="1:6">
      <c r="A59" s="1261" t="s">
        <v>48</v>
      </c>
      <c r="B59" s="1261" t="s">
        <v>51</v>
      </c>
      <c r="C59" s="1262">
        <v>27</v>
      </c>
      <c r="D59" s="1262">
        <v>483504</v>
      </c>
      <c r="E59" s="1262">
        <v>98</v>
      </c>
      <c r="F59" s="1262">
        <v>3507769</v>
      </c>
    </row>
    <row r="60" spans="1:6">
      <c r="A60" s="1261" t="s">
        <v>48</v>
      </c>
      <c r="B60" s="1261" t="s">
        <v>52</v>
      </c>
      <c r="C60" s="1262">
        <v>11</v>
      </c>
      <c r="D60" s="1262">
        <v>544054</v>
      </c>
      <c r="E60" s="1262">
        <v>37</v>
      </c>
      <c r="F60" s="1262">
        <v>830885</v>
      </c>
    </row>
    <row r="61" spans="1:6">
      <c r="A61" s="1261" t="s">
        <v>48</v>
      </c>
      <c r="B61" s="1261" t="s">
        <v>53</v>
      </c>
      <c r="C61" s="1262">
        <v>32</v>
      </c>
      <c r="D61" s="1262">
        <v>1647556</v>
      </c>
      <c r="E61" s="1262">
        <v>135</v>
      </c>
      <c r="F61" s="1262">
        <v>1085294</v>
      </c>
    </row>
    <row r="62" spans="1:6">
      <c r="A62" s="1261" t="s">
        <v>48</v>
      </c>
      <c r="B62" s="1261" t="s">
        <v>54</v>
      </c>
      <c r="C62" s="1262">
        <v>0</v>
      </c>
      <c r="D62" s="1262">
        <v>0</v>
      </c>
      <c r="E62" s="1262">
        <v>0</v>
      </c>
      <c r="F62" s="1262">
        <v>0</v>
      </c>
    </row>
    <row r="63" spans="1:6">
      <c r="A63" s="1261" t="s">
        <v>48</v>
      </c>
      <c r="B63" s="1261" t="s">
        <v>28</v>
      </c>
      <c r="C63" s="1262">
        <v>1</v>
      </c>
      <c r="D63" s="1262">
        <v>333931</v>
      </c>
      <c r="E63" s="1262">
        <v>2</v>
      </c>
      <c r="F63" s="1262">
        <v>147292</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4</v>
      </c>
      <c r="D68" s="1264">
        <v>123488</v>
      </c>
      <c r="E68" s="1264">
        <v>9</v>
      </c>
      <c r="F68" s="1264">
        <v>115940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42448497</v>
      </c>
      <c r="E73" s="440"/>
      <c r="F73" s="322"/>
    </row>
    <row r="74" spans="1:6">
      <c r="A74" s="1261" t="s">
        <v>63</v>
      </c>
      <c r="B74" s="1261" t="s">
        <v>670</v>
      </c>
      <c r="C74" s="1274" t="s">
        <v>672</v>
      </c>
      <c r="D74" s="1262">
        <v>4084022.8828904871</v>
      </c>
      <c r="E74" s="440"/>
      <c r="F74" s="322"/>
    </row>
    <row r="75" spans="1:6">
      <c r="A75" s="1261" t="s">
        <v>64</v>
      </c>
      <c r="B75" s="1261" t="s">
        <v>669</v>
      </c>
      <c r="C75" s="1274" t="s">
        <v>673</v>
      </c>
      <c r="D75" s="1262">
        <v>24172540</v>
      </c>
      <c r="E75" s="440"/>
      <c r="F75" s="322"/>
    </row>
    <row r="76" spans="1:6">
      <c r="A76" s="1261" t="s">
        <v>64</v>
      </c>
      <c r="B76" s="1261" t="s">
        <v>670</v>
      </c>
      <c r="C76" s="1274" t="s">
        <v>674</v>
      </c>
      <c r="D76" s="1262">
        <v>387474.88289048715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79802.234219025675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2528.0333721580155</v>
      </c>
      <c r="C91" s="322"/>
      <c r="D91" s="322"/>
      <c r="E91" s="322"/>
      <c r="F91" s="322"/>
    </row>
    <row r="92" spans="1:6">
      <c r="A92" s="1256" t="s">
        <v>68</v>
      </c>
      <c r="B92" s="1257">
        <v>683.51002739945432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158</v>
      </c>
      <c r="C97" s="322"/>
      <c r="D97" s="322"/>
      <c r="E97" s="322"/>
      <c r="F97" s="322"/>
    </row>
    <row r="98" spans="1:6">
      <c r="A98" s="1261" t="s">
        <v>71</v>
      </c>
      <c r="B98" s="1262">
        <v>0</v>
      </c>
      <c r="C98" s="322"/>
      <c r="D98" s="322"/>
      <c r="E98" s="322"/>
      <c r="F98" s="322"/>
    </row>
    <row r="99" spans="1:6">
      <c r="A99" s="1261" t="s">
        <v>72</v>
      </c>
      <c r="B99" s="1262">
        <v>129</v>
      </c>
      <c r="C99" s="322"/>
      <c r="D99" s="322"/>
      <c r="E99" s="322"/>
      <c r="F99" s="322"/>
    </row>
    <row r="100" spans="1:6">
      <c r="A100" s="1261" t="s">
        <v>73</v>
      </c>
      <c r="B100" s="1262">
        <v>217</v>
      </c>
      <c r="C100" s="322"/>
      <c r="D100" s="322"/>
      <c r="E100" s="322"/>
      <c r="F100" s="322"/>
    </row>
    <row r="101" spans="1:6">
      <c r="A101" s="1261" t="s">
        <v>74</v>
      </c>
      <c r="B101" s="1262">
        <v>34</v>
      </c>
      <c r="C101" s="322"/>
      <c r="D101" s="322"/>
      <c r="E101" s="322"/>
      <c r="F101" s="322"/>
    </row>
    <row r="102" spans="1:6">
      <c r="A102" s="1261" t="s">
        <v>75</v>
      </c>
      <c r="B102" s="1262">
        <v>22</v>
      </c>
      <c r="C102" s="322"/>
      <c r="D102" s="322"/>
      <c r="E102" s="322"/>
      <c r="F102" s="322"/>
    </row>
    <row r="103" spans="1:6">
      <c r="A103" s="1261" t="s">
        <v>76</v>
      </c>
      <c r="B103" s="1262">
        <v>93</v>
      </c>
      <c r="C103" s="322"/>
      <c r="D103" s="322"/>
      <c r="E103" s="322"/>
      <c r="F103" s="322"/>
    </row>
    <row r="104" spans="1:6">
      <c r="A104" s="1261" t="s">
        <v>77</v>
      </c>
      <c r="B104" s="1262">
        <v>2805</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6</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75</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23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26334.290241263436</v>
      </c>
      <c r="C3" s="43" t="s">
        <v>163</v>
      </c>
      <c r="D3" s="43"/>
      <c r="E3" s="153"/>
      <c r="F3" s="43"/>
      <c r="G3" s="43"/>
      <c r="H3" s="43"/>
      <c r="I3" s="43"/>
      <c r="J3" s="43"/>
      <c r="K3" s="96"/>
    </row>
    <row r="4" spans="1:11">
      <c r="A4" s="349" t="s">
        <v>164</v>
      </c>
      <c r="B4" s="49">
        <f>IF(ISERROR('SEAP template'!B78+'SEAP template'!C78),0,'SEAP template'!B78+'SEAP template'!C78)</f>
        <v>3211.5433995574699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0.19404840628702097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544.45399999999995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544.45399999999995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0.19404840628702097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105.6504309965937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15066.473</v>
      </c>
      <c r="C5" s="17">
        <f>IF(ISERROR('Eigen informatie GS &amp; warmtenet'!B57),0,'Eigen informatie GS &amp; warmtenet'!B57)</f>
        <v>0</v>
      </c>
      <c r="D5" s="30">
        <f>(SUM(HH_hh_gas_kWh,HH_rest_gas_kWh)/1000)*0.902</f>
        <v>15977.457033999999</v>
      </c>
      <c r="E5" s="17">
        <f>B32*B41</f>
        <v>1445.4361920459219</v>
      </c>
      <c r="F5" s="17">
        <f>B36*B45</f>
        <v>45599.002379577149</v>
      </c>
      <c r="G5" s="18"/>
      <c r="H5" s="17"/>
      <c r="I5" s="17"/>
      <c r="J5" s="17">
        <f>B35*B44+C35*C44</f>
        <v>1063.3670129250127</v>
      </c>
      <c r="K5" s="17"/>
      <c r="L5" s="17"/>
      <c r="M5" s="17"/>
      <c r="N5" s="17">
        <f>B34*B43+C34*C43</f>
        <v>5093.7430342946009</v>
      </c>
      <c r="O5" s="17">
        <f>B52*B53*B54</f>
        <v>126.63</v>
      </c>
      <c r="P5" s="17">
        <f>B60*B61*B62/1000-B60*B61*B62/1000/B63</f>
        <v>667.33333333333337</v>
      </c>
    </row>
    <row r="6" spans="1:16">
      <c r="A6" s="16" t="s">
        <v>593</v>
      </c>
      <c r="B6" s="717">
        <f>kWh_PV_kleiner_dan_10kW</f>
        <v>2528.0333721580155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17594.506372158015</v>
      </c>
      <c r="C8" s="21">
        <f>C5</f>
        <v>0</v>
      </c>
      <c r="D8" s="21">
        <f>D5</f>
        <v>15977.457033999999</v>
      </c>
      <c r="E8" s="21">
        <f>E5</f>
        <v>1445.4361920459219</v>
      </c>
      <c r="F8" s="21">
        <f>F5</f>
        <v>45599.002379577149</v>
      </c>
      <c r="G8" s="21"/>
      <c r="H8" s="21"/>
      <c r="I8" s="21"/>
      <c r="J8" s="21">
        <f>J5</f>
        <v>1063.3670129250127</v>
      </c>
      <c r="K8" s="21"/>
      <c r="L8" s="21">
        <f>L5</f>
        <v>0</v>
      </c>
      <c r="M8" s="21">
        <f>M5</f>
        <v>0</v>
      </c>
      <c r="N8" s="21">
        <f>N5</f>
        <v>5093.7430342946009</v>
      </c>
      <c r="O8" s="21">
        <f>O5</f>
        <v>126.63</v>
      </c>
      <c r="P8" s="21">
        <f>P5</f>
        <v>667.33333333333337</v>
      </c>
    </row>
    <row r="9" spans="1:16">
      <c r="B9" s="19"/>
      <c r="C9" s="19"/>
      <c r="D9" s="253"/>
      <c r="E9" s="19"/>
      <c r="F9" s="19"/>
      <c r="G9" s="19"/>
      <c r="H9" s="19"/>
      <c r="I9" s="19"/>
      <c r="J9" s="19"/>
      <c r="K9" s="19"/>
      <c r="L9" s="19"/>
      <c r="M9" s="19"/>
      <c r="N9" s="19"/>
      <c r="O9" s="19"/>
      <c r="P9" s="19"/>
    </row>
    <row r="10" spans="1:16">
      <c r="A10" s="24" t="s">
        <v>207</v>
      </c>
      <c r="B10" s="25">
        <f ca="1">'EF ele_warmte'!B12</f>
        <v>0.19404840628702097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3414.1859209240979</v>
      </c>
      <c r="C12" s="23">
        <f ca="1">C10*C8</f>
        <v>0</v>
      </c>
      <c r="D12" s="23">
        <f>D8*D10</f>
        <v>3227.4463208679999</v>
      </c>
      <c r="E12" s="23">
        <f>E10*E8</f>
        <v>328.1140155944243</v>
      </c>
      <c r="F12" s="23">
        <f>F10*F8</f>
        <v>12174.933635347099</v>
      </c>
      <c r="G12" s="23"/>
      <c r="H12" s="23"/>
      <c r="I12" s="23"/>
      <c r="J12" s="23">
        <f>J10*J8</f>
        <v>376.43192257545445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4023</v>
      </c>
      <c r="C26" s="36"/>
      <c r="D26" s="224"/>
    </row>
    <row r="27" spans="1:5" s="15" customFormat="1">
      <c r="A27" s="226" t="s">
        <v>696</v>
      </c>
      <c r="B27" s="37">
        <f>SUM(HH_hh_gas_aantal,HH_rest_gas_aantal)</f>
        <v>1175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1116.25</v>
      </c>
      <c r="C31" s="34" t="s">
        <v>104</v>
      </c>
      <c r="D31" s="170"/>
    </row>
    <row r="32" spans="1:5">
      <c r="A32" s="167" t="s">
        <v>72</v>
      </c>
      <c r="B32" s="33">
        <f>IF((B21*($B$26-($B$27-0.05*$B$27)-$B$60))&lt;0,0,B21*($B$26-($B$27-0.05*$B$27)-$B$60))</f>
        <v>18.107016826152304</v>
      </c>
      <c r="C32" s="34" t="s">
        <v>104</v>
      </c>
      <c r="D32" s="170"/>
    </row>
    <row r="33" spans="1:6">
      <c r="A33" s="167" t="s">
        <v>73</v>
      </c>
      <c r="B33" s="33">
        <f>IF((B22*($B$26-($B$27-0.05*$B$27)-$B$60))&lt;0,0,B22*($B$26-($B$27-0.05*$B$27)-$B$60))</f>
        <v>630.552103509213</v>
      </c>
      <c r="C33" s="34" t="s">
        <v>104</v>
      </c>
      <c r="D33" s="170"/>
    </row>
    <row r="34" spans="1:6">
      <c r="A34" s="167" t="s">
        <v>74</v>
      </c>
      <c r="B34" s="33">
        <f>IF((B24*($B$26-($B$27-0.05*$B$27)-$B$60))&lt;0,0,B24*($B$26-($B$27-0.05*$B$27)-$B$60))</f>
        <v>125.16180303093415</v>
      </c>
      <c r="C34" s="33">
        <f>B26*C24</f>
        <v>823.10452239375934</v>
      </c>
      <c r="D34" s="229"/>
    </row>
    <row r="35" spans="1:6">
      <c r="A35" s="167" t="s">
        <v>76</v>
      </c>
      <c r="B35" s="33">
        <f>IF((B19*($B$26-($B$27-0.05*$B$27)-$B$60))&lt;0,0,B19*($B$26-($B$27-0.05*$B$27)-$B$60))</f>
        <v>61.148658679587605</v>
      </c>
      <c r="C35" s="33">
        <f>B35/2</f>
        <v>30.574329339793803</v>
      </c>
      <c r="D35" s="229"/>
    </row>
    <row r="36" spans="1:6">
      <c r="A36" s="167" t="s">
        <v>77</v>
      </c>
      <c r="B36" s="33">
        <f>IF((B18*($B$26-($B$27-0.05*$B$27)-$B$60))&lt;0,0,B18*($B$26-($B$27-0.05*$B$27)-$B$60))</f>
        <v>2036.7804179541138</v>
      </c>
      <c r="C36" s="34" t="s">
        <v>104</v>
      </c>
      <c r="D36" s="170"/>
    </row>
    <row r="37" spans="1:6">
      <c r="A37" s="167" t="s">
        <v>78</v>
      </c>
      <c r="B37" s="33">
        <f>B60</f>
        <v>35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6701.3990000000003</v>
      </c>
      <c r="C5" s="17">
        <f>IF(ISERROR('Eigen informatie GS &amp; warmtenet'!B58),0,'Eigen informatie GS &amp; warmtenet'!B58)</f>
        <v>0</v>
      </c>
      <c r="D5" s="30">
        <f>SUM(D6:D12)</f>
        <v>3005.2926200000002</v>
      </c>
      <c r="E5" s="17">
        <f>SUM(E6:E12)</f>
        <v>127.63159757714229</v>
      </c>
      <c r="F5" s="17">
        <f>SUM(F6:F12)</f>
        <v>1316.8923263137422</v>
      </c>
      <c r="G5" s="18"/>
      <c r="H5" s="17"/>
      <c r="I5" s="17"/>
      <c r="J5" s="17">
        <f>SUM(J6:J12)</f>
        <v>0</v>
      </c>
      <c r="K5" s="17"/>
      <c r="L5" s="17"/>
      <c r="M5" s="17"/>
      <c r="N5" s="17">
        <f>SUM(N6:N12)</f>
        <v>307.42794043538174</v>
      </c>
      <c r="O5" s="17">
        <f>B38*B39*B40</f>
        <v>0</v>
      </c>
      <c r="P5" s="17">
        <f>B46*B47*B48/1000-B46*B47*B48/1000/B49</f>
        <v>0</v>
      </c>
      <c r="R5" s="32"/>
    </row>
    <row r="6" spans="1:18">
      <c r="A6" s="32" t="s">
        <v>53</v>
      </c>
      <c r="B6" s="37">
        <f>B26</f>
        <v>1085.2940000000001</v>
      </c>
      <c r="C6" s="33"/>
      <c r="D6" s="37">
        <f>IF(ISERROR(TER_kantoor_gas_kWh/1000),0,TER_kantoor_gas_kWh/1000)*0.902</f>
        <v>1486.0955120000001</v>
      </c>
      <c r="E6" s="33">
        <f>$C$26*'E Balans VL '!I12/100/3.6*1000000</f>
        <v>1.5220152475027603E-2</v>
      </c>
      <c r="F6" s="33">
        <f>$C$26*('E Balans VL '!L12+'E Balans VL '!N12)/100/3.6*1000000</f>
        <v>150.85408514001116</v>
      </c>
      <c r="G6" s="34"/>
      <c r="H6" s="33"/>
      <c r="I6" s="33"/>
      <c r="J6" s="33">
        <f>$C$26*('E Balans VL '!D12+'E Balans VL '!E12)/100/3.6*1000000</f>
        <v>0</v>
      </c>
      <c r="K6" s="33"/>
      <c r="L6" s="33"/>
      <c r="M6" s="33"/>
      <c r="N6" s="33">
        <f>$C$26*'E Balans VL '!Y12/100/3.6*1000000</f>
        <v>13.432448092548231</v>
      </c>
      <c r="O6" s="33"/>
      <c r="P6" s="33"/>
      <c r="R6" s="32"/>
    </row>
    <row r="7" spans="1:18">
      <c r="A7" s="32" t="s">
        <v>52</v>
      </c>
      <c r="B7" s="37">
        <f t="shared" ref="B7:B12" si="0">B27</f>
        <v>830.88499999999999</v>
      </c>
      <c r="C7" s="33"/>
      <c r="D7" s="37">
        <f>IF(ISERROR(TER_horeca_gas_kWh/1000),0,TER_horeca_gas_kWh/1000)*0.902</f>
        <v>490.73670799999996</v>
      </c>
      <c r="E7" s="33">
        <f>$C$27*'E Balans VL '!I9/100/3.6*1000000</f>
        <v>11.860251893411283</v>
      </c>
      <c r="F7" s="33">
        <f>$C$27*('E Balans VL '!L9+'E Balans VL '!N9)/100/3.6*1000000</f>
        <v>129.16920749572537</v>
      </c>
      <c r="G7" s="34"/>
      <c r="H7" s="33"/>
      <c r="I7" s="33"/>
      <c r="J7" s="33">
        <f>$C$27*('E Balans VL '!D9+'E Balans VL '!E9)/100/3.6*1000000</f>
        <v>0</v>
      </c>
      <c r="K7" s="33"/>
      <c r="L7" s="33"/>
      <c r="M7" s="33"/>
      <c r="N7" s="33">
        <f>$C$27*'E Balans VL '!Y9/100/3.6*1000000</f>
        <v>0.214105991218659</v>
      </c>
      <c r="O7" s="33"/>
      <c r="P7" s="33"/>
      <c r="R7" s="32"/>
    </row>
    <row r="8" spans="1:18">
      <c r="A8" s="6" t="s">
        <v>51</v>
      </c>
      <c r="B8" s="37">
        <f t="shared" si="0"/>
        <v>3507.7689999999998</v>
      </c>
      <c r="C8" s="33"/>
      <c r="D8" s="37">
        <f>IF(ISERROR(TER_handel_gas_kWh/1000),0,TER_handel_gas_kWh/1000)*0.902</f>
        <v>436.120608</v>
      </c>
      <c r="E8" s="33">
        <f>$C$28*'E Balans VL '!I13/100/3.6*1000000</f>
        <v>94.938582095159063</v>
      </c>
      <c r="F8" s="33">
        <f>$C$28*('E Balans VL '!L13+'E Balans VL '!N13)/100/3.6*1000000</f>
        <v>544.69116197030939</v>
      </c>
      <c r="G8" s="34"/>
      <c r="H8" s="33"/>
      <c r="I8" s="33"/>
      <c r="J8" s="33">
        <f>$C$28*('E Balans VL '!D13+'E Balans VL '!E13)/100/3.6*1000000</f>
        <v>0</v>
      </c>
      <c r="K8" s="33"/>
      <c r="L8" s="33"/>
      <c r="M8" s="33"/>
      <c r="N8" s="33">
        <f>$C$28*'E Balans VL '!Y13/100/3.6*1000000</f>
        <v>28.422327729587256</v>
      </c>
      <c r="O8" s="33"/>
      <c r="P8" s="33"/>
      <c r="R8" s="32"/>
    </row>
    <row r="9" spans="1:18">
      <c r="A9" s="32" t="s">
        <v>50</v>
      </c>
      <c r="B9" s="37">
        <f t="shared" si="0"/>
        <v>514.43299999999999</v>
      </c>
      <c r="C9" s="33"/>
      <c r="D9" s="37">
        <f>IF(ISERROR(TER_gezond_gas_kWh/1000),0,TER_gezond_gas_kWh/1000)*0.902</f>
        <v>55.169025999999995</v>
      </c>
      <c r="E9" s="33">
        <f>$C$29*'E Balans VL '!I10/100/3.6*1000000</f>
        <v>3.2100351784781427E-2</v>
      </c>
      <c r="F9" s="33">
        <f>$C$29*('E Balans VL '!L10+'E Balans VL '!N10)/100/3.6*1000000</f>
        <v>66.598249947302605</v>
      </c>
      <c r="G9" s="34"/>
      <c r="H9" s="33"/>
      <c r="I9" s="33"/>
      <c r="J9" s="33">
        <f>$C$29*('E Balans VL '!D10+'E Balans VL '!E10)/100/3.6*1000000</f>
        <v>0</v>
      </c>
      <c r="K9" s="33"/>
      <c r="L9" s="33"/>
      <c r="M9" s="33"/>
      <c r="N9" s="33">
        <f>$C$29*'E Balans VL '!Y10/100/3.6*1000000</f>
        <v>4.2178478982688281</v>
      </c>
      <c r="O9" s="33"/>
      <c r="P9" s="33"/>
      <c r="R9" s="32"/>
    </row>
    <row r="10" spans="1:18">
      <c r="A10" s="32" t="s">
        <v>49</v>
      </c>
      <c r="B10" s="37">
        <f t="shared" si="0"/>
        <v>615.726</v>
      </c>
      <c r="C10" s="33"/>
      <c r="D10" s="37">
        <f>IF(ISERROR(TER_ander_gas_kWh/1000),0,TER_ander_gas_kWh/1000)*0.902</f>
        <v>235.96500399999999</v>
      </c>
      <c r="E10" s="33">
        <f>$C$30*'E Balans VL '!I14/100/3.6*1000000</f>
        <v>18.588480482855068</v>
      </c>
      <c r="F10" s="33">
        <f>$C$30*('E Balans VL '!L14+'E Balans VL '!N14)/100/3.6*1000000</f>
        <v>389.84560610695939</v>
      </c>
      <c r="G10" s="34"/>
      <c r="H10" s="33"/>
      <c r="I10" s="33"/>
      <c r="J10" s="33">
        <f>$C$30*('E Balans VL '!D14+'E Balans VL '!E14)/100/3.6*1000000</f>
        <v>0</v>
      </c>
      <c r="K10" s="33"/>
      <c r="L10" s="33"/>
      <c r="M10" s="33"/>
      <c r="N10" s="33">
        <f>$C$30*'E Balans VL '!Y14/100/3.6*1000000</f>
        <v>249.22293980853064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147.292</v>
      </c>
      <c r="C12" s="33"/>
      <c r="D12" s="37">
        <f>IF(ISERROR(TER_rest_gas_kWh/1000),0,TER_rest_gas_kWh/1000)*0.902</f>
        <v>301.20576199999999</v>
      </c>
      <c r="E12" s="33">
        <f>$C$32*'E Balans VL '!I8/100/3.6*1000000</f>
        <v>2.1969626014570722</v>
      </c>
      <c r="F12" s="33">
        <f>$C$32*('E Balans VL '!L8+'E Balans VL '!N8)/100/3.6*1000000</f>
        <v>35.734015653434177</v>
      </c>
      <c r="G12" s="34"/>
      <c r="H12" s="33"/>
      <c r="I12" s="33"/>
      <c r="J12" s="33">
        <f>$C$32*('E Balans VL '!D8+'E Balans VL '!E8)/100/3.6*1000000</f>
        <v>0</v>
      </c>
      <c r="K12" s="33"/>
      <c r="L12" s="33"/>
      <c r="M12" s="33"/>
      <c r="N12" s="33">
        <f>$C$32*'E Balans VL '!Y8/100/3.6*1000000</f>
        <v>11.918270915228108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6701.3990000000003</v>
      </c>
      <c r="C16" s="21">
        <f t="shared" ca="1" si="1"/>
        <v>0</v>
      </c>
      <c r="D16" s="21">
        <f t="shared" ca="1" si="1"/>
        <v>3005.2926200000002</v>
      </c>
      <c r="E16" s="21">
        <f t="shared" si="1"/>
        <v>127.63159757714229</v>
      </c>
      <c r="F16" s="21">
        <f t="shared" ca="1" si="1"/>
        <v>1316.8923263137422</v>
      </c>
      <c r="G16" s="21">
        <f t="shared" si="1"/>
        <v>0</v>
      </c>
      <c r="H16" s="21">
        <f t="shared" si="1"/>
        <v>0</v>
      </c>
      <c r="I16" s="21">
        <f t="shared" si="1"/>
        <v>0</v>
      </c>
      <c r="J16" s="21">
        <f t="shared" si="1"/>
        <v>0</v>
      </c>
      <c r="K16" s="21">
        <f t="shared" si="1"/>
        <v>0</v>
      </c>
      <c r="L16" s="21">
        <f t="shared" ca="1" si="1"/>
        <v>0</v>
      </c>
      <c r="M16" s="21">
        <f t="shared" si="1"/>
        <v>0</v>
      </c>
      <c r="N16" s="21">
        <f t="shared" ca="1" si="1"/>
        <v>307.42794043538174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0.19404840628702097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1300.3957958434362</v>
      </c>
      <c r="C20" s="23">
        <f t="shared" ref="C20:P20" ca="1" si="2">C16*C18</f>
        <v>0</v>
      </c>
      <c r="D20" s="23">
        <f t="shared" ca="1" si="2"/>
        <v>607.0691092400001</v>
      </c>
      <c r="E20" s="23">
        <f t="shared" si="2"/>
        <v>28.972372650011302</v>
      </c>
      <c r="F20" s="23">
        <f t="shared" ca="1" si="2"/>
        <v>351.6102511257692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1085.2940000000001</v>
      </c>
      <c r="C26" s="39">
        <f>IF(ISERROR(B26*3.6/1000000/'E Balans VL '!Z12*100),0,B26*3.6/1000000/'E Balans VL '!Z12*100)</f>
        <v>2.9478618644747236E-2</v>
      </c>
      <c r="D26" s="232" t="s">
        <v>651</v>
      </c>
      <c r="F26" s="6"/>
    </row>
    <row r="27" spans="1:18">
      <c r="A27" s="227" t="s">
        <v>52</v>
      </c>
      <c r="B27" s="33">
        <f>IF(ISERROR(TER_horeca_ele_kWh/1000),0,TER_horeca_ele_kWh/1000)</f>
        <v>830.88499999999999</v>
      </c>
      <c r="C27" s="39">
        <f>IF(ISERROR(B27*3.6/1000000/'E Balans VL '!Z9*100),0,B27*3.6/1000000/'E Balans VL '!Z9*100)</f>
        <v>6.6768081242531641E-2</v>
      </c>
      <c r="D27" s="232" t="s">
        <v>651</v>
      </c>
      <c r="F27" s="6"/>
    </row>
    <row r="28" spans="1:18">
      <c r="A28" s="167" t="s">
        <v>51</v>
      </c>
      <c r="B28" s="33">
        <f>IF(ISERROR(TER_handel_ele_kWh/1000),0,TER_handel_ele_kWh/1000)</f>
        <v>3507.7689999999998</v>
      </c>
      <c r="C28" s="39">
        <f>IF(ISERROR(B28*3.6/1000000/'E Balans VL '!Z13*100),0,B28*3.6/1000000/'E Balans VL '!Z13*100)</f>
        <v>0.10360240603692054</v>
      </c>
      <c r="D28" s="232" t="s">
        <v>651</v>
      </c>
      <c r="F28" s="6"/>
    </row>
    <row r="29" spans="1:18">
      <c r="A29" s="227" t="s">
        <v>50</v>
      </c>
      <c r="B29" s="33">
        <f>IF(ISERROR(TER_gezond_ele_kWh/1000),0,TER_gezond_ele_kWh/1000)</f>
        <v>514.43299999999999</v>
      </c>
      <c r="C29" s="39">
        <f>IF(ISERROR(B29*3.6/1000000/'E Balans VL '!Z10*100),0,B29*3.6/1000000/'E Balans VL '!Z10*100)</f>
        <v>5.8833640734129111E-2</v>
      </c>
      <c r="D29" s="232" t="s">
        <v>651</v>
      </c>
      <c r="F29" s="6"/>
    </row>
    <row r="30" spans="1:18">
      <c r="A30" s="227" t="s">
        <v>49</v>
      </c>
      <c r="B30" s="33">
        <f>IF(ISERROR(TER_ander_ele_kWh/1000),0,TER_ander_ele_kWh/1000)</f>
        <v>615.726</v>
      </c>
      <c r="C30" s="39">
        <f>IF(ISERROR(B30*3.6/1000000/'E Balans VL '!Z14*100),0,B30*3.6/1000000/'E Balans VL '!Z14*100)</f>
        <v>2.8774158914137992E-2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147.292</v>
      </c>
      <c r="C32" s="39">
        <f>IF(ISERROR(B32*3.6/1000000/'E Balans VL '!Z8*100),0,B32*3.6/1000000/'E Balans VL '!Z8*100)</f>
        <v>1.2583900225638617E-3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910.27300000000002</v>
      </c>
      <c r="C5" s="17">
        <f>IF(ISERROR('Eigen informatie GS &amp; warmtenet'!B59),0,'Eigen informatie GS &amp; warmtenet'!B59)</f>
        <v>0</v>
      </c>
      <c r="D5" s="30">
        <f>SUM(D6:D15)</f>
        <v>582.80024000000003</v>
      </c>
      <c r="E5" s="17">
        <f>SUM(E6:E15)</f>
        <v>129.80170999078382</v>
      </c>
      <c r="F5" s="17">
        <f>SUM(F6:F15)</f>
        <v>755.23851855980558</v>
      </c>
      <c r="G5" s="18"/>
      <c r="H5" s="17"/>
      <c r="I5" s="17"/>
      <c r="J5" s="17">
        <f>SUM(J6:J15)</f>
        <v>4.2953020064052403</v>
      </c>
      <c r="K5" s="17"/>
      <c r="L5" s="17"/>
      <c r="M5" s="17"/>
      <c r="N5" s="17">
        <f>SUM(N6:N15)</f>
        <v>134.03802311185856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239.751</v>
      </c>
      <c r="C8" s="33"/>
      <c r="D8" s="37">
        <f>IF( ISERROR(IND_metaal_Gas_kWH/1000),0,IND_metaal_Gas_kWH/1000)*0.902</f>
        <v>0</v>
      </c>
      <c r="E8" s="33">
        <f>C30*'E Balans VL '!I18/100/3.6*1000000</f>
        <v>6.0001284194767708</v>
      </c>
      <c r="F8" s="33">
        <f>C30*'E Balans VL '!L18/100/3.6*1000000+C30*'E Balans VL '!N18/100/3.6*1000000</f>
        <v>75.139155982806102</v>
      </c>
      <c r="G8" s="34"/>
      <c r="H8" s="33"/>
      <c r="I8" s="33"/>
      <c r="J8" s="40">
        <f>C30*'E Balans VL '!D18/100/3.6*1000000+C30*'E Balans VL '!E18/100/3.6*1000000</f>
        <v>0</v>
      </c>
      <c r="K8" s="33"/>
      <c r="L8" s="33"/>
      <c r="M8" s="33"/>
      <c r="N8" s="33">
        <f>C30*'E Balans VL '!Y18/100/3.6*1000000</f>
        <v>6.0231673281019642</v>
      </c>
      <c r="O8" s="33"/>
      <c r="P8" s="33"/>
      <c r="R8" s="32"/>
    </row>
    <row r="9" spans="1:18">
      <c r="A9" s="6" t="s">
        <v>32</v>
      </c>
      <c r="B9" s="37">
        <f t="shared" si="0"/>
        <v>439.483</v>
      </c>
      <c r="C9" s="33"/>
      <c r="D9" s="37">
        <f>IF( ISERROR(IND_andere_gas_kWh/1000),0,IND_andere_gas_kWh/1000)*0.902</f>
        <v>443.397944</v>
      </c>
      <c r="E9" s="33">
        <f>C31*'E Balans VL '!I19/100/3.6*1000000</f>
        <v>120.83979958032228</v>
      </c>
      <c r="F9" s="33">
        <f>C31*'E Balans VL '!L19/100/3.6*1000000+C31*'E Balans VL '!N19/100/3.6*1000000</f>
        <v>346.38907953278721</v>
      </c>
      <c r="G9" s="34"/>
      <c r="H9" s="33"/>
      <c r="I9" s="33"/>
      <c r="J9" s="40">
        <f>C31*'E Balans VL '!D19/100/3.6*1000000+C31*'E Balans VL '!E19/100/3.6*1000000</f>
        <v>0</v>
      </c>
      <c r="K9" s="33"/>
      <c r="L9" s="33"/>
      <c r="M9" s="33"/>
      <c r="N9" s="33">
        <f>C31*'E Balans VL '!Y19/100/3.6*1000000</f>
        <v>35.405027422617778</v>
      </c>
      <c r="O9" s="33"/>
      <c r="P9" s="33"/>
      <c r="R9" s="32"/>
    </row>
    <row r="10" spans="1:18">
      <c r="A10" s="6" t="s">
        <v>40</v>
      </c>
      <c r="B10" s="37">
        <f t="shared" si="0"/>
        <v>173.49100000000001</v>
      </c>
      <c r="C10" s="33"/>
      <c r="D10" s="37">
        <f>IF( ISERROR(IND_voed_gas_kWh/1000),0,IND_voed_gas_kWh/1000)*0.902</f>
        <v>56.092674000000002</v>
      </c>
      <c r="E10" s="33">
        <f>C32*'E Balans VL '!I20/100/3.6*1000000</f>
        <v>1.7686451682627369</v>
      </c>
      <c r="F10" s="33">
        <f>C32*'E Balans VL '!L20/100/3.6*1000000+C32*'E Balans VL '!N20/100/3.6*1000000</f>
        <v>327.72341391853905</v>
      </c>
      <c r="G10" s="34"/>
      <c r="H10" s="33"/>
      <c r="I10" s="33"/>
      <c r="J10" s="40">
        <f>C32*'E Balans VL '!D20/100/3.6*1000000+C32*'E Balans VL '!E20/100/3.6*1000000</f>
        <v>4.1522072951220466</v>
      </c>
      <c r="K10" s="33"/>
      <c r="L10" s="33"/>
      <c r="M10" s="33"/>
      <c r="N10" s="33">
        <f>C32*'E Balans VL '!Y20/100/3.6*1000000</f>
        <v>91.449740712725898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36.253</v>
      </c>
      <c r="C12" s="33"/>
      <c r="D12" s="37">
        <f>IF( ISERROR(IND_min_gas_kWh/1000),0,IND_min_gas_kWh/1000)*0.902</f>
        <v>0</v>
      </c>
      <c r="E12" s="33">
        <f>C34*'E Balans VL '!I22/100/3.6*1000000</f>
        <v>0.1097939378491247</v>
      </c>
      <c r="F12" s="33">
        <f>C34*'E Balans VL '!L22/100/3.6*1000000+C34*'E Balans VL '!N22/100/3.6*1000000</f>
        <v>1.132937418013015</v>
      </c>
      <c r="G12" s="34"/>
      <c r="H12" s="33"/>
      <c r="I12" s="33"/>
      <c r="J12" s="40">
        <f>C34*'E Balans VL '!D22/100/3.6*1000000+C34*'E Balans VL '!E22/100/3.6*1000000</f>
        <v>5.3755151248692873E-2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21.295000000000002</v>
      </c>
      <c r="C15" s="33"/>
      <c r="D15" s="37">
        <f>IF( ISERROR(IND_rest_gas_kWh/1000),0,IND_rest_gas_kWh/1000)*0.902</f>
        <v>83.309622000000005</v>
      </c>
      <c r="E15" s="33">
        <f>C37*'E Balans VL '!I15/100/3.6*1000000</f>
        <v>1.0833428848728939</v>
      </c>
      <c r="F15" s="33">
        <f>C37*'E Balans VL '!L15/100/3.6*1000000+C37*'E Balans VL '!N15/100/3.6*1000000</f>
        <v>4.8539317076602018</v>
      </c>
      <c r="G15" s="34"/>
      <c r="H15" s="33"/>
      <c r="I15" s="33"/>
      <c r="J15" s="40">
        <f>C37*'E Balans VL '!D15/100/3.6*1000000+C37*'E Balans VL '!E15/100/3.6*1000000</f>
        <v>8.9339560034501622E-2</v>
      </c>
      <c r="K15" s="33"/>
      <c r="L15" s="33"/>
      <c r="M15" s="33"/>
      <c r="N15" s="33">
        <f>C37*'E Balans VL '!Y15/100/3.6*1000000</f>
        <v>1.1600876484129345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910.27300000000002</v>
      </c>
      <c r="C18" s="21">
        <f>C5+C16</f>
        <v>0</v>
      </c>
      <c r="D18" s="21">
        <f>MAX((D5+D16),0)</f>
        <v>582.80024000000003</v>
      </c>
      <c r="E18" s="21">
        <f>MAX((E5+E16),0)</f>
        <v>129.80170999078382</v>
      </c>
      <c r="F18" s="21">
        <f>MAX((F5+F16),0)</f>
        <v>755.23851855980558</v>
      </c>
      <c r="G18" s="21"/>
      <c r="H18" s="21"/>
      <c r="I18" s="21"/>
      <c r="J18" s="21">
        <f>MAX((J5+J16),0)</f>
        <v>4.2953020064052403</v>
      </c>
      <c r="K18" s="21"/>
      <c r="L18" s="21">
        <f>MAX((L5+L16),0)</f>
        <v>0</v>
      </c>
      <c r="M18" s="21"/>
      <c r="N18" s="21">
        <f>MAX((N5+N16),0)</f>
        <v>134.03802311185856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0.19404840628702097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176.63702493610543</v>
      </c>
      <c r="C22" s="23">
        <f ca="1">C18*C20</f>
        <v>0</v>
      </c>
      <c r="D22" s="23">
        <f>D18*D20</f>
        <v>117.72564848000002</v>
      </c>
      <c r="E22" s="23">
        <f>E18*E20</f>
        <v>29.464988167907929</v>
      </c>
      <c r="F22" s="23">
        <f>F18*F20</f>
        <v>201.6486844554681</v>
      </c>
      <c r="G22" s="23"/>
      <c r="H22" s="23"/>
      <c r="I22" s="23"/>
      <c r="J22" s="23">
        <f>J18*J20</f>
        <v>1.5205369102674551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239.751</v>
      </c>
      <c r="C30" s="39">
        <f>IF(ISERROR(B30*3.6/1000000/'E Balans VL '!Z18*100),0,B30*3.6/1000000/'E Balans VL '!Z18*100)</f>
        <v>3.3557150209659346E-2</v>
      </c>
      <c r="D30" s="232" t="s">
        <v>651</v>
      </c>
    </row>
    <row r="31" spans="1:18">
      <c r="A31" s="6" t="s">
        <v>32</v>
      </c>
      <c r="B31" s="37">
        <f>IF( ISERROR(IND_ander_ele_kWh/1000),0,IND_ander_ele_kWh/1000)</f>
        <v>439.483</v>
      </c>
      <c r="C31" s="39">
        <f>IF(ISERROR(B31*3.6/1000000/'E Balans VL '!Z19*100),0,B31*3.6/1000000/'E Balans VL '!Z19*100)</f>
        <v>1.9236099615728312E-2</v>
      </c>
      <c r="D31" s="232" t="s">
        <v>651</v>
      </c>
    </row>
    <row r="32" spans="1:18">
      <c r="A32" s="167" t="s">
        <v>40</v>
      </c>
      <c r="B32" s="37">
        <f>IF( ISERROR(IND_voed_ele_kWh/1000),0,IND_voed_ele_kWh/1000)</f>
        <v>173.49100000000001</v>
      </c>
      <c r="C32" s="39">
        <f>IF(ISERROR(B32*3.6/1000000/'E Balans VL '!Z20*100),0,B32*3.6/1000000/'E Balans VL '!Z20*100)</f>
        <v>4.2950610248071459E-2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36.253</v>
      </c>
      <c r="C34" s="39">
        <f>IF(ISERROR(B34*3.6/1000000/'E Balans VL '!Z22*100),0,B34*3.6/1000000/'E Balans VL '!Z22*100)</f>
        <v>1.0287122357090358E-3</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21.295000000000002</v>
      </c>
      <c r="C37" s="39">
        <f>IF(ISERROR(B37*3.6/1000000/'E Balans VL '!Z15*100),0,B37*3.6/1000000/'E Balans VL '!Z15*100)</f>
        <v>1.5789877914172026E-4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157.31299999999999</v>
      </c>
      <c r="C5" s="17">
        <f>'Eigen informatie GS &amp; warmtenet'!B60</f>
        <v>0</v>
      </c>
      <c r="D5" s="30">
        <f>IF(ISERROR(SUM(LB_lb_gas_kWh,LB_rest_gas_kWh)/1000),0,SUM(LB_lb_gas_kWh,LB_rest_gas_kWh)/1000)*0.902</f>
        <v>68.657534000000012</v>
      </c>
      <c r="E5" s="17">
        <f>B17*'E Balans VL '!I25/3.6*1000000/100</f>
        <v>3.373347512972336</v>
      </c>
      <c r="F5" s="17">
        <f>B17*('E Balans VL '!L25/3.6*1000000+'E Balans VL '!N25/3.6*1000000)/100</f>
        <v>510.27296357795342</v>
      </c>
      <c r="G5" s="18"/>
      <c r="H5" s="17"/>
      <c r="I5" s="17"/>
      <c r="J5" s="17">
        <f>('E Balans VL '!D25+'E Balans VL '!E25)/3.6*1000000*landbouw!B17/100</f>
        <v>15.157190686837591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157.31299999999999</v>
      </c>
      <c r="C8" s="21">
        <f>C5+C6</f>
        <v>0</v>
      </c>
      <c r="D8" s="21">
        <f>MAX((D5+D6),0)</f>
        <v>68.657534000000012</v>
      </c>
      <c r="E8" s="21">
        <f>MAX((E5+E6),0)</f>
        <v>3.373347512972336</v>
      </c>
      <c r="F8" s="21">
        <f>MAX((F5+F6),0)</f>
        <v>510.27296357795342</v>
      </c>
      <c r="G8" s="21"/>
      <c r="H8" s="21"/>
      <c r="I8" s="21"/>
      <c r="J8" s="21">
        <f>MAX((J5+J6),0)</f>
        <v>15.157190686837591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0.19404840628702097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30.526336938230127</v>
      </c>
      <c r="C12" s="23">
        <f ca="1">C8*C10</f>
        <v>0</v>
      </c>
      <c r="D12" s="23">
        <f>D8*D10</f>
        <v>13.868821868000003</v>
      </c>
      <c r="E12" s="23">
        <f>E8*E10</f>
        <v>0.76574988544472034</v>
      </c>
      <c r="F12" s="23">
        <f>F8*F10</f>
        <v>136.24288127531358</v>
      </c>
      <c r="G12" s="23"/>
      <c r="H12" s="23"/>
      <c r="I12" s="23"/>
      <c r="J12" s="23">
        <f>J8*J10</f>
        <v>5.3656455031405068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2.2366572987842545E-2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5.3128931379479001</v>
      </c>
      <c r="C26" s="242">
        <f>B26*'GWP N2O_CH4'!B5</f>
        <v>111.57075589690591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0.28901734381036764</v>
      </c>
      <c r="C27" s="242">
        <f>B27*'GWP N2O_CH4'!B5</f>
        <v>6.0693642200177207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9.1352359925506749E-2</v>
      </c>
      <c r="C28" s="242">
        <f>B28*'GWP N2O_CH4'!B4</f>
        <v>28.319231576907093</v>
      </c>
      <c r="D28" s="50"/>
    </row>
    <row r="29" spans="1:4">
      <c r="A29" s="41" t="s">
        <v>266</v>
      </c>
      <c r="B29" s="242">
        <f>B34*'ha_N2O bodem landbouw'!B4</f>
        <v>2.1117121000810113</v>
      </c>
      <c r="C29" s="242">
        <f>B29*'GWP N2O_CH4'!B4</f>
        <v>654.63075102511345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4.7361982136069934E-4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3.3917561252570943E-5</v>
      </c>
      <c r="C5" s="428" t="s">
        <v>204</v>
      </c>
      <c r="D5" s="413">
        <f>SUM(D6:D11)</f>
        <v>5.9533549396988123E-5</v>
      </c>
      <c r="E5" s="413">
        <f>SUM(E6:E11)</f>
        <v>5.6748178286594839E-4</v>
      </c>
      <c r="F5" s="426" t="s">
        <v>204</v>
      </c>
      <c r="G5" s="413">
        <f>SUM(G6:G11)</f>
        <v>0.17031879022021637</v>
      </c>
      <c r="H5" s="413">
        <f>SUM(H6:H11)</f>
        <v>3.6121821479153285E-2</v>
      </c>
      <c r="I5" s="428" t="s">
        <v>204</v>
      </c>
      <c r="J5" s="428" t="s">
        <v>204</v>
      </c>
      <c r="K5" s="428" t="s">
        <v>204</v>
      </c>
      <c r="L5" s="428" t="s">
        <v>204</v>
      </c>
      <c r="M5" s="413">
        <f>SUM(M6:M11)</f>
        <v>1.0976417436904137E-2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1.9910435463843513E-5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3.0113075448736476E-5</v>
      </c>
      <c r="E6" s="819">
        <f>vkm_GW_PW*SUMIFS(TableVerdeelsleutelVkm[LPG],TableVerdeelsleutelVkm[Voertuigtype],"Lichte voertuigen")*SUMIFS(TableECFTransport[EnergieConsumptieFactor (PJ per km)],TableECFTransport[Index],CONCATENATE($A6,"_LPG_LPG"))</f>
        <v>2.9416829301220346E-4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6.8301859368197423E-2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1.8604132926188979E-2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4.5274267231023638E-3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9.9553124826406389E-7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3.8208701035541803E-2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8.5616214143108857E-7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2.2152576185342802E-3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1.2917142730349624E-5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2.942047394825165E-5</v>
      </c>
      <c r="E8" s="416">
        <f>vkm_NGW_PW*SUMIFS(TableVerdeelsleutelVkm[LPG],TableVerdeelsleutelVkm[Voertuigtype],"Lichte voertuigen")*SUMIFS(TableECFTransport[EnergieConsumptieFactor (PJ per km)],TableECFTransport[Index],CONCATENATE($A8,"_LPG_LPG"))</f>
        <v>2.7331348985374493E-4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5.9150674631403923E-2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1.7516734345280113E-2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3.9636983397394084E-3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9.4451810113739349E-8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4.6575551850732222E-3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9.8045542757543251E-8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2.7003475552808394E-4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9.4215447923808178</v>
      </c>
      <c r="C14" s="21"/>
      <c r="D14" s="21">
        <f t="shared" ref="D14:M14" si="0">((D5)*10^9/3600)+D12</f>
        <v>16.537097054718924</v>
      </c>
      <c r="E14" s="21">
        <f t="shared" si="0"/>
        <v>157.63382857387455</v>
      </c>
      <c r="F14" s="21"/>
      <c r="G14" s="21">
        <f t="shared" si="0"/>
        <v>47310.775061171211</v>
      </c>
      <c r="H14" s="21">
        <f t="shared" si="0"/>
        <v>10033.839299764801</v>
      </c>
      <c r="I14" s="21"/>
      <c r="J14" s="21"/>
      <c r="K14" s="21"/>
      <c r="L14" s="21"/>
      <c r="M14" s="21">
        <f t="shared" si="0"/>
        <v>3049.0048435844824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0.19404840628702097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1.8282357517232795</v>
      </c>
      <c r="C18" s="23"/>
      <c r="D18" s="23">
        <f t="shared" ref="D18:M18" si="1">D14*D16</f>
        <v>3.340493605053223</v>
      </c>
      <c r="E18" s="23">
        <f t="shared" si="1"/>
        <v>35.782879086269524</v>
      </c>
      <c r="F18" s="23"/>
      <c r="G18" s="23">
        <f t="shared" si="1"/>
        <v>12631.976941332714</v>
      </c>
      <c r="H18" s="23">
        <f t="shared" si="1"/>
        <v>2498.4259856414355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5.3111675269461657E-6</v>
      </c>
      <c r="C50" s="311">
        <f t="shared" ref="C50:P50" si="2">SUM(C51:C52)</f>
        <v>0</v>
      </c>
      <c r="D50" s="311">
        <f t="shared" si="2"/>
        <v>0</v>
      </c>
      <c r="E50" s="311">
        <f t="shared" si="2"/>
        <v>0</v>
      </c>
      <c r="F50" s="311">
        <f t="shared" si="2"/>
        <v>0</v>
      </c>
      <c r="G50" s="311">
        <f t="shared" si="2"/>
        <v>1.0063961859110718E-3</v>
      </c>
      <c r="H50" s="311">
        <f t="shared" si="2"/>
        <v>0</v>
      </c>
      <c r="I50" s="311">
        <f t="shared" si="2"/>
        <v>0</v>
      </c>
      <c r="J50" s="311">
        <f t="shared" si="2"/>
        <v>0</v>
      </c>
      <c r="K50" s="311">
        <f t="shared" si="2"/>
        <v>0</v>
      </c>
      <c r="L50" s="311">
        <f t="shared" si="2"/>
        <v>0</v>
      </c>
      <c r="M50" s="311">
        <f t="shared" si="2"/>
        <v>5.7936251896302403E-5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5.3111675269461657E-6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1.0063961859110718E-3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5.7936251896302403E-5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1.4753243130406015</v>
      </c>
      <c r="C54" s="21">
        <f t="shared" ref="C54:P54" si="3">(C50)*10^9/3600</f>
        <v>0</v>
      </c>
      <c r="D54" s="21">
        <f t="shared" si="3"/>
        <v>0</v>
      </c>
      <c r="E54" s="21">
        <f t="shared" si="3"/>
        <v>0</v>
      </c>
      <c r="F54" s="21">
        <f t="shared" si="3"/>
        <v>0</v>
      </c>
      <c r="G54" s="21">
        <f t="shared" si="3"/>
        <v>279.55449608640885</v>
      </c>
      <c r="H54" s="21">
        <f t="shared" si="3"/>
        <v>0</v>
      </c>
      <c r="I54" s="21">
        <f t="shared" si="3"/>
        <v>0</v>
      </c>
      <c r="J54" s="21">
        <f t="shared" si="3"/>
        <v>0</v>
      </c>
      <c r="K54" s="21">
        <f t="shared" si="3"/>
        <v>0</v>
      </c>
      <c r="L54" s="21">
        <f t="shared" si="3"/>
        <v>0</v>
      </c>
      <c r="M54" s="21">
        <f t="shared" si="3"/>
        <v>16.093403304528447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0.19404840628702097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0.28628433170202278</v>
      </c>
      <c r="C58" s="23">
        <f t="shared" ref="C58:P58" ca="1" si="4">C54*C56</f>
        <v>0</v>
      </c>
      <c r="D58" s="23">
        <f t="shared" si="4"/>
        <v>0</v>
      </c>
      <c r="E58" s="23">
        <f t="shared" si="4"/>
        <v>0</v>
      </c>
      <c r="F58" s="23">
        <f t="shared" si="4"/>
        <v>0</v>
      </c>
      <c r="G58" s="23">
        <f t="shared" si="4"/>
        <v>74.641050455071166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3211.5433995574699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3211.5433995574699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7245.8530000000001</v>
      </c>
      <c r="D10" s="943">
        <f ca="1">tertiair!C16</f>
        <v>0</v>
      </c>
      <c r="E10" s="943">
        <f ca="1">tertiair!D16</f>
        <v>3005.2926200000002</v>
      </c>
      <c r="F10" s="943">
        <f>tertiair!E16</f>
        <v>127.63159757714229</v>
      </c>
      <c r="G10" s="943">
        <f ca="1">tertiair!F16</f>
        <v>1316.8923263137422</v>
      </c>
      <c r="H10" s="943">
        <f>tertiair!G16</f>
        <v>0</v>
      </c>
      <c r="I10" s="943">
        <f>tertiair!H16</f>
        <v>0</v>
      </c>
      <c r="J10" s="943">
        <f>tertiair!I16</f>
        <v>0</v>
      </c>
      <c r="K10" s="943">
        <f>tertiair!J16</f>
        <v>0</v>
      </c>
      <c r="L10" s="943">
        <f>tertiair!K16</f>
        <v>0</v>
      </c>
      <c r="M10" s="943">
        <f ca="1">tertiair!L16</f>
        <v>0</v>
      </c>
      <c r="N10" s="943">
        <f>tertiair!M16</f>
        <v>0</v>
      </c>
      <c r="O10" s="943">
        <f ca="1">tertiair!N16</f>
        <v>307.42794043538174</v>
      </c>
      <c r="P10" s="943">
        <f>tertiair!O16</f>
        <v>0</v>
      </c>
      <c r="Q10" s="944">
        <f>tertiair!P16</f>
        <v>0</v>
      </c>
      <c r="R10" s="629">
        <f ca="1">SUM(C10:Q10)</f>
        <v>12003.097484326267</v>
      </c>
      <c r="S10" s="67"/>
    </row>
    <row r="11" spans="1:19" s="438" customFormat="1">
      <c r="A11" s="737" t="s">
        <v>214</v>
      </c>
      <c r="B11" s="742"/>
      <c r="C11" s="943">
        <f>huishoudens!B8</f>
        <v>17594.506372158015</v>
      </c>
      <c r="D11" s="943">
        <f>huishoudens!C8</f>
        <v>0</v>
      </c>
      <c r="E11" s="943">
        <f>huishoudens!D8</f>
        <v>15977.457033999999</v>
      </c>
      <c r="F11" s="943">
        <f>huishoudens!E8</f>
        <v>1445.4361920459219</v>
      </c>
      <c r="G11" s="943">
        <f>huishoudens!F8</f>
        <v>45599.002379577149</v>
      </c>
      <c r="H11" s="943">
        <f>huishoudens!G8</f>
        <v>0</v>
      </c>
      <c r="I11" s="943">
        <f>huishoudens!H8</f>
        <v>0</v>
      </c>
      <c r="J11" s="943">
        <f>huishoudens!I8</f>
        <v>0</v>
      </c>
      <c r="K11" s="943">
        <f>huishoudens!J8</f>
        <v>1063.3670129250127</v>
      </c>
      <c r="L11" s="943">
        <f>huishoudens!K8</f>
        <v>0</v>
      </c>
      <c r="M11" s="943">
        <f>huishoudens!L8</f>
        <v>0</v>
      </c>
      <c r="N11" s="943">
        <f>huishoudens!M8</f>
        <v>0</v>
      </c>
      <c r="O11" s="943">
        <f>huishoudens!N8</f>
        <v>5093.7430342946009</v>
      </c>
      <c r="P11" s="943">
        <f>huishoudens!O8</f>
        <v>126.63</v>
      </c>
      <c r="Q11" s="944">
        <f>huishoudens!P8</f>
        <v>667.33333333333337</v>
      </c>
      <c r="R11" s="629">
        <f>SUM(C11:Q11)</f>
        <v>87567.475358334035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910.27300000000002</v>
      </c>
      <c r="D13" s="943">
        <f>industrie!C18</f>
        <v>0</v>
      </c>
      <c r="E13" s="943">
        <f>industrie!D18</f>
        <v>582.80024000000003</v>
      </c>
      <c r="F13" s="943">
        <f>industrie!E18</f>
        <v>129.80170999078382</v>
      </c>
      <c r="G13" s="943">
        <f>industrie!F18</f>
        <v>755.23851855980558</v>
      </c>
      <c r="H13" s="943">
        <f>industrie!G18</f>
        <v>0</v>
      </c>
      <c r="I13" s="943">
        <f>industrie!H18</f>
        <v>0</v>
      </c>
      <c r="J13" s="943">
        <f>industrie!I18</f>
        <v>0</v>
      </c>
      <c r="K13" s="943">
        <f>industrie!J18</f>
        <v>4.2953020064052403</v>
      </c>
      <c r="L13" s="943">
        <f>industrie!K18</f>
        <v>0</v>
      </c>
      <c r="M13" s="943">
        <f>industrie!L18</f>
        <v>0</v>
      </c>
      <c r="N13" s="943">
        <f>industrie!M18</f>
        <v>0</v>
      </c>
      <c r="O13" s="943">
        <f>industrie!N18</f>
        <v>134.03802311185856</v>
      </c>
      <c r="P13" s="943">
        <f>industrie!O18</f>
        <v>0</v>
      </c>
      <c r="Q13" s="944">
        <f>industrie!P18</f>
        <v>0</v>
      </c>
      <c r="R13" s="629">
        <f>SUM(C13:Q13)</f>
        <v>2516.4467936688529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25750.632372158016</v>
      </c>
      <c r="D16" s="661">
        <f t="shared" ref="D16:R16" ca="1" si="0">SUM(D9:D15)</f>
        <v>0</v>
      </c>
      <c r="E16" s="661">
        <f t="shared" ca="1" si="0"/>
        <v>19565.549894</v>
      </c>
      <c r="F16" s="661">
        <f t="shared" si="0"/>
        <v>1702.8694996138479</v>
      </c>
      <c r="G16" s="661">
        <f t="shared" ca="1" si="0"/>
        <v>47671.133224450692</v>
      </c>
      <c r="H16" s="661">
        <f t="shared" si="0"/>
        <v>0</v>
      </c>
      <c r="I16" s="661">
        <f t="shared" si="0"/>
        <v>0</v>
      </c>
      <c r="J16" s="661">
        <f t="shared" si="0"/>
        <v>0</v>
      </c>
      <c r="K16" s="661">
        <f t="shared" si="0"/>
        <v>1067.662314931418</v>
      </c>
      <c r="L16" s="661">
        <f t="shared" si="0"/>
        <v>0</v>
      </c>
      <c r="M16" s="661">
        <f t="shared" ca="1" si="0"/>
        <v>0</v>
      </c>
      <c r="N16" s="661">
        <f t="shared" si="0"/>
        <v>0</v>
      </c>
      <c r="O16" s="661">
        <f t="shared" ca="1" si="0"/>
        <v>5535.2089978418417</v>
      </c>
      <c r="P16" s="661">
        <f t="shared" si="0"/>
        <v>126.63</v>
      </c>
      <c r="Q16" s="661">
        <f t="shared" si="0"/>
        <v>667.33333333333337</v>
      </c>
      <c r="R16" s="661">
        <f t="shared" ca="1" si="0"/>
        <v>102087.01963632916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1.4753243130406015</v>
      </c>
      <c r="D19" s="943">
        <f>transport!C54</f>
        <v>0</v>
      </c>
      <c r="E19" s="943">
        <f>transport!D54</f>
        <v>0</v>
      </c>
      <c r="F19" s="943">
        <f>transport!E54</f>
        <v>0</v>
      </c>
      <c r="G19" s="943">
        <f>transport!F54</f>
        <v>0</v>
      </c>
      <c r="H19" s="943">
        <f>transport!G54</f>
        <v>279.55449608640885</v>
      </c>
      <c r="I19" s="943">
        <f>transport!H54</f>
        <v>0</v>
      </c>
      <c r="J19" s="943">
        <f>transport!I54</f>
        <v>0</v>
      </c>
      <c r="K19" s="943">
        <f>transport!J54</f>
        <v>0</v>
      </c>
      <c r="L19" s="943">
        <f>transport!K54</f>
        <v>0</v>
      </c>
      <c r="M19" s="943">
        <f>transport!L54</f>
        <v>0</v>
      </c>
      <c r="N19" s="943">
        <f>transport!M54</f>
        <v>16.093403304528447</v>
      </c>
      <c r="O19" s="943">
        <f>transport!N54</f>
        <v>0</v>
      </c>
      <c r="P19" s="943">
        <f>transport!O54</f>
        <v>0</v>
      </c>
      <c r="Q19" s="944">
        <f>transport!P54</f>
        <v>0</v>
      </c>
      <c r="R19" s="629">
        <f>SUM(C19:Q19)</f>
        <v>297.12322370397789</v>
      </c>
      <c r="S19" s="67"/>
    </row>
    <row r="20" spans="1:19" s="438" customFormat="1">
      <c r="A20" s="737" t="s">
        <v>296</v>
      </c>
      <c r="B20" s="742"/>
      <c r="C20" s="943">
        <f>transport!B14</f>
        <v>9.4215447923808178</v>
      </c>
      <c r="D20" s="943">
        <f>transport!C14</f>
        <v>0</v>
      </c>
      <c r="E20" s="943">
        <f>transport!D14</f>
        <v>16.537097054718924</v>
      </c>
      <c r="F20" s="943">
        <f>transport!E14</f>
        <v>157.63382857387455</v>
      </c>
      <c r="G20" s="943">
        <f>transport!F14</f>
        <v>0</v>
      </c>
      <c r="H20" s="943">
        <f>transport!G14</f>
        <v>47310.775061171211</v>
      </c>
      <c r="I20" s="943">
        <f>transport!H14</f>
        <v>10033.839299764801</v>
      </c>
      <c r="J20" s="943">
        <f>transport!I14</f>
        <v>0</v>
      </c>
      <c r="K20" s="943">
        <f>transport!J14</f>
        <v>0</v>
      </c>
      <c r="L20" s="943">
        <f>transport!K14</f>
        <v>0</v>
      </c>
      <c r="M20" s="943">
        <f>transport!L14</f>
        <v>0</v>
      </c>
      <c r="N20" s="943">
        <f>transport!M14</f>
        <v>3049.0048435844824</v>
      </c>
      <c r="O20" s="943">
        <f>transport!N14</f>
        <v>0</v>
      </c>
      <c r="P20" s="943">
        <f>transport!O14</f>
        <v>0</v>
      </c>
      <c r="Q20" s="944">
        <f>transport!P14</f>
        <v>0</v>
      </c>
      <c r="R20" s="629">
        <f>SUM(C20:Q20)</f>
        <v>60577.211674941471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10.89686910542142</v>
      </c>
      <c r="D22" s="740">
        <f t="shared" ref="D22:R22" si="1">SUM(D18:D21)</f>
        <v>0</v>
      </c>
      <c r="E22" s="740">
        <f t="shared" si="1"/>
        <v>16.537097054718924</v>
      </c>
      <c r="F22" s="740">
        <f t="shared" si="1"/>
        <v>157.63382857387455</v>
      </c>
      <c r="G22" s="740">
        <f t="shared" si="1"/>
        <v>0</v>
      </c>
      <c r="H22" s="740">
        <f t="shared" si="1"/>
        <v>47590.329557257617</v>
      </c>
      <c r="I22" s="740">
        <f t="shared" si="1"/>
        <v>10033.839299764801</v>
      </c>
      <c r="J22" s="740">
        <f t="shared" si="1"/>
        <v>0</v>
      </c>
      <c r="K22" s="740">
        <f t="shared" si="1"/>
        <v>0</v>
      </c>
      <c r="L22" s="740">
        <f t="shared" si="1"/>
        <v>0</v>
      </c>
      <c r="M22" s="740">
        <f t="shared" si="1"/>
        <v>0</v>
      </c>
      <c r="N22" s="740">
        <f t="shared" si="1"/>
        <v>3065.0982468890106</v>
      </c>
      <c r="O22" s="740">
        <f t="shared" si="1"/>
        <v>0</v>
      </c>
      <c r="P22" s="740">
        <f t="shared" si="1"/>
        <v>0</v>
      </c>
      <c r="Q22" s="740">
        <f t="shared" si="1"/>
        <v>0</v>
      </c>
      <c r="R22" s="740">
        <f t="shared" si="1"/>
        <v>60874.334898645451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157.31299999999999</v>
      </c>
      <c r="D24" s="943">
        <f>+landbouw!C8</f>
        <v>0</v>
      </c>
      <c r="E24" s="943">
        <f>+landbouw!D8</f>
        <v>68.657534000000012</v>
      </c>
      <c r="F24" s="943">
        <f>+landbouw!E8</f>
        <v>3.373347512972336</v>
      </c>
      <c r="G24" s="943">
        <f>+landbouw!F8</f>
        <v>510.27296357795342</v>
      </c>
      <c r="H24" s="943">
        <f>+landbouw!G8</f>
        <v>0</v>
      </c>
      <c r="I24" s="943">
        <f>+landbouw!H8</f>
        <v>0</v>
      </c>
      <c r="J24" s="943">
        <f>+landbouw!I8</f>
        <v>0</v>
      </c>
      <c r="K24" s="943">
        <f>+landbouw!J8</f>
        <v>15.157190686837591</v>
      </c>
      <c r="L24" s="943">
        <f>+landbouw!K8</f>
        <v>0</v>
      </c>
      <c r="M24" s="943">
        <f>+landbouw!L8</f>
        <v>0</v>
      </c>
      <c r="N24" s="943">
        <f>+landbouw!M8</f>
        <v>0</v>
      </c>
      <c r="O24" s="943">
        <f>+landbouw!N8</f>
        <v>0</v>
      </c>
      <c r="P24" s="943">
        <f>+landbouw!O8</f>
        <v>0</v>
      </c>
      <c r="Q24" s="944">
        <f>+landbouw!P8</f>
        <v>0</v>
      </c>
      <c r="R24" s="629">
        <f>SUM(C24:Q24)</f>
        <v>754.77403577776329</v>
      </c>
      <c r="S24" s="67"/>
    </row>
    <row r="25" spans="1:19" s="438" customFormat="1" ht="15" thickBot="1">
      <c r="A25" s="759" t="s">
        <v>802</v>
      </c>
      <c r="B25" s="946"/>
      <c r="C25" s="947">
        <f>IF(Onbekend_ele_kWh="---",0,Onbekend_ele_kWh)/1000+IF(REST_rest_ele_kWh="---",0,REST_rest_ele_kWh)/1000</f>
        <v>415.44799999999998</v>
      </c>
      <c r="D25" s="947"/>
      <c r="E25" s="947">
        <f>IF(onbekend_gas_kWh="---",0,onbekend_gas_kWh)/1000+IF(REST_rest_gas_kWh="---",0,REST_rest_gas_kWh)/1000</f>
        <v>381.53899999999999</v>
      </c>
      <c r="F25" s="947"/>
      <c r="G25" s="947"/>
      <c r="H25" s="947"/>
      <c r="I25" s="947"/>
      <c r="J25" s="947"/>
      <c r="K25" s="947"/>
      <c r="L25" s="947"/>
      <c r="M25" s="947"/>
      <c r="N25" s="947"/>
      <c r="O25" s="947"/>
      <c r="P25" s="947"/>
      <c r="Q25" s="948"/>
      <c r="R25" s="629">
        <f>SUM(C25:Q25)</f>
        <v>796.98699999999997</v>
      </c>
      <c r="S25" s="67"/>
    </row>
    <row r="26" spans="1:19" s="438" customFormat="1" ht="15.75" thickBot="1">
      <c r="A26" s="634" t="s">
        <v>803</v>
      </c>
      <c r="B26" s="745"/>
      <c r="C26" s="740">
        <f>SUM(C24:C25)</f>
        <v>572.76099999999997</v>
      </c>
      <c r="D26" s="740">
        <f t="shared" ref="D26:R26" si="2">SUM(D24:D25)</f>
        <v>0</v>
      </c>
      <c r="E26" s="740">
        <f t="shared" si="2"/>
        <v>450.19653399999999</v>
      </c>
      <c r="F26" s="740">
        <f t="shared" si="2"/>
        <v>3.373347512972336</v>
      </c>
      <c r="G26" s="740">
        <f t="shared" si="2"/>
        <v>510.27296357795342</v>
      </c>
      <c r="H26" s="740">
        <f t="shared" si="2"/>
        <v>0</v>
      </c>
      <c r="I26" s="740">
        <f t="shared" si="2"/>
        <v>0</v>
      </c>
      <c r="J26" s="740">
        <f t="shared" si="2"/>
        <v>0</v>
      </c>
      <c r="K26" s="740">
        <f t="shared" si="2"/>
        <v>15.157190686837591</v>
      </c>
      <c r="L26" s="740">
        <f t="shared" si="2"/>
        <v>0</v>
      </c>
      <c r="M26" s="740">
        <f t="shared" si="2"/>
        <v>0</v>
      </c>
      <c r="N26" s="740">
        <f t="shared" si="2"/>
        <v>0</v>
      </c>
      <c r="O26" s="740">
        <f t="shared" si="2"/>
        <v>0</v>
      </c>
      <c r="P26" s="740">
        <f t="shared" si="2"/>
        <v>0</v>
      </c>
      <c r="Q26" s="740">
        <f t="shared" si="2"/>
        <v>0</v>
      </c>
      <c r="R26" s="740">
        <f t="shared" si="2"/>
        <v>1551.7610357777633</v>
      </c>
      <c r="S26" s="67"/>
    </row>
    <row r="27" spans="1:19" s="438" customFormat="1" ht="17.25" thickTop="1" thickBot="1">
      <c r="A27" s="635" t="s">
        <v>109</v>
      </c>
      <c r="B27" s="733"/>
      <c r="C27" s="636">
        <f ca="1">C22+C16+C26</f>
        <v>26334.290241263436</v>
      </c>
      <c r="D27" s="636">
        <f t="shared" ref="D27:R27" ca="1" si="3">D22+D16+D26</f>
        <v>0</v>
      </c>
      <c r="E27" s="636">
        <f t="shared" ca="1" si="3"/>
        <v>20032.283525054718</v>
      </c>
      <c r="F27" s="636">
        <f t="shared" si="3"/>
        <v>1863.8766757006947</v>
      </c>
      <c r="G27" s="636">
        <f t="shared" ca="1" si="3"/>
        <v>48181.406188028646</v>
      </c>
      <c r="H27" s="636">
        <f t="shared" si="3"/>
        <v>47590.329557257617</v>
      </c>
      <c r="I27" s="636">
        <f t="shared" si="3"/>
        <v>10033.839299764801</v>
      </c>
      <c r="J27" s="636">
        <f t="shared" si="3"/>
        <v>0</v>
      </c>
      <c r="K27" s="636">
        <f t="shared" si="3"/>
        <v>1082.8195056182556</v>
      </c>
      <c r="L27" s="636">
        <f t="shared" si="3"/>
        <v>0</v>
      </c>
      <c r="M27" s="636">
        <f t="shared" ca="1" si="3"/>
        <v>0</v>
      </c>
      <c r="N27" s="636">
        <f t="shared" si="3"/>
        <v>3065.0982468890106</v>
      </c>
      <c r="O27" s="636">
        <f t="shared" ca="1" si="3"/>
        <v>5535.2089978418417</v>
      </c>
      <c r="P27" s="636">
        <f t="shared" si="3"/>
        <v>126.63</v>
      </c>
      <c r="Q27" s="636">
        <f t="shared" si="3"/>
        <v>667.33333333333337</v>
      </c>
      <c r="R27" s="636">
        <f t="shared" ca="1" si="3"/>
        <v>164513.11557075239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1406.0462268400299</v>
      </c>
      <c r="D40" s="943">
        <f ca="1">tertiair!C20</f>
        <v>0</v>
      </c>
      <c r="E40" s="943">
        <f ca="1">tertiair!D20</f>
        <v>607.0691092400001</v>
      </c>
      <c r="F40" s="943">
        <f>tertiair!E20</f>
        <v>28.972372650011302</v>
      </c>
      <c r="G40" s="943">
        <f ca="1">tertiair!F20</f>
        <v>351.6102511257692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2393.6979598558105</v>
      </c>
    </row>
    <row r="41" spans="1:18">
      <c r="A41" s="750" t="s">
        <v>214</v>
      </c>
      <c r="B41" s="757"/>
      <c r="C41" s="943">
        <f ca="1">huishoudens!B12</f>
        <v>3414.1859209240979</v>
      </c>
      <c r="D41" s="943">
        <f ca="1">huishoudens!C12</f>
        <v>0</v>
      </c>
      <c r="E41" s="943">
        <f>huishoudens!D12</f>
        <v>3227.4463208679999</v>
      </c>
      <c r="F41" s="943">
        <f>huishoudens!E12</f>
        <v>328.1140155944243</v>
      </c>
      <c r="G41" s="943">
        <f>huishoudens!F12</f>
        <v>12174.933635347099</v>
      </c>
      <c r="H41" s="943">
        <f>huishoudens!G12</f>
        <v>0</v>
      </c>
      <c r="I41" s="943">
        <f>huishoudens!H12</f>
        <v>0</v>
      </c>
      <c r="J41" s="943">
        <f>huishoudens!I12</f>
        <v>0</v>
      </c>
      <c r="K41" s="943">
        <f>huishoudens!J12</f>
        <v>376.43192257545445</v>
      </c>
      <c r="L41" s="943">
        <f>huishoudens!K12</f>
        <v>0</v>
      </c>
      <c r="M41" s="943">
        <f>huishoudens!L12</f>
        <v>0</v>
      </c>
      <c r="N41" s="943">
        <f>huishoudens!M12</f>
        <v>0</v>
      </c>
      <c r="O41" s="943">
        <f>huishoudens!N12</f>
        <v>0</v>
      </c>
      <c r="P41" s="943">
        <f>huishoudens!O12</f>
        <v>0</v>
      </c>
      <c r="Q41" s="703">
        <f>huishoudens!P12</f>
        <v>0</v>
      </c>
      <c r="R41" s="778">
        <f t="shared" ca="1" si="4"/>
        <v>19521.111815309076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176.63702493610543</v>
      </c>
      <c r="D43" s="943">
        <f ca="1">industrie!C22</f>
        <v>0</v>
      </c>
      <c r="E43" s="943">
        <f>industrie!D22</f>
        <v>117.72564848000002</v>
      </c>
      <c r="F43" s="943">
        <f>industrie!E22</f>
        <v>29.464988167907929</v>
      </c>
      <c r="G43" s="943">
        <f>industrie!F22</f>
        <v>201.6486844554681</v>
      </c>
      <c r="H43" s="943">
        <f>industrie!G22</f>
        <v>0</v>
      </c>
      <c r="I43" s="943">
        <f>industrie!H22</f>
        <v>0</v>
      </c>
      <c r="J43" s="943">
        <f>industrie!I22</f>
        <v>0</v>
      </c>
      <c r="K43" s="943">
        <f>industrie!J22</f>
        <v>1.5205369102674551</v>
      </c>
      <c r="L43" s="943">
        <f>industrie!K22</f>
        <v>0</v>
      </c>
      <c r="M43" s="943">
        <f>industrie!L22</f>
        <v>0</v>
      </c>
      <c r="N43" s="943">
        <f>industrie!M22</f>
        <v>0</v>
      </c>
      <c r="O43" s="943">
        <f>industrie!N22</f>
        <v>0</v>
      </c>
      <c r="P43" s="943">
        <f>industrie!O22</f>
        <v>0</v>
      </c>
      <c r="Q43" s="703">
        <f>industrie!P22</f>
        <v>0</v>
      </c>
      <c r="R43" s="777">
        <f t="shared" ca="1" si="4"/>
        <v>526.99688294974885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4996.8691727002333</v>
      </c>
      <c r="D46" s="661">
        <f t="shared" ref="D46:Q46" ca="1" si="5">SUM(D39:D45)</f>
        <v>0</v>
      </c>
      <c r="E46" s="661">
        <f t="shared" ca="1" si="5"/>
        <v>3952.2410785880002</v>
      </c>
      <c r="F46" s="661">
        <f t="shared" si="5"/>
        <v>386.55137641234353</v>
      </c>
      <c r="G46" s="661">
        <f t="shared" ca="1" si="5"/>
        <v>12728.192570928335</v>
      </c>
      <c r="H46" s="661">
        <f t="shared" si="5"/>
        <v>0</v>
      </c>
      <c r="I46" s="661">
        <f t="shared" si="5"/>
        <v>0</v>
      </c>
      <c r="J46" s="661">
        <f t="shared" si="5"/>
        <v>0</v>
      </c>
      <c r="K46" s="661">
        <f t="shared" si="5"/>
        <v>377.95245948572193</v>
      </c>
      <c r="L46" s="661">
        <f t="shared" si="5"/>
        <v>0</v>
      </c>
      <c r="M46" s="661">
        <f t="shared" ca="1" si="5"/>
        <v>0</v>
      </c>
      <c r="N46" s="661">
        <f t="shared" si="5"/>
        <v>0</v>
      </c>
      <c r="O46" s="661">
        <f t="shared" ca="1" si="5"/>
        <v>0</v>
      </c>
      <c r="P46" s="661">
        <f t="shared" si="5"/>
        <v>0</v>
      </c>
      <c r="Q46" s="661">
        <f t="shared" si="5"/>
        <v>0</v>
      </c>
      <c r="R46" s="661">
        <f ca="1">SUM(R39:R45)</f>
        <v>22441.806658114634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0.28628433170202278</v>
      </c>
      <c r="D49" s="943">
        <f ca="1">transport!C58</f>
        <v>0</v>
      </c>
      <c r="E49" s="943">
        <f>transport!D58</f>
        <v>0</v>
      </c>
      <c r="F49" s="943">
        <f>transport!E58</f>
        <v>0</v>
      </c>
      <c r="G49" s="943">
        <f>transport!F58</f>
        <v>0</v>
      </c>
      <c r="H49" s="943">
        <f>transport!G58</f>
        <v>74.641050455071166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74.927334786773187</v>
      </c>
    </row>
    <row r="50" spans="1:18">
      <c r="A50" s="753" t="s">
        <v>296</v>
      </c>
      <c r="B50" s="763"/>
      <c r="C50" s="632">
        <f ca="1">transport!B18</f>
        <v>1.8282357517232795</v>
      </c>
      <c r="D50" s="632">
        <f>transport!C18</f>
        <v>0</v>
      </c>
      <c r="E50" s="632">
        <f>transport!D18</f>
        <v>3.340493605053223</v>
      </c>
      <c r="F50" s="632">
        <f>transport!E18</f>
        <v>35.782879086269524</v>
      </c>
      <c r="G50" s="632">
        <f>transport!F18</f>
        <v>0</v>
      </c>
      <c r="H50" s="632">
        <f>transport!G18</f>
        <v>12631.976941332714</v>
      </c>
      <c r="I50" s="632">
        <f>transport!H18</f>
        <v>2498.4259856414355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15171.354535417195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2.1145200834253024</v>
      </c>
      <c r="D52" s="661">
        <f t="shared" ref="D52:Q52" ca="1" si="6">SUM(D48:D51)</f>
        <v>0</v>
      </c>
      <c r="E52" s="661">
        <f t="shared" si="6"/>
        <v>3.340493605053223</v>
      </c>
      <c r="F52" s="661">
        <f t="shared" si="6"/>
        <v>35.782879086269524</v>
      </c>
      <c r="G52" s="661">
        <f t="shared" si="6"/>
        <v>0</v>
      </c>
      <c r="H52" s="661">
        <f t="shared" si="6"/>
        <v>12706.617991787785</v>
      </c>
      <c r="I52" s="661">
        <f t="shared" si="6"/>
        <v>2498.4259856414355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15246.281870203968</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30.526336938230127</v>
      </c>
      <c r="D54" s="632">
        <f ca="1">+landbouw!C12</f>
        <v>0</v>
      </c>
      <c r="E54" s="632">
        <f>+landbouw!D12</f>
        <v>13.868821868000003</v>
      </c>
      <c r="F54" s="632">
        <f>+landbouw!E12</f>
        <v>0.76574988544472034</v>
      </c>
      <c r="G54" s="632">
        <f>+landbouw!F12</f>
        <v>136.24288127531358</v>
      </c>
      <c r="H54" s="632">
        <f>+landbouw!G12</f>
        <v>0</v>
      </c>
      <c r="I54" s="632">
        <f>+landbouw!H12</f>
        <v>0</v>
      </c>
      <c r="J54" s="632">
        <f>+landbouw!I12</f>
        <v>0</v>
      </c>
      <c r="K54" s="632">
        <f>+landbouw!J12</f>
        <v>5.3656455031405068</v>
      </c>
      <c r="L54" s="632">
        <f>+landbouw!K12</f>
        <v>0</v>
      </c>
      <c r="M54" s="632">
        <f>+landbouw!L12</f>
        <v>0</v>
      </c>
      <c r="N54" s="632">
        <f>+landbouw!M12</f>
        <v>0</v>
      </c>
      <c r="O54" s="632">
        <f>+landbouw!N12</f>
        <v>0</v>
      </c>
      <c r="P54" s="632">
        <f>+landbouw!O12</f>
        <v>0</v>
      </c>
      <c r="Q54" s="633">
        <f>+landbouw!P12</f>
        <v>0</v>
      </c>
      <c r="R54" s="660">
        <f ca="1">SUM(C54:Q54)</f>
        <v>186.76943547012894</v>
      </c>
    </row>
    <row r="55" spans="1:18" ht="15" thickBot="1">
      <c r="A55" s="753" t="s">
        <v>802</v>
      </c>
      <c r="B55" s="763"/>
      <c r="C55" s="632">
        <f ca="1">C25*'EF ele_warmte'!B12</f>
        <v>80.617022295130283</v>
      </c>
      <c r="D55" s="632"/>
      <c r="E55" s="632">
        <f>E25*EF_CO2_aardgas</f>
        <v>77.070878000000008</v>
      </c>
      <c r="F55" s="632"/>
      <c r="G55" s="632"/>
      <c r="H55" s="632"/>
      <c r="I55" s="632"/>
      <c r="J55" s="632"/>
      <c r="K55" s="632"/>
      <c r="L55" s="632"/>
      <c r="M55" s="632"/>
      <c r="N55" s="632"/>
      <c r="O55" s="632"/>
      <c r="P55" s="632"/>
      <c r="Q55" s="633"/>
      <c r="R55" s="660">
        <f ca="1">SUM(C55:Q55)</f>
        <v>157.68790029513031</v>
      </c>
    </row>
    <row r="56" spans="1:18" ht="15.75" thickBot="1">
      <c r="A56" s="751" t="s">
        <v>803</v>
      </c>
      <c r="B56" s="764"/>
      <c r="C56" s="661">
        <f ca="1">SUM(C54:C55)</f>
        <v>111.14335923336041</v>
      </c>
      <c r="D56" s="661">
        <f t="shared" ref="D56:Q56" ca="1" si="7">SUM(D54:D55)</f>
        <v>0</v>
      </c>
      <c r="E56" s="661">
        <f t="shared" si="7"/>
        <v>90.939699868000005</v>
      </c>
      <c r="F56" s="661">
        <f t="shared" si="7"/>
        <v>0.76574988544472034</v>
      </c>
      <c r="G56" s="661">
        <f t="shared" si="7"/>
        <v>136.24288127531358</v>
      </c>
      <c r="H56" s="661">
        <f t="shared" si="7"/>
        <v>0</v>
      </c>
      <c r="I56" s="661">
        <f t="shared" si="7"/>
        <v>0</v>
      </c>
      <c r="J56" s="661">
        <f t="shared" si="7"/>
        <v>0</v>
      </c>
      <c r="K56" s="661">
        <f t="shared" si="7"/>
        <v>5.3656455031405068</v>
      </c>
      <c r="L56" s="661">
        <f t="shared" si="7"/>
        <v>0</v>
      </c>
      <c r="M56" s="661">
        <f t="shared" si="7"/>
        <v>0</v>
      </c>
      <c r="N56" s="661">
        <f t="shared" si="7"/>
        <v>0</v>
      </c>
      <c r="O56" s="661">
        <f t="shared" si="7"/>
        <v>0</v>
      </c>
      <c r="P56" s="661">
        <f t="shared" si="7"/>
        <v>0</v>
      </c>
      <c r="Q56" s="662">
        <f t="shared" si="7"/>
        <v>0</v>
      </c>
      <c r="R56" s="663">
        <f ca="1">SUM(R54:R55)</f>
        <v>344.45733576525924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5110.1270520170192</v>
      </c>
      <c r="D61" s="669">
        <f t="shared" ref="D61:Q61" ca="1" si="8">D46+D52+D56</f>
        <v>0</v>
      </c>
      <c r="E61" s="669">
        <f t="shared" ca="1" si="8"/>
        <v>4046.5212720610534</v>
      </c>
      <c r="F61" s="669">
        <f t="shared" si="8"/>
        <v>423.10000538405779</v>
      </c>
      <c r="G61" s="669">
        <f t="shared" ca="1" si="8"/>
        <v>12864.435452203648</v>
      </c>
      <c r="H61" s="669">
        <f t="shared" si="8"/>
        <v>12706.617991787785</v>
      </c>
      <c r="I61" s="669">
        <f t="shared" si="8"/>
        <v>2498.4259856414355</v>
      </c>
      <c r="J61" s="669">
        <f t="shared" si="8"/>
        <v>0</v>
      </c>
      <c r="K61" s="669">
        <f t="shared" si="8"/>
        <v>383.31810498886244</v>
      </c>
      <c r="L61" s="669">
        <f t="shared" si="8"/>
        <v>0</v>
      </c>
      <c r="M61" s="669">
        <f t="shared" ca="1" si="8"/>
        <v>0</v>
      </c>
      <c r="N61" s="669">
        <f t="shared" si="8"/>
        <v>0</v>
      </c>
      <c r="O61" s="669">
        <f t="shared" ca="1" si="8"/>
        <v>0</v>
      </c>
      <c r="P61" s="669">
        <f t="shared" si="8"/>
        <v>0</v>
      </c>
      <c r="Q61" s="669">
        <f t="shared" si="8"/>
        <v>0</v>
      </c>
      <c r="R61" s="669">
        <f ca="1">R46+R52+R56</f>
        <v>38032.545864083862</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0.194048406287021</v>
      </c>
      <c r="D63" s="710">
        <f t="shared" ca="1" si="9"/>
        <v>0</v>
      </c>
      <c r="E63" s="954">
        <f t="shared" ca="1" si="9"/>
        <v>0.20200000000000001</v>
      </c>
      <c r="F63" s="710">
        <f t="shared" si="9"/>
        <v>0.22700000000000006</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3211.5433995574699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3211.5433995574699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17594.506372158015</v>
      </c>
      <c r="C4" s="442">
        <f>huishoudens!C8</f>
        <v>0</v>
      </c>
      <c r="D4" s="442">
        <f>huishoudens!D8</f>
        <v>15977.457033999999</v>
      </c>
      <c r="E4" s="442">
        <f>huishoudens!E8</f>
        <v>1445.4361920459219</v>
      </c>
      <c r="F4" s="442">
        <f>huishoudens!F8</f>
        <v>45599.002379577149</v>
      </c>
      <c r="G4" s="442">
        <f>huishoudens!G8</f>
        <v>0</v>
      </c>
      <c r="H4" s="442">
        <f>huishoudens!H8</f>
        <v>0</v>
      </c>
      <c r="I4" s="442">
        <f>huishoudens!I8</f>
        <v>0</v>
      </c>
      <c r="J4" s="442">
        <f>huishoudens!J8</f>
        <v>1063.3670129250127</v>
      </c>
      <c r="K4" s="442">
        <f>huishoudens!K8</f>
        <v>0</v>
      </c>
      <c r="L4" s="442">
        <f>huishoudens!L8</f>
        <v>0</v>
      </c>
      <c r="M4" s="442">
        <f>huishoudens!M8</f>
        <v>0</v>
      </c>
      <c r="N4" s="442">
        <f>huishoudens!N8</f>
        <v>5093.7430342946009</v>
      </c>
      <c r="O4" s="442">
        <f>huishoudens!O8</f>
        <v>126.63</v>
      </c>
      <c r="P4" s="443">
        <f>huishoudens!P8</f>
        <v>667.33333333333337</v>
      </c>
      <c r="Q4" s="444">
        <f>SUM(B4:P4)</f>
        <v>87567.475358334035</v>
      </c>
    </row>
    <row r="5" spans="1:17">
      <c r="A5" s="441" t="s">
        <v>149</v>
      </c>
      <c r="B5" s="442">
        <f ca="1">tertiair!B16</f>
        <v>6701.3990000000003</v>
      </c>
      <c r="C5" s="442">
        <f ca="1">tertiair!C16</f>
        <v>0</v>
      </c>
      <c r="D5" s="442">
        <f ca="1">tertiair!D16</f>
        <v>3005.2926200000002</v>
      </c>
      <c r="E5" s="442">
        <f>tertiair!E16</f>
        <v>127.63159757714229</v>
      </c>
      <c r="F5" s="442">
        <f ca="1">tertiair!F16</f>
        <v>1316.8923263137422</v>
      </c>
      <c r="G5" s="442">
        <f>tertiair!G16</f>
        <v>0</v>
      </c>
      <c r="H5" s="442">
        <f>tertiair!H16</f>
        <v>0</v>
      </c>
      <c r="I5" s="442">
        <f>tertiair!I16</f>
        <v>0</v>
      </c>
      <c r="J5" s="442">
        <f>tertiair!J16</f>
        <v>0</v>
      </c>
      <c r="K5" s="442">
        <f>tertiair!K16</f>
        <v>0</v>
      </c>
      <c r="L5" s="442">
        <f ca="1">tertiair!L16</f>
        <v>0</v>
      </c>
      <c r="M5" s="442">
        <f>tertiair!M16</f>
        <v>0</v>
      </c>
      <c r="N5" s="442">
        <f ca="1">tertiair!N16</f>
        <v>307.42794043538174</v>
      </c>
      <c r="O5" s="442">
        <f>tertiair!O16</f>
        <v>0</v>
      </c>
      <c r="P5" s="443">
        <f>tertiair!P16</f>
        <v>0</v>
      </c>
      <c r="Q5" s="441">
        <f t="shared" ref="Q5:Q14" ca="1" si="0">SUM(B5:P5)</f>
        <v>11458.643484326269</v>
      </c>
    </row>
    <row r="6" spans="1:17">
      <c r="A6" s="441" t="s">
        <v>187</v>
      </c>
      <c r="B6" s="442">
        <f>'openbare verlichting'!B8</f>
        <v>544.45399999999995</v>
      </c>
      <c r="C6" s="442"/>
      <c r="D6" s="442"/>
      <c r="E6" s="442"/>
      <c r="F6" s="442"/>
      <c r="G6" s="442"/>
      <c r="H6" s="442"/>
      <c r="I6" s="442"/>
      <c r="J6" s="442"/>
      <c r="K6" s="442"/>
      <c r="L6" s="442"/>
      <c r="M6" s="442"/>
      <c r="N6" s="442"/>
      <c r="O6" s="442"/>
      <c r="P6" s="443"/>
      <c r="Q6" s="441">
        <f t="shared" si="0"/>
        <v>544.45399999999995</v>
      </c>
    </row>
    <row r="7" spans="1:17">
      <c r="A7" s="441" t="s">
        <v>105</v>
      </c>
      <c r="B7" s="442">
        <f>landbouw!B8</f>
        <v>157.31299999999999</v>
      </c>
      <c r="C7" s="442">
        <f>landbouw!C8</f>
        <v>0</v>
      </c>
      <c r="D7" s="442">
        <f>landbouw!D8</f>
        <v>68.657534000000012</v>
      </c>
      <c r="E7" s="442">
        <f>landbouw!E8</f>
        <v>3.373347512972336</v>
      </c>
      <c r="F7" s="442">
        <f>landbouw!F8</f>
        <v>510.27296357795342</v>
      </c>
      <c r="G7" s="442">
        <f>landbouw!G8</f>
        <v>0</v>
      </c>
      <c r="H7" s="442">
        <f>landbouw!H8</f>
        <v>0</v>
      </c>
      <c r="I7" s="442">
        <f>landbouw!I8</f>
        <v>0</v>
      </c>
      <c r="J7" s="442">
        <f>landbouw!J8</f>
        <v>15.157190686837591</v>
      </c>
      <c r="K7" s="442">
        <f>landbouw!K8</f>
        <v>0</v>
      </c>
      <c r="L7" s="442">
        <f>landbouw!L8</f>
        <v>0</v>
      </c>
      <c r="M7" s="442">
        <f>landbouw!M8</f>
        <v>0</v>
      </c>
      <c r="N7" s="442">
        <f>landbouw!N8</f>
        <v>0</v>
      </c>
      <c r="O7" s="442">
        <f>landbouw!O8</f>
        <v>0</v>
      </c>
      <c r="P7" s="443">
        <f>landbouw!P8</f>
        <v>0</v>
      </c>
      <c r="Q7" s="441">
        <f t="shared" si="0"/>
        <v>754.77403577776329</v>
      </c>
    </row>
    <row r="8" spans="1:17">
      <c r="A8" s="441" t="s">
        <v>612</v>
      </c>
      <c r="B8" s="442">
        <f>industrie!B18</f>
        <v>910.27300000000002</v>
      </c>
      <c r="C8" s="442">
        <f>industrie!C18</f>
        <v>0</v>
      </c>
      <c r="D8" s="442">
        <f>industrie!D18</f>
        <v>582.80024000000003</v>
      </c>
      <c r="E8" s="442">
        <f>industrie!E18</f>
        <v>129.80170999078382</v>
      </c>
      <c r="F8" s="442">
        <f>industrie!F18</f>
        <v>755.23851855980558</v>
      </c>
      <c r="G8" s="442">
        <f>industrie!G18</f>
        <v>0</v>
      </c>
      <c r="H8" s="442">
        <f>industrie!H18</f>
        <v>0</v>
      </c>
      <c r="I8" s="442">
        <f>industrie!I18</f>
        <v>0</v>
      </c>
      <c r="J8" s="442">
        <f>industrie!J18</f>
        <v>4.2953020064052403</v>
      </c>
      <c r="K8" s="442">
        <f>industrie!K18</f>
        <v>0</v>
      </c>
      <c r="L8" s="442">
        <f>industrie!L18</f>
        <v>0</v>
      </c>
      <c r="M8" s="442">
        <f>industrie!M18</f>
        <v>0</v>
      </c>
      <c r="N8" s="442">
        <f>industrie!N18</f>
        <v>134.03802311185856</v>
      </c>
      <c r="O8" s="442">
        <f>industrie!O18</f>
        <v>0</v>
      </c>
      <c r="P8" s="443">
        <f>industrie!P18</f>
        <v>0</v>
      </c>
      <c r="Q8" s="441">
        <f t="shared" si="0"/>
        <v>2516.4467936688529</v>
      </c>
    </row>
    <row r="9" spans="1:17" s="447" customFormat="1">
      <c r="A9" s="445" t="s">
        <v>556</v>
      </c>
      <c r="B9" s="446">
        <f>transport!B14</f>
        <v>9.4215447923808178</v>
      </c>
      <c r="C9" s="446">
        <f>transport!C14</f>
        <v>0</v>
      </c>
      <c r="D9" s="446">
        <f>transport!D14</f>
        <v>16.537097054718924</v>
      </c>
      <c r="E9" s="446">
        <f>transport!E14</f>
        <v>157.63382857387455</v>
      </c>
      <c r="F9" s="446">
        <f>transport!F14</f>
        <v>0</v>
      </c>
      <c r="G9" s="446">
        <f>transport!G14</f>
        <v>47310.775061171211</v>
      </c>
      <c r="H9" s="446">
        <f>transport!H14</f>
        <v>10033.839299764801</v>
      </c>
      <c r="I9" s="446">
        <f>transport!I14</f>
        <v>0</v>
      </c>
      <c r="J9" s="446">
        <f>transport!J14</f>
        <v>0</v>
      </c>
      <c r="K9" s="446">
        <f>transport!K14</f>
        <v>0</v>
      </c>
      <c r="L9" s="446">
        <f>transport!L14</f>
        <v>0</v>
      </c>
      <c r="M9" s="446">
        <f>transport!M14</f>
        <v>3049.0048435844824</v>
      </c>
      <c r="N9" s="446">
        <f>transport!N14</f>
        <v>0</v>
      </c>
      <c r="O9" s="446">
        <f>transport!O14</f>
        <v>0</v>
      </c>
      <c r="P9" s="446">
        <f>transport!P14</f>
        <v>0</v>
      </c>
      <c r="Q9" s="445">
        <f>SUM(B9:P9)</f>
        <v>60577.211674941471</v>
      </c>
    </row>
    <row r="10" spans="1:17">
      <c r="A10" s="441" t="s">
        <v>546</v>
      </c>
      <c r="B10" s="442">
        <f>transport!B54</f>
        <v>1.4753243130406015</v>
      </c>
      <c r="C10" s="442">
        <f>transport!C54</f>
        <v>0</v>
      </c>
      <c r="D10" s="442">
        <f>transport!D54</f>
        <v>0</v>
      </c>
      <c r="E10" s="442">
        <f>transport!E54</f>
        <v>0</v>
      </c>
      <c r="F10" s="442">
        <f>transport!F54</f>
        <v>0</v>
      </c>
      <c r="G10" s="442">
        <f>transport!G54</f>
        <v>279.55449608640885</v>
      </c>
      <c r="H10" s="442">
        <f>transport!H54</f>
        <v>0</v>
      </c>
      <c r="I10" s="442">
        <f>transport!I54</f>
        <v>0</v>
      </c>
      <c r="J10" s="442">
        <f>transport!J54</f>
        <v>0</v>
      </c>
      <c r="K10" s="442">
        <f>transport!K54</f>
        <v>0</v>
      </c>
      <c r="L10" s="442">
        <f>transport!L54</f>
        <v>0</v>
      </c>
      <c r="M10" s="442">
        <f>transport!M54</f>
        <v>16.093403304528447</v>
      </c>
      <c r="N10" s="442">
        <f>transport!N54</f>
        <v>0</v>
      </c>
      <c r="O10" s="442">
        <f>transport!O54</f>
        <v>0</v>
      </c>
      <c r="P10" s="443">
        <f>transport!P54</f>
        <v>0</v>
      </c>
      <c r="Q10" s="441">
        <f t="shared" si="0"/>
        <v>297.12322370397789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415.44799999999998</v>
      </c>
      <c r="C14" s="449"/>
      <c r="D14" s="449">
        <f>'SEAP template'!E25</f>
        <v>381.53899999999999</v>
      </c>
      <c r="E14" s="449"/>
      <c r="F14" s="449"/>
      <c r="G14" s="449"/>
      <c r="H14" s="449"/>
      <c r="I14" s="449"/>
      <c r="J14" s="449"/>
      <c r="K14" s="449"/>
      <c r="L14" s="449"/>
      <c r="M14" s="449"/>
      <c r="N14" s="449"/>
      <c r="O14" s="449"/>
      <c r="P14" s="450"/>
      <c r="Q14" s="441">
        <f t="shared" si="0"/>
        <v>796.98699999999997</v>
      </c>
    </row>
    <row r="15" spans="1:17" s="451" customFormat="1">
      <c r="A15" s="969" t="s">
        <v>550</v>
      </c>
      <c r="B15" s="909">
        <f ca="1">SUM(B4:B14)</f>
        <v>26334.290241263439</v>
      </c>
      <c r="C15" s="909">
        <f t="shared" ref="C15:Q15" ca="1" si="1">SUM(C4:C14)</f>
        <v>0</v>
      </c>
      <c r="D15" s="909">
        <f t="shared" ca="1" si="1"/>
        <v>20032.283525054721</v>
      </c>
      <c r="E15" s="909">
        <f t="shared" si="1"/>
        <v>1863.8766757006947</v>
      </c>
      <c r="F15" s="909">
        <f t="shared" ca="1" si="1"/>
        <v>48181.406188028646</v>
      </c>
      <c r="G15" s="909">
        <f t="shared" si="1"/>
        <v>47590.329557257617</v>
      </c>
      <c r="H15" s="909">
        <f t="shared" si="1"/>
        <v>10033.839299764801</v>
      </c>
      <c r="I15" s="909">
        <f t="shared" si="1"/>
        <v>0</v>
      </c>
      <c r="J15" s="909">
        <f t="shared" si="1"/>
        <v>1082.8195056182556</v>
      </c>
      <c r="K15" s="909">
        <f t="shared" si="1"/>
        <v>0</v>
      </c>
      <c r="L15" s="909">
        <f t="shared" ca="1" si="1"/>
        <v>0</v>
      </c>
      <c r="M15" s="909">
        <f t="shared" si="1"/>
        <v>3065.0982468890106</v>
      </c>
      <c r="N15" s="909">
        <f t="shared" ca="1" si="1"/>
        <v>5535.2089978418417</v>
      </c>
      <c r="O15" s="909">
        <f t="shared" si="1"/>
        <v>126.63</v>
      </c>
      <c r="P15" s="909">
        <f t="shared" si="1"/>
        <v>667.33333333333337</v>
      </c>
      <c r="Q15" s="909">
        <f t="shared" ca="1" si="1"/>
        <v>164513.11557075236</v>
      </c>
    </row>
    <row r="17" spans="1:17">
      <c r="A17" s="452" t="s">
        <v>551</v>
      </c>
      <c r="B17" s="715">
        <f ca="1">huishoudens!B10</f>
        <v>0.19404840628702097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3414.1859209240979</v>
      </c>
      <c r="C22" s="442">
        <f t="shared" ref="C22:C32" ca="1" si="3">C4*$C$17</f>
        <v>0</v>
      </c>
      <c r="D22" s="442">
        <f t="shared" ref="D22:D32" si="4">D4*$D$17</f>
        <v>3227.4463208679999</v>
      </c>
      <c r="E22" s="442">
        <f t="shared" ref="E22:E32" si="5">E4*$E$17</f>
        <v>328.1140155944243</v>
      </c>
      <c r="F22" s="442">
        <f t="shared" ref="F22:F32" si="6">F4*$F$17</f>
        <v>12174.933635347099</v>
      </c>
      <c r="G22" s="442">
        <f t="shared" ref="G22:G32" si="7">G4*$G$17</f>
        <v>0</v>
      </c>
      <c r="H22" s="442">
        <f t="shared" ref="H22:H32" si="8">H4*$H$17</f>
        <v>0</v>
      </c>
      <c r="I22" s="442">
        <f t="shared" ref="I22:I32" si="9">I4*$I$17</f>
        <v>0</v>
      </c>
      <c r="J22" s="442">
        <f t="shared" ref="J22:J32" si="10">J4*$J$17</f>
        <v>376.43192257545445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19521.111815309076</v>
      </c>
    </row>
    <row r="23" spans="1:17">
      <c r="A23" s="441" t="s">
        <v>149</v>
      </c>
      <c r="B23" s="442">
        <f t="shared" ca="1" si="2"/>
        <v>1300.3957958434362</v>
      </c>
      <c r="C23" s="442">
        <f t="shared" ca="1" si="3"/>
        <v>0</v>
      </c>
      <c r="D23" s="442">
        <f t="shared" ca="1" si="4"/>
        <v>607.0691092400001</v>
      </c>
      <c r="E23" s="442">
        <f t="shared" si="5"/>
        <v>28.972372650011302</v>
      </c>
      <c r="F23" s="442">
        <f t="shared" ca="1" si="6"/>
        <v>351.6102511257692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2288.047528859217</v>
      </c>
    </row>
    <row r="24" spans="1:17">
      <c r="A24" s="441" t="s">
        <v>187</v>
      </c>
      <c r="B24" s="442">
        <f t="shared" ca="1" si="2"/>
        <v>105.6504309965937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105.6504309965937</v>
      </c>
    </row>
    <row r="25" spans="1:17">
      <c r="A25" s="441" t="s">
        <v>105</v>
      </c>
      <c r="B25" s="442">
        <f t="shared" ca="1" si="2"/>
        <v>30.526336938230127</v>
      </c>
      <c r="C25" s="442">
        <f t="shared" ca="1" si="3"/>
        <v>0</v>
      </c>
      <c r="D25" s="442">
        <f t="shared" si="4"/>
        <v>13.868821868000003</v>
      </c>
      <c r="E25" s="442">
        <f t="shared" si="5"/>
        <v>0.76574988544472034</v>
      </c>
      <c r="F25" s="442">
        <f t="shared" si="6"/>
        <v>136.24288127531358</v>
      </c>
      <c r="G25" s="442">
        <f t="shared" si="7"/>
        <v>0</v>
      </c>
      <c r="H25" s="442">
        <f t="shared" si="8"/>
        <v>0</v>
      </c>
      <c r="I25" s="442">
        <f t="shared" si="9"/>
        <v>0</v>
      </c>
      <c r="J25" s="442">
        <f t="shared" si="10"/>
        <v>5.3656455031405068</v>
      </c>
      <c r="K25" s="442">
        <f t="shared" si="11"/>
        <v>0</v>
      </c>
      <c r="L25" s="442">
        <f t="shared" si="12"/>
        <v>0</v>
      </c>
      <c r="M25" s="442">
        <f t="shared" si="13"/>
        <v>0</v>
      </c>
      <c r="N25" s="442">
        <f t="shared" si="14"/>
        <v>0</v>
      </c>
      <c r="O25" s="442">
        <f t="shared" si="15"/>
        <v>0</v>
      </c>
      <c r="P25" s="443">
        <f t="shared" si="16"/>
        <v>0</v>
      </c>
      <c r="Q25" s="441">
        <f t="shared" ca="1" si="17"/>
        <v>186.76943547012894</v>
      </c>
    </row>
    <row r="26" spans="1:17">
      <c r="A26" s="441" t="s">
        <v>612</v>
      </c>
      <c r="B26" s="442">
        <f t="shared" ca="1" si="2"/>
        <v>176.63702493610543</v>
      </c>
      <c r="C26" s="442">
        <f t="shared" ca="1" si="3"/>
        <v>0</v>
      </c>
      <c r="D26" s="442">
        <f t="shared" si="4"/>
        <v>117.72564848000002</v>
      </c>
      <c r="E26" s="442">
        <f t="shared" si="5"/>
        <v>29.464988167907929</v>
      </c>
      <c r="F26" s="442">
        <f t="shared" si="6"/>
        <v>201.6486844554681</v>
      </c>
      <c r="G26" s="442">
        <f t="shared" si="7"/>
        <v>0</v>
      </c>
      <c r="H26" s="442">
        <f t="shared" si="8"/>
        <v>0</v>
      </c>
      <c r="I26" s="442">
        <f t="shared" si="9"/>
        <v>0</v>
      </c>
      <c r="J26" s="442">
        <f t="shared" si="10"/>
        <v>1.5205369102674551</v>
      </c>
      <c r="K26" s="442">
        <f t="shared" si="11"/>
        <v>0</v>
      </c>
      <c r="L26" s="442">
        <f t="shared" si="12"/>
        <v>0</v>
      </c>
      <c r="M26" s="442">
        <f t="shared" si="13"/>
        <v>0</v>
      </c>
      <c r="N26" s="442">
        <f t="shared" si="14"/>
        <v>0</v>
      </c>
      <c r="O26" s="442">
        <f t="shared" si="15"/>
        <v>0</v>
      </c>
      <c r="P26" s="443">
        <f t="shared" si="16"/>
        <v>0</v>
      </c>
      <c r="Q26" s="441">
        <f t="shared" ca="1" si="17"/>
        <v>526.99688294974885</v>
      </c>
    </row>
    <row r="27" spans="1:17" s="447" customFormat="1">
      <c r="A27" s="445" t="s">
        <v>556</v>
      </c>
      <c r="B27" s="709">
        <f t="shared" ca="1" si="2"/>
        <v>1.8282357517232795</v>
      </c>
      <c r="C27" s="446">
        <f t="shared" ca="1" si="3"/>
        <v>0</v>
      </c>
      <c r="D27" s="446">
        <f t="shared" si="4"/>
        <v>3.340493605053223</v>
      </c>
      <c r="E27" s="446">
        <f t="shared" si="5"/>
        <v>35.782879086269524</v>
      </c>
      <c r="F27" s="446">
        <f t="shared" si="6"/>
        <v>0</v>
      </c>
      <c r="G27" s="446">
        <f t="shared" si="7"/>
        <v>12631.976941332714</v>
      </c>
      <c r="H27" s="446">
        <f t="shared" si="8"/>
        <v>2498.4259856414355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15171.354535417195</v>
      </c>
    </row>
    <row r="28" spans="1:17">
      <c r="A28" s="441" t="s">
        <v>546</v>
      </c>
      <c r="B28" s="442">
        <f t="shared" ca="1" si="2"/>
        <v>0.28628433170202278</v>
      </c>
      <c r="C28" s="442">
        <f t="shared" ca="1" si="3"/>
        <v>0</v>
      </c>
      <c r="D28" s="442">
        <f t="shared" si="4"/>
        <v>0</v>
      </c>
      <c r="E28" s="442">
        <f t="shared" si="5"/>
        <v>0</v>
      </c>
      <c r="F28" s="442">
        <f t="shared" si="6"/>
        <v>0</v>
      </c>
      <c r="G28" s="442">
        <f t="shared" si="7"/>
        <v>74.641050455071166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74.927334786773187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80.617022295130283</v>
      </c>
      <c r="C32" s="442">
        <f t="shared" ca="1" si="3"/>
        <v>0</v>
      </c>
      <c r="D32" s="442">
        <f t="shared" si="4"/>
        <v>77.070878000000008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157.68790029513031</v>
      </c>
    </row>
    <row r="33" spans="1:17" s="451" customFormat="1">
      <c r="A33" s="969" t="s">
        <v>550</v>
      </c>
      <c r="B33" s="909">
        <f ca="1">SUM(B22:B32)</f>
        <v>5110.1270520170192</v>
      </c>
      <c r="C33" s="909">
        <f t="shared" ref="C33:Q33" ca="1" si="18">SUM(C22:C32)</f>
        <v>0</v>
      </c>
      <c r="D33" s="909">
        <f t="shared" ca="1" si="18"/>
        <v>4046.5212720610534</v>
      </c>
      <c r="E33" s="909">
        <f t="shared" si="18"/>
        <v>423.10000538405779</v>
      </c>
      <c r="F33" s="909">
        <f t="shared" ca="1" si="18"/>
        <v>12864.435452203648</v>
      </c>
      <c r="G33" s="909">
        <f t="shared" si="18"/>
        <v>12706.617991787785</v>
      </c>
      <c r="H33" s="909">
        <f t="shared" si="18"/>
        <v>2498.4259856414355</v>
      </c>
      <c r="I33" s="909">
        <f t="shared" si="18"/>
        <v>0</v>
      </c>
      <c r="J33" s="909">
        <f t="shared" si="18"/>
        <v>383.31810498886244</v>
      </c>
      <c r="K33" s="909">
        <f t="shared" si="18"/>
        <v>0</v>
      </c>
      <c r="L33" s="909">
        <f t="shared" ca="1" si="18"/>
        <v>0</v>
      </c>
      <c r="M33" s="909">
        <f t="shared" si="18"/>
        <v>0</v>
      </c>
      <c r="N33" s="909">
        <f t="shared" ca="1" si="18"/>
        <v>0</v>
      </c>
      <c r="O33" s="909">
        <f t="shared" si="18"/>
        <v>0</v>
      </c>
      <c r="P33" s="909">
        <f t="shared" si="18"/>
        <v>0</v>
      </c>
      <c r="Q33" s="909">
        <f t="shared" ca="1" si="18"/>
        <v>38032.545864083862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3211.5433995574699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3211.5433995574699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0.19404840628702097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0.19404840628702097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2022-07-26T11:31:43Z</dcterms:modified>
</cp:coreProperties>
</file>