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E9BC51C8-6FA0-4877-8373-80F7276238C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<sst xmlns="http://schemas.openxmlformats.org/spreadsheetml/2006/main" count="2441" uniqueCount="907">
  <si>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</si>
  <si>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</si>
  <si>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</si>
  <si>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</si>
  <si>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</si>
  <si>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</si>
  <si>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</si>
  <si>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</si>
  <si>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</si>
  <si>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</si>
  <si>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</si>
  <si>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</si>
  <si>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</si>
  <si>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</si>
  <si>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</si>
  <si>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</si>
  <si>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</si>
  <si>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</si>
  <si>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</si>
  <si>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</si>
  <si>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</si>
  <si>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</si>
  <si>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</si>
  <si>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</si>
  <si>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</si>
  <si>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</si>
  <si>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</si>
  <si>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</si>
  <si>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</si>
  <si>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</si>
  <si>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</si>
  <si>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</si>
  <si>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</si>
  <si>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</si>
  <si>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</si>
  <si>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</si>
  <si>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</si>
  <si>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</si>
  <si>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</si>
  <si>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</si>
  <si>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</si>
  <si>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</si>
  <si>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</si>
  <si>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</si>
  <si>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</si>
  <si>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</si>
  <si>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</si>
  <si>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</si>
  <si>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</si>
  <si>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</si>
  <si>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</si>
  <si>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</si>
  <si>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</si>
  <si>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</si>
  <si>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</si>
  <si>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</si>
  <si>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</si>
  <si>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</si>
  <si>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</si>
  <si>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</si>
  <si>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</si>
  <si>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</si>
  <si>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</si>
  <si>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</si>
  <si>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</si>
  <si>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</si>
  <si>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</si>
  <si>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</si>
  <si>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</si>
  <si>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</si>
  <si>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</si>
  <si>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</si>
  <si>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</si>
  <si>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</si>
  <si>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</si>
  <si>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</si>
  <si>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</si>
  <si>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</si>
  <si>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</si>
  <si>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</si>
  <si>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</si>
  <si>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</si>
  <si>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</si>
  <si>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</si>
  <si>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</si>
  <si>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</si>
  <si>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</si>
  <si>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</si>
  <si>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</si>
  <si>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</si>
  <si>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</si>
  <si>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</si>
  <si>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</si>
  <si>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</si>
  <si>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</si>
  <si>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</si>
  <si>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</si>
  <si>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</si>
  <si>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</si>
  <si>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</si>
  <si>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</si>
  <si>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</si>
  <si>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</si>
  <si>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</si>
  <si>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</si>
  <si>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</si>
  <si>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</si>
  <si>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</si>
  <si>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</si>
  <si>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</si>
  <si>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</si>
  <si>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</si>
  <si>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</si>
  <si>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</si>
  <si>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</si>
  <si>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</si>
  <si>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</si>
  <si>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</si>
  <si>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</si>
  <si>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</si>
  <si>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</si>
  <si>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</si>
  <si>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</si>
  <si>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</si>
  <si>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</si>
  <si>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</si>
  <si>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</si>
  <si>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</si>
  <si>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</si>
  <si>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</si>
  <si>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</si>
  <si>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</si>
  <si>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</si>
  <si>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</si>
  <si>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</si>
  <si>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</si>
  <si>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</si>
  <si>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</si>
  <si>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</si>
  <si>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</si>
  <si>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</si>
  <si>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</si>
  <si>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</si>
  <si>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</si>
  <si>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</si>
  <si>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</si>
  <si>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</si>
  <si>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</si>
  <si>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</si>
  <si>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</si>
  <si>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</si>
  <si>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</si>
  <si>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</si>
  <si>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</si>
  <si>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</si>
  <si>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</si>
  <si>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</si>
  <si>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</si>
  <si>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</si>
  <si>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</si>
  <si>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</si>
  <si>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</si>
  <si>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</si>
  <si>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</si>
  <si>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</si>
  <si>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</si>
  <si>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</si>
  <si>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</si>
  <si>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</si>
  <si>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</si>
  <si>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</si>
  <si>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</si>
  <si>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</si>
  <si>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</si>
  <si>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</si>
  <si>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</si>
  <si>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</si>
  <si>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</si>
  <si>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</si>
  <si>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</si>
  <si>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</si>
  <si>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</si>
  <si>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</si>
  <si>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</si>
  <si>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</si>
  <si>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</si>
  <si>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</si>
  <si>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</si>
  <si>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</si>
  <si>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</si>
  <si>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</si>
  <si>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</si>
  <si>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</si>
  <si>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</si>
  <si>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</si>
  <si>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</si>
  <si>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</si>
  <si>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</si>
  <si>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</si>
  <si>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</si>
  <si>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</si>
  <si>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</si>
  <si>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</si>
  <si>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</si>
  <si>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</si>
  <si>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</si>
  <si>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</si>
  <si>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</si>
  <si>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</si>
  <si>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</si>
  <si>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</si>
  <si>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</si>
  <si>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</si>
  <si>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</si>
  <si>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</si>
  <si>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</si>
  <si>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</si>
  <si>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</si>
  <si>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</si>
  <si>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</si>
  <si>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</si>
  <si>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</si>
  <si>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</si>
  <si>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</si>
  <si>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</si>
  <si>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</si>
  <si>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</si>
  <si>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</si>
  <si>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</si>
  <si>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</si>
  <si>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</si>
  <si>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</si>
  <si>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</si>
  <si>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</si>
  <si>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</si>
  <si>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</si>
  <si>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</si>
  <si>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</si>
  <si>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</si>
  <si>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</si>
  <si>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</si>
  <si>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</si>
  <si>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</si>
  <si>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</si>
  <si>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</si>
  <si>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</si>
  <si>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</si>
  <si>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</si>
  <si>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</si>
  <si>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</si>
  <si>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</si>
  <si>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</si>
  <si>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</si>
  <si>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</si>
  <si>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</si>
  <si>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</si>
  <si>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</si>
  <si>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</si>
  <si>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</si>
  <si>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</si>
  <si>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</si>
  <si>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</si>
  <si>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</si>
  <si>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</si>
  <si>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</si>
  <si>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</si>
  <si>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</si>
  <si>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</si>
  <si>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</si>
  <si>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</si>
  <si>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</si>
  <si>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</si>
  <si>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</si>
  <si>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</si>
  <si>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</si>
  <si>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</si>
  <si>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</si>
  <si>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</si>
  <si>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</si>
  <si>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</si>
  <si>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</si>
  <si>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</si>
  <si>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</si>
  <si>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</si>
  <si>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</si>
  <si>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</si>
  <si>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</si>
  <si>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</si>
  <si>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</si>
  <si>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</si>
  <si>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</si>
  <si>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</si>
  <si>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</si>
  <si>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</si>
  <si>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</si>
  <si>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</si>
  <si>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</si>
  <si>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</si>
  <si>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</si>
  <si>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</si>
  <si>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</si>
  <si>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</si>
  <si>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</si>
  <si>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</si>
  <si>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</si>
  <si>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</si>
  <si>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</si>
  <si>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</si>
  <si>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</si>
  <si>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</si>
  <si>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</si>
  <si>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</si>
  <si>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</si>
  <si>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</si>
  <si>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</si>
  <si>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</si>
  <si>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</si>
  <si>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</si>
  <si>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</si>
  <si>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</si>
  <si>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</si>
  <si>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</si>
  <si>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</si>
  <si>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</si>
  <si>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</si>
  <si>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</si>
  <si>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</si>
  <si>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</si>
  <si>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</si>
  <si>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</si>
  <si>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</si>
  <si>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</si>
  <si>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</si>
  <si>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</si>
  <si>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</si>
  <si>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</si>
  <si>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</si>
  <si>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</si>
  <si>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</si>
  <si>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</si>
  <si>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</si>
  <si>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</si>
  <si>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</si>
  <si>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</si>
  <si>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</si>
  <si>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</si>
  <si>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</si>
  <si>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</si>
  <si>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</si>
  <si>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</si>
  <si>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</si>
  <si>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</si>
  <si>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</si>
  <si>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</si>
  <si>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</si>
  <si>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</si>
  <si>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</si>
  <si>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</si>
  <si>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</si>
  <si>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</si>
  <si>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</si>
  <si>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</si>
  <si>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</si>
  <si>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</si>
  <si>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</si>
  <si>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</si>
  <si>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</si>
  <si>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</si>
  <si>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</si>
  <si>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</si>
  <si>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</si>
  <si>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</si>
  <si>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</si>
  <si>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</si>
  <si>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</si>
  <si>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</si>
  <si>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</si>
  <si>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</si>
  <si>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</si>
  <si>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</si>
  <si>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</si>
  <si>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</si>
  <si>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</si>
  <si>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</si>
  <si>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</si>
  <si>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</si>
  <si>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</si>
  <si>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</si>
  <si>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</si>
  <si>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</si>
  <si>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</si>
  <si>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</si>
  <si>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</si>
  <si>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</si>
  <si>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</si>
  <si>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</si>
  <si>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</si>
  <si>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</si>
  <si>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</si>
  <si>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</si>
  <si>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</si>
  <si>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</si>
  <si>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</si>
  <si>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</si>
  <si>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</si>
  <si>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</si>
  <si>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</si>
  <si>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</si>
  <si>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</si>
  <si>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</si>
  <si>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</si>
  <si>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</si>
  <si>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</si>
  <si>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</si>
  <si>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</si>
  <si>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</si>
  <si>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</si>
  <si>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</si>
  <si>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</si>
  <si>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</si>
  <si>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</si>
  <si>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</si>
  <si>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</si>
  <si>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</si>
  <si>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</si>
  <si>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</si>
  <si>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</si>
  <si>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</si>
  <si>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</si>
  <si>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</si>
  <si>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</si>
  <si>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</si>
  <si>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</si>
  <si>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</si>
  <si>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</si>
  <si>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</si>
  <si>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</si>
  <si>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</si>
  <si>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</si>
  <si>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</si>
  <si>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</si>
  <si>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</si>
  <si>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</si>
  <si>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</si>
  <si>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</si>
  <si>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</si>
  <si>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</si>
  <si>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</si>
  <si>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</si>
  <si>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</si>
  <si>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</si>
  <si>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</si>
  <si>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</si>
  <si>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</si>
  <si>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</si>
  <si>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</si>
  <si>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</si>
  <si>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</si>
  <si>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</si>
  <si>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</si>
  <si>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</si>
  <si>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</si>
  <si>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</si>
  <si>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</si>
  <si>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</si>
  <si>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</si>
  <si>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</si>
  <si>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</si>
  <si>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</si>
  <si>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</si>
  <si>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</si>
  <si>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</si>
  <si>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</si>
  <si>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</si>
  <si>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</si>
  <si>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</si>
  <si>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</si>
  <si>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</si>
  <si>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</si>
  <si>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</si>
  <si>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</si>
  <si>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</si>
  <si>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</si>
  <si>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</si>
  <si>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</si>
  <si>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</si>
  <si>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</si>
  <si>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</si>
  <si>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</si>
  <si>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</si>
  <si>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</si>
  <si>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</si>
  <si>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</si>
  <si>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</si>
  <si>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</si>
  <si>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</si>
  <si>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</si>
  <si>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</si>
  <si>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</si>
  <si>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</si>
  <si>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</si>
  <si>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</si>
  <si>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</si>
  <si>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</si>
  <si>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</si>
  <si>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</si>
  <si>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</si>
  <si>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</si>
  <si>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</si>
  <si>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</si>
  <si>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</si>
  <si>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</si>
  <si>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</si>
  <si>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</si>
  <si>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</si>
  <si>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</si>
  <si>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</si>
  <si>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</si>
  <si>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</si>
  <si>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</si>
  <si>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</si>
  <si>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</si>
  <si>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</si>
  <si>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</si>
  <si>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</si>
  <si>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</si>
  <si>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</si>
  <si>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</si>
  <si>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</si>
  <si>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</si>
  <si>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</si>
  <si>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</si>
  <si>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</si>
  <si>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</si>
  <si>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</si>
  <si>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</si>
  <si>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</si>
  <si>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</si>
  <si>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</si>
  <si>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</si>
  <si>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</si>
  <si>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</si>
  <si>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</si>
  <si>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</si>
  <si>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</si>
  <si>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</si>
  <si>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</si>
  <si>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</si>
  <si>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</si>
  <si>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</si>
  <si>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</si>
  <si>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</si>
  <si>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</si>
  <si>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</si>
  <si>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</si>
  <si>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</si>
  <si>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</si>
  <si>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</si>
  <si>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</si>
  <si>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</si>
  <si>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</si>
  <si>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</si>
  <si>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</si>
  <si>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</si>
  <si>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</si>
  <si>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</si>
  <si>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</si>
  <si>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</si>
  <si>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</si>
  <si>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</si>
  <si>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</si>
  <si>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</si>
  <si>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</si>
  <si>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</si>
  <si>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</si>
  <si>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</si>
  <si>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</si>
  <si>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</si>
  <si>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</si>
  <si>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</si>
  <si>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</si>
  <si>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</si>
  <si>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</si>
  <si>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</si>
  <si>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</si>
  <si>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</si>
  <si>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</si>
  <si>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</si>
  <si>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</si>
  <si>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</si>
  <si>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</si>
  <si>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</si>
  <si>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</si>
  <si>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</si>
  <si>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</si>
  <si>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</si>
  <si>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</si>
  <si>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</si>
  <si>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</si>
  <si>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</si>
  <si>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</si>
  <si>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</si>
  <si>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</si>
  <si>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</si>
  <si>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</si>
  <si>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</si>
  <si>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</si>
  <si>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</si>
  <si>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</si>
  <si>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</si>
  <si>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</si>
  <si>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</si>
  <si>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</si>
  <si>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</si>
  <si>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</si>
  <si>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</si>
  <si>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</si>
  <si>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</si>
  <si>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</si>
  <si>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</si>
  <si>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</si>
  <si>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</si>
  <si>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</si>
  <si>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</si>
  <si>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</si>
  <si>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</si>
  <si>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</si>
  <si>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</si>
  <si>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</si>
  <si>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</si>
  <si>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</si>
  <si>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</si>
  <si>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</si>
  <si>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</si>
  <si>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</si>
  <si>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</si>
  <si>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</si>
  <si>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</si>
  <si>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</si>
  <si>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</si>
  <si>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</si>
  <si>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</si>
  <si>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</si>
  <si>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</si>
  <si>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</si>
  <si>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</si>
  <si>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</si>
  <si>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</si>
  <si>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</si>
  <si>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</si>
  <si>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</si>
  <si>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</si>
  <si>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</si>
  <si>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</si>
  <si>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</si>
  <si>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</si>
  <si>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</si>
  <si>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</si>
  <si>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</si>
  <si>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</si>
  <si>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</si>
  <si>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</si>
  <si>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</si>
  <si>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</si>
  <si>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</si>
  <si>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</si>
  <si>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</si>
  <si>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</si>
  <si>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</si>
  <si>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</si>
  <si>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</si>
  <si>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</si>
  <si>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</si>
  <si>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</si>
  <si>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</si>
  <si>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</si>
  <si>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</si>
  <si>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</si>
  <si>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</si>
  <si>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</si>
  <si>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</si>
  <si>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</si>
  <si>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</si>
  <si>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</si>
  <si>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</si>
  <si>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</si>
  <si>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</si>
  <si>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</si>
  <si>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</si>
  <si>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</si>
  <si>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</si>
  <si>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</si>
  <si>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</si>
  <si>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</si>
  <si>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</si>
  <si>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</si>
  <si>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</si>
  <si>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</si>
  <si>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</si>
  <si>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</si>
  <si>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</si>
  <si>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</si>
  <si>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</si>
  <si>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</si>
  <si>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</si>
  <si>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</si>
  <si>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</si>
  <si>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</si>
  <si>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</si>
  <si>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</si>
  <si>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</si>
  <si>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</si>
  <si>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</si>
  <si>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</si>
  <si>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</si>
  <si>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</si>
  <si>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</si>
  <si>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</si>
  <si>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</si>
  <si>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</si>
  <si>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</si>
  <si>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</si>
  <si>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</si>
  <si>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</si>
  <si>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</si>
  <si>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</si>
  <si>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</si>
  <si>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</si>
  <si>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</si>
  <si>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</si>
  <si>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</si>
  <si>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</si>
  <si>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</si>
  <si>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</si>
  <si>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</si>
  <si>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</si>
  <si>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</si>
  <si>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</si>
  <si>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</si>
  <si>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</si>
  <si>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</si>
  <si>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</si>
  <si>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</si>
  <si>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</si>
  <si>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</si>
  <si>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</si>
  <si>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</si>
  <si>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</si>
  <si>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</si>
  <si>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</si>
  <si>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</si>
  <si>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</si>
  <si>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</si>
  <si>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</si>
  <si>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</si>
  <si>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</si>
  <si>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</si>
  <si>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</si>
  <si>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</si>
  <si>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</si>
  <si>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</si>
  <si>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</si>
  <si>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</si>
  <si>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</si>
  <si>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</si>
  <si>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</si>
  <si>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</si>
  <si>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</si>
  <si>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</si>
  <si>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</si>
  <si>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</si>
  <si>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</si>
  <si>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</si>
  <si>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</si>
  <si>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</si>
  <si>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</si>
  <si>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</si>
  <si>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</si>
  <si>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</si>
  <si>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</si>
  <si>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</si>
  <si>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</si>
  <si>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</si>
  <si>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</si>
  <si>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</si>
  <si>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</si>
  <si>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</si>
  <si>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</si>
  <si>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</si>
  <si>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</si>
  <si>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</si>
  <si>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</si>
  <si>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</si>
  <si>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</si>
  <si>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</si>
  <si>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</si>
  <si>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</si>
  <si>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</si>
  <si>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</si>
  <si>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</si>
  <si>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</si>
  <si>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</si>
  <si>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</si>
  <si>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</si>
  <si>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</si>
  <si>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</si>
  <si>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</si>
  <si>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</si>
  <si>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</si>
  <si>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</si>
  <si>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</si>
  <si>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</si>
  <si>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</si>
  <si>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</si>
  <si>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</si>
  <si>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</si>
  <si>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</si>
  <si>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</si>
  <si>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</si>
  <si>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</si>
  <si>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</si>
  <si>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</si>
  <si>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</si>
  <si>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</si>
  <si>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</si>
  <si>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</si>
  <si>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</si>
  <si>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</si>
  <si>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</si>
  <si>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</si>
  <si>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</si>
  <si>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</si>
  <si>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</si>
  <si>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</si>
  <si>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</si>
  <si>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</si>
  <si>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</si>
  <si>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</si>
  <si>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</si>
  <si>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</si>
  <si>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</si>
  <si>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</si>
  <si>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</si>
  <si>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</si>
  <si>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</si>
  <si>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</si>
  <si>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</si>
  <si>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</si>
  <si>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</si>
  <si>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</si>
  <si>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</si>
  <si>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</si>
  <si>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</si>
  <si>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</si>
  <si>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</si>
  <si>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</si>
  <si>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</si>
  <si>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</si>
  <si>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</si>
  <si>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</si>
  <si>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</si>
  <si>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</si>
  <si>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</si>
  <si>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</si>
  <si>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</si>
  <si>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</si>
  <si>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</si>
  <si>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</si>
  <si>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</si>
  <si>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</si>
  <si>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</si>
  <si>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</si>
  <si>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</si>
  <si>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</si>
  <si>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</si>
  <si>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</si>
  <si>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</si>
  <si>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</si>
  <si>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</si>
  <si>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</si>
  <si>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</si>
  <si>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</si>
  <si>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</si>
  <si>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</si>
  <si>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</si>
  <si>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</si>
  <si>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</si>
  <si>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</si>
  <si>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</si>
  <si>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</si>
  <si>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</si>
  <si>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</si>
  <si>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</si>
  <si>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</si>
  <si>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</si>
  <si>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</si>
  <si>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</si>
  <si>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</si>
  <si>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</si>
  <si>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23088</t>
  </si>
  <si>
    <t>VILVOORDE</t>
  </si>
  <si>
    <t>Paarden&amp;pony's 200 - 600 kg</t>
  </si>
  <si>
    <t>Paarden&amp;pony's &lt; 200 kg</t>
  </si>
  <si>
    <t>vloeibaar gas (MWh)</t>
  </si>
  <si>
    <t>interne verbrandingsmotor</t>
  </si>
  <si>
    <t>WKK interne verbrandinsgmotor (gas)</t>
  </si>
  <si>
    <t>SIBELGAS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</si>
</sst>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BF9591F-19B2-4B8B-8DEB-877D72F16CE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286976.9347029748</c:v>
                </c:pt>
                <c:pt idx="1">
                  <c:v>205988.81589934204</c:v>
                </c:pt>
                <c:pt idx="2">
                  <c:v>2613.8270000000002</c:v>
                </c:pt>
                <c:pt idx="3">
                  <c:v>451.87494448753347</c:v>
                </c:pt>
                <c:pt idx="4">
                  <c:v>71414.199372106305</c:v>
                </c:pt>
                <c:pt idx="5">
                  <c:v>379258.28270291898</c:v>
                </c:pt>
                <c:pt idx="6">
                  <c:v>4765.4938782502486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286976.9347029748</c:v>
                </c:pt>
                <c:pt idx="1">
                  <c:v>205988.81589934204</c:v>
                </c:pt>
                <c:pt idx="2">
                  <c:v>2613.8270000000002</c:v>
                </c:pt>
                <c:pt idx="3">
                  <c:v>451.87494448753347</c:v>
                </c:pt>
                <c:pt idx="4">
                  <c:v>71414.199372106305</c:v>
                </c:pt>
                <c:pt idx="5">
                  <c:v>379258.28270291898</c:v>
                </c:pt>
                <c:pt idx="6">
                  <c:v>4765.4938782502486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58264.176934249328</c:v>
                </c:pt>
                <c:pt idx="2">
                  <c:v>43196.375905539549</c:v>
                </c:pt>
                <c:pt idx="3">
                  <c:v>562.01175049276969</c:v>
                </c:pt>
                <c:pt idx="4">
                  <c:v>102.33167290201453</c:v>
                </c:pt>
                <c:pt idx="5">
                  <c:v>15231.053018364517</c:v>
                </c:pt>
                <c:pt idx="6">
                  <c:v>95087.468069715644</c:v>
                </c:pt>
                <c:pt idx="7">
                  <c:v>1202.239121005646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58264.176934249328</c:v>
                </c:pt>
                <c:pt idx="2">
                  <c:v>43196.375905539549</c:v>
                </c:pt>
                <c:pt idx="3">
                  <c:v>562.01175049276969</c:v>
                </c:pt>
                <c:pt idx="4">
                  <c:v>102.33167290201453</c:v>
                </c:pt>
                <c:pt idx="5">
                  <c:v>15231.053018364517</c:v>
                </c:pt>
                <c:pt idx="6">
                  <c:v>95087.468069715644</c:v>
                </c:pt>
                <c:pt idx="7">
                  <c:v>1202.239121005646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23088</v>
      </c>
      <c r="B6" s="381"/>
      <c r="C6" s="382"/>
    </row>
    <row r="7" spans="1:7" s="379" customFormat="1" ht="15.75" customHeight="1">
      <c r="A7" s="383" t="str">
        <f>txtMunicipality</f>
        <v>VILVOORDE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0.21501489979741184</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0.21501489979741184</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16280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411</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16</v>
      </c>
      <c r="C17" s="322"/>
      <c r="D17" s="322"/>
      <c r="E17" s="322"/>
      <c r="F17" s="322"/>
    </row>
    <row r="18" spans="1:6">
      <c r="A18" s="1261" t="s">
        <v>8</v>
      </c>
      <c r="B18" s="1262">
        <v>9</v>
      </c>
      <c r="C18" s="322"/>
      <c r="D18" s="322"/>
      <c r="E18" s="322"/>
      <c r="F18" s="322"/>
    </row>
    <row r="19" spans="1:6">
      <c r="A19" s="1261" t="s">
        <v>9</v>
      </c>
      <c r="B19" s="1262">
        <v>9</v>
      </c>
      <c r="C19" s="322"/>
      <c r="D19" s="322"/>
      <c r="E19" s="322"/>
      <c r="F19" s="322"/>
    </row>
    <row r="20" spans="1:6">
      <c r="A20" s="1261" t="s">
        <v>10</v>
      </c>
      <c r="B20" s="1262">
        <v>12</v>
      </c>
      <c r="C20" s="322"/>
      <c r="D20" s="322"/>
      <c r="E20" s="322"/>
      <c r="F20" s="322"/>
    </row>
    <row r="21" spans="1:6">
      <c r="A21" s="1261" t="s">
        <v>11</v>
      </c>
      <c r="B21" s="1262">
        <v>0</v>
      </c>
      <c r="C21" s="322"/>
      <c r="D21" s="322"/>
      <c r="E21" s="322"/>
      <c r="F21" s="322"/>
    </row>
    <row r="22" spans="1:6">
      <c r="A22" s="1261" t="s">
        <v>12</v>
      </c>
      <c r="B22" s="1262">
        <v>4</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1</v>
      </c>
      <c r="C25" s="322"/>
      <c r="D25" s="322"/>
      <c r="E25" s="322"/>
      <c r="F25" s="322"/>
    </row>
    <row r="26" spans="1:6">
      <c r="A26" s="1261" t="s">
        <v>16</v>
      </c>
      <c r="B26" s="1262">
        <v>93</v>
      </c>
      <c r="C26" s="322"/>
      <c r="D26" s="322"/>
      <c r="E26" s="322"/>
      <c r="F26" s="322"/>
    </row>
    <row r="27" spans="1:6">
      <c r="A27" s="1261" t="s">
        <v>17</v>
      </c>
      <c r="B27" s="1262">
        <v>8</v>
      </c>
      <c r="C27" s="322"/>
      <c r="D27" s="322"/>
      <c r="E27" s="322"/>
      <c r="F27" s="322"/>
    </row>
    <row r="28" spans="1:6">
      <c r="A28" s="1261" t="s">
        <v>18</v>
      </c>
      <c r="B28" s="1263">
        <v>45</v>
      </c>
      <c r="C28" s="322"/>
      <c r="D28" s="322"/>
      <c r="E28" s="322"/>
      <c r="F28" s="322"/>
    </row>
    <row r="29" spans="1:6">
      <c r="A29" s="1261" t="s">
        <v>901</v>
      </c>
      <c r="B29" s="1263">
        <v>23</v>
      </c>
      <c r="C29" s="322"/>
      <c r="D29" s="322"/>
      <c r="E29" s="322"/>
      <c r="F29" s="322"/>
    </row>
    <row r="30" spans="1:6">
      <c r="A30" s="1256" t="s">
        <v>902</v>
      </c>
      <c r="B30" s="1264">
        <v>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12775</v>
      </c>
    </row>
    <row r="37" spans="1:6">
      <c r="A37" s="1261" t="s">
        <v>24</v>
      </c>
      <c r="B37" s="1261" t="s">
        <v>27</v>
      </c>
      <c r="C37" s="1262">
        <v>0</v>
      </c>
      <c r="D37" s="1262">
        <v>0</v>
      </c>
      <c r="E37" s="1262">
        <v>0</v>
      </c>
      <c r="F37" s="1262">
        <v>0</v>
      </c>
    </row>
    <row r="38" spans="1:6">
      <c r="A38" s="1261" t="s">
        <v>24</v>
      </c>
      <c r="B38" s="1261" t="s">
        <v>28</v>
      </c>
      <c r="C38" s="1262">
        <v>4</v>
      </c>
      <c r="D38" s="1262">
        <v>281959.54691333399</v>
      </c>
      <c r="E38" s="1262">
        <v>6</v>
      </c>
      <c r="F38" s="1262">
        <v>39102.300000000003</v>
      </c>
    </row>
    <row r="39" spans="1:6">
      <c r="A39" s="1261" t="s">
        <v>29</v>
      </c>
      <c r="B39" s="1261" t="s">
        <v>30</v>
      </c>
      <c r="C39" s="1262">
        <v>14124</v>
      </c>
      <c r="D39" s="1262">
        <v>183447896.87602201</v>
      </c>
      <c r="E39" s="1262">
        <v>16682</v>
      </c>
      <c r="F39" s="1262">
        <v>54108628</v>
      </c>
    </row>
    <row r="40" spans="1:6">
      <c r="A40" s="1261" t="s">
        <v>29</v>
      </c>
      <c r="B40" s="1261" t="s">
        <v>28</v>
      </c>
      <c r="C40" s="1262">
        <v>2</v>
      </c>
      <c r="D40" s="1262">
        <v>26594.523539974402</v>
      </c>
      <c r="E40" s="1262">
        <v>2</v>
      </c>
      <c r="F40" s="1262">
        <v>18539.21</v>
      </c>
    </row>
    <row r="41" spans="1:6">
      <c r="A41" s="1261" t="s">
        <v>31</v>
      </c>
      <c r="B41" s="1261" t="s">
        <v>32</v>
      </c>
      <c r="C41" s="1262">
        <v>85</v>
      </c>
      <c r="D41" s="1262">
        <v>3527293.4565074602</v>
      </c>
      <c r="E41" s="1262">
        <v>162</v>
      </c>
      <c r="F41" s="1262">
        <v>1464637</v>
      </c>
    </row>
    <row r="42" spans="1:6">
      <c r="A42" s="1261" t="s">
        <v>31</v>
      </c>
      <c r="B42" s="1261" t="s">
        <v>33</v>
      </c>
      <c r="C42" s="1262">
        <v>5</v>
      </c>
      <c r="D42" s="1262">
        <v>4734964.9605858801</v>
      </c>
      <c r="E42" s="1262">
        <v>4</v>
      </c>
      <c r="F42" s="1262">
        <v>4220188</v>
      </c>
    </row>
    <row r="43" spans="1:6">
      <c r="A43" s="1261" t="s">
        <v>31</v>
      </c>
      <c r="B43" s="1261" t="s">
        <v>34</v>
      </c>
      <c r="C43" s="1262">
        <v>0</v>
      </c>
      <c r="D43" s="1262">
        <v>0</v>
      </c>
      <c r="E43" s="1262">
        <v>0</v>
      </c>
      <c r="F43" s="1262">
        <v>0</v>
      </c>
    </row>
    <row r="44" spans="1:6">
      <c r="A44" s="1261" t="s">
        <v>31</v>
      </c>
      <c r="B44" s="1261" t="s">
        <v>35</v>
      </c>
      <c r="C44" s="1262">
        <v>5</v>
      </c>
      <c r="D44" s="1262">
        <v>406106.07481098699</v>
      </c>
      <c r="E44" s="1262">
        <v>24</v>
      </c>
      <c r="F44" s="1262">
        <v>698146.7</v>
      </c>
    </row>
    <row r="45" spans="1:6">
      <c r="A45" s="1261" t="s">
        <v>31</v>
      </c>
      <c r="B45" s="1261" t="s">
        <v>36</v>
      </c>
      <c r="C45" s="1262">
        <v>3</v>
      </c>
      <c r="D45" s="1262">
        <v>5105.4633245609002</v>
      </c>
      <c r="E45" s="1262">
        <v>3</v>
      </c>
      <c r="F45" s="1262">
        <v>11462.08</v>
      </c>
    </row>
    <row r="46" spans="1:6">
      <c r="A46" s="1261" t="s">
        <v>31</v>
      </c>
      <c r="B46" s="1261" t="s">
        <v>37</v>
      </c>
      <c r="C46" s="1262">
        <v>0</v>
      </c>
      <c r="D46" s="1262">
        <v>0</v>
      </c>
      <c r="E46" s="1262">
        <v>0</v>
      </c>
      <c r="F46" s="1262">
        <v>0</v>
      </c>
    </row>
    <row r="47" spans="1:6">
      <c r="A47" s="1261" t="s">
        <v>31</v>
      </c>
      <c r="B47" s="1261" t="s">
        <v>38</v>
      </c>
      <c r="C47" s="1262">
        <v>5</v>
      </c>
      <c r="D47" s="1262">
        <v>86810.092725535695</v>
      </c>
      <c r="E47" s="1262">
        <v>4</v>
      </c>
      <c r="F47" s="1262">
        <v>27214.51</v>
      </c>
    </row>
    <row r="48" spans="1:6">
      <c r="A48" s="1261" t="s">
        <v>31</v>
      </c>
      <c r="B48" s="1261" t="s">
        <v>28</v>
      </c>
      <c r="C48" s="1262">
        <v>33</v>
      </c>
      <c r="D48" s="1262">
        <v>4822174.8207808901</v>
      </c>
      <c r="E48" s="1262">
        <v>41</v>
      </c>
      <c r="F48" s="1262">
        <v>30250349</v>
      </c>
    </row>
    <row r="49" spans="1:6">
      <c r="A49" s="1261" t="s">
        <v>31</v>
      </c>
      <c r="B49" s="1261" t="s">
        <v>39</v>
      </c>
      <c r="C49" s="1262">
        <v>3</v>
      </c>
      <c r="D49" s="1262">
        <v>106591.152123562</v>
      </c>
      <c r="E49" s="1262">
        <v>3</v>
      </c>
      <c r="F49" s="1262">
        <v>37482.74</v>
      </c>
    </row>
    <row r="50" spans="1:6">
      <c r="A50" s="1261" t="s">
        <v>31</v>
      </c>
      <c r="B50" s="1261" t="s">
        <v>40</v>
      </c>
      <c r="C50" s="1262">
        <v>7</v>
      </c>
      <c r="D50" s="1262">
        <v>413766.01559224998</v>
      </c>
      <c r="E50" s="1262">
        <v>16</v>
      </c>
      <c r="F50" s="1262">
        <v>2812576</v>
      </c>
    </row>
    <row r="51" spans="1:6">
      <c r="A51" s="1261" t="s">
        <v>41</v>
      </c>
      <c r="B51" s="1261" t="s">
        <v>42</v>
      </c>
      <c r="C51" s="1262">
        <v>0</v>
      </c>
      <c r="D51" s="1262">
        <v>0</v>
      </c>
      <c r="E51" s="1262">
        <v>0</v>
      </c>
      <c r="F51" s="1262">
        <v>0</v>
      </c>
    </row>
    <row r="52" spans="1:6">
      <c r="A52" s="1261" t="s">
        <v>41</v>
      </c>
      <c r="B52" s="1261" t="s">
        <v>28</v>
      </c>
      <c r="C52" s="1262">
        <v>4</v>
      </c>
      <c r="D52" s="1262">
        <v>324435.68111846503</v>
      </c>
      <c r="E52" s="1262">
        <v>8</v>
      </c>
      <c r="F52" s="1262">
        <v>42404.99</v>
      </c>
    </row>
    <row r="53" spans="1:6">
      <c r="A53" s="1261" t="s">
        <v>43</v>
      </c>
      <c r="B53" s="1261" t="s">
        <v>44</v>
      </c>
      <c r="C53" s="1262">
        <v>406</v>
      </c>
      <c r="D53" s="1262">
        <v>11471859.7094137</v>
      </c>
      <c r="E53" s="1262">
        <v>663</v>
      </c>
      <c r="F53" s="1262">
        <v>8273453</v>
      </c>
    </row>
    <row r="54" spans="1:6">
      <c r="A54" s="1261" t="s">
        <v>45</v>
      </c>
      <c r="B54" s="1261" t="s">
        <v>46</v>
      </c>
      <c r="C54" s="1262">
        <v>0</v>
      </c>
      <c r="D54" s="1262">
        <v>0</v>
      </c>
      <c r="E54" s="1262">
        <v>2</v>
      </c>
      <c r="F54" s="1262">
        <v>2613827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80</v>
      </c>
      <c r="D57" s="1262">
        <v>3132312.1054519499</v>
      </c>
      <c r="E57" s="1262">
        <v>140</v>
      </c>
      <c r="F57" s="1262">
        <v>2826298</v>
      </c>
    </row>
    <row r="58" spans="1:6">
      <c r="A58" s="1261" t="s">
        <v>48</v>
      </c>
      <c r="B58" s="1261" t="s">
        <v>50</v>
      </c>
      <c r="C58" s="1262">
        <v>67</v>
      </c>
      <c r="D58" s="1262">
        <v>3203118.3807352502</v>
      </c>
      <c r="E58" s="1262">
        <v>84</v>
      </c>
      <c r="F58" s="1262">
        <v>1149590</v>
      </c>
    </row>
    <row r="59" spans="1:6">
      <c r="A59" s="1261" t="s">
        <v>48</v>
      </c>
      <c r="B59" s="1261" t="s">
        <v>51</v>
      </c>
      <c r="C59" s="1262">
        <v>250</v>
      </c>
      <c r="D59" s="1262">
        <v>18193365.298542898</v>
      </c>
      <c r="E59" s="1262">
        <v>389</v>
      </c>
      <c r="F59" s="1262">
        <v>19190268</v>
      </c>
    </row>
    <row r="60" spans="1:6">
      <c r="A60" s="1261" t="s">
        <v>48</v>
      </c>
      <c r="B60" s="1261" t="s">
        <v>52</v>
      </c>
      <c r="C60" s="1262">
        <v>217</v>
      </c>
      <c r="D60" s="1262">
        <v>22590877.444915399</v>
      </c>
      <c r="E60" s="1262">
        <v>287</v>
      </c>
      <c r="F60" s="1262">
        <v>12544061</v>
      </c>
    </row>
    <row r="61" spans="1:6">
      <c r="A61" s="1261" t="s">
        <v>48</v>
      </c>
      <c r="B61" s="1261" t="s">
        <v>53</v>
      </c>
      <c r="C61" s="1262">
        <v>429</v>
      </c>
      <c r="D61" s="1262">
        <v>41604449.776834898</v>
      </c>
      <c r="E61" s="1262">
        <v>989</v>
      </c>
      <c r="F61" s="1262">
        <v>26615276</v>
      </c>
    </row>
    <row r="62" spans="1:6">
      <c r="A62" s="1261" t="s">
        <v>48</v>
      </c>
      <c r="B62" s="1261" t="s">
        <v>54</v>
      </c>
      <c r="C62" s="1262">
        <v>3</v>
      </c>
      <c r="D62" s="1262">
        <v>84074.348638435898</v>
      </c>
      <c r="E62" s="1262">
        <v>14</v>
      </c>
      <c r="F62" s="1262">
        <v>1335455</v>
      </c>
    </row>
    <row r="63" spans="1:6">
      <c r="A63" s="1261" t="s">
        <v>48</v>
      </c>
      <c r="B63" s="1261" t="s">
        <v>28</v>
      </c>
      <c r="C63" s="1262">
        <v>128</v>
      </c>
      <c r="D63" s="1262">
        <v>22115737.701505799</v>
      </c>
      <c r="E63" s="1262">
        <v>121</v>
      </c>
      <c r="F63" s="1262">
        <v>21879107</v>
      </c>
    </row>
    <row r="64" spans="1:6">
      <c r="A64" s="1261" t="s">
        <v>55</v>
      </c>
      <c r="B64" s="1261" t="s">
        <v>56</v>
      </c>
      <c r="C64" s="1262">
        <v>0</v>
      </c>
      <c r="D64" s="1262">
        <v>0</v>
      </c>
      <c r="E64" s="1262">
        <v>0</v>
      </c>
      <c r="F64" s="1262">
        <v>0</v>
      </c>
    </row>
    <row r="65" spans="1:6">
      <c r="A65" s="1261" t="s">
        <v>55</v>
      </c>
      <c r="B65" s="1261" t="s">
        <v>28</v>
      </c>
      <c r="C65" s="1262">
        <v>9</v>
      </c>
      <c r="D65" s="1262">
        <v>1511630.7947601201</v>
      </c>
      <c r="E65" s="1262">
        <v>3</v>
      </c>
      <c r="F65" s="1262">
        <v>404833.5</v>
      </c>
    </row>
    <row r="66" spans="1:6">
      <c r="A66" s="1261" t="s">
        <v>55</v>
      </c>
      <c r="B66" s="1261" t="s">
        <v>57</v>
      </c>
      <c r="C66" s="1262">
        <v>0</v>
      </c>
      <c r="D66" s="1262">
        <v>0</v>
      </c>
      <c r="E66" s="1262">
        <v>28</v>
      </c>
      <c r="F66" s="1262">
        <v>1266728</v>
      </c>
    </row>
    <row r="67" spans="1:6">
      <c r="A67" s="1261" t="s">
        <v>55</v>
      </c>
      <c r="B67" s="1261" t="s">
        <v>58</v>
      </c>
      <c r="C67" s="1262">
        <v>0</v>
      </c>
      <c r="D67" s="1262">
        <v>0</v>
      </c>
      <c r="E67" s="1262">
        <v>0</v>
      </c>
      <c r="F67" s="1262">
        <v>0</v>
      </c>
    </row>
    <row r="68" spans="1:6">
      <c r="A68" s="1256" t="s">
        <v>55</v>
      </c>
      <c r="B68" s="1256" t="s">
        <v>59</v>
      </c>
      <c r="C68" s="1264">
        <v>6</v>
      </c>
      <c r="D68" s="1264">
        <v>205702.77786130799</v>
      </c>
      <c r="E68" s="1264">
        <v>26</v>
      </c>
      <c r="F68" s="1264">
        <v>1280540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95603422</v>
      </c>
      <c r="E73" s="440"/>
      <c r="F73" s="322"/>
    </row>
    <row r="74" spans="1:6">
      <c r="A74" s="1261" t="s">
        <v>63</v>
      </c>
      <c r="B74" s="1261" t="s">
        <v>670</v>
      </c>
      <c r="C74" s="1274" t="s">
        <v>672</v>
      </c>
      <c r="D74" s="1262">
        <v>5622279.7796772243</v>
      </c>
      <c r="E74" s="440"/>
      <c r="F74" s="322"/>
    </row>
    <row r="75" spans="1:6">
      <c r="A75" s="1261" t="s">
        <v>64</v>
      </c>
      <c r="B75" s="1261" t="s">
        <v>669</v>
      </c>
      <c r="C75" s="1274" t="s">
        <v>673</v>
      </c>
      <c r="D75" s="1262">
        <v>28705850</v>
      </c>
      <c r="E75" s="440"/>
      <c r="F75" s="322"/>
    </row>
    <row r="76" spans="1:6">
      <c r="A76" s="1261" t="s">
        <v>64</v>
      </c>
      <c r="B76" s="1261" t="s">
        <v>670</v>
      </c>
      <c r="C76" s="1274" t="s">
        <v>674</v>
      </c>
      <c r="D76" s="1262">
        <v>489306.779677224</v>
      </c>
      <c r="E76" s="440"/>
      <c r="F76" s="322"/>
    </row>
    <row r="77" spans="1:6">
      <c r="A77" s="1261" t="s">
        <v>65</v>
      </c>
      <c r="B77" s="1261" t="s">
        <v>669</v>
      </c>
      <c r="C77" s="1274" t="s">
        <v>675</v>
      </c>
      <c r="D77" s="1262">
        <v>280909254</v>
      </c>
      <c r="E77" s="440"/>
      <c r="F77" s="322"/>
    </row>
    <row r="78" spans="1:6">
      <c r="A78" s="1256" t="s">
        <v>65</v>
      </c>
      <c r="B78" s="1256" t="s">
        <v>670</v>
      </c>
      <c r="C78" s="1256" t="s">
        <v>676</v>
      </c>
      <c r="D78" s="1264">
        <v>33979795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1279930.440645552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1878.915295773957</v>
      </c>
      <c r="C91" s="322"/>
      <c r="D91" s="322"/>
      <c r="E91" s="322"/>
      <c r="F91" s="322"/>
    </row>
    <row r="92" spans="1:6">
      <c r="A92" s="1256" t="s">
        <v>68</v>
      </c>
      <c r="B92" s="1257">
        <v>3462.6249059254565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10093</v>
      </c>
      <c r="C97" s="322"/>
      <c r="D97" s="322"/>
      <c r="E97" s="322"/>
      <c r="F97" s="322"/>
    </row>
    <row r="98" spans="1:6">
      <c r="A98" s="1261" t="s">
        <v>71</v>
      </c>
      <c r="B98" s="1262">
        <v>9</v>
      </c>
      <c r="C98" s="322"/>
      <c r="D98" s="322"/>
      <c r="E98" s="322"/>
      <c r="F98" s="322"/>
    </row>
    <row r="99" spans="1:6">
      <c r="A99" s="1261" t="s">
        <v>72</v>
      </c>
      <c r="B99" s="1262">
        <v>41</v>
      </c>
      <c r="C99" s="322"/>
      <c r="D99" s="322"/>
      <c r="E99" s="322"/>
      <c r="F99" s="322"/>
    </row>
    <row r="100" spans="1:6">
      <c r="A100" s="1261" t="s">
        <v>73</v>
      </c>
      <c r="B100" s="1262">
        <v>801</v>
      </c>
      <c r="C100" s="322"/>
      <c r="D100" s="322"/>
      <c r="E100" s="322"/>
      <c r="F100" s="322"/>
    </row>
    <row r="101" spans="1:6">
      <c r="A101" s="1261" t="s">
        <v>74</v>
      </c>
      <c r="B101" s="1262">
        <v>55</v>
      </c>
      <c r="C101" s="322"/>
      <c r="D101" s="322"/>
      <c r="E101" s="322"/>
      <c r="F101" s="322"/>
    </row>
    <row r="102" spans="1:6">
      <c r="A102" s="1261" t="s">
        <v>75</v>
      </c>
      <c r="B102" s="1262">
        <v>331</v>
      </c>
      <c r="C102" s="322"/>
      <c r="D102" s="322"/>
      <c r="E102" s="322"/>
      <c r="F102" s="322"/>
    </row>
    <row r="103" spans="1:6">
      <c r="A103" s="1261" t="s">
        <v>76</v>
      </c>
      <c r="B103" s="1262">
        <v>206</v>
      </c>
      <c r="C103" s="322"/>
      <c r="D103" s="322"/>
      <c r="E103" s="322"/>
      <c r="F103" s="322"/>
    </row>
    <row r="104" spans="1:6">
      <c r="A104" s="1261" t="s">
        <v>77</v>
      </c>
      <c r="B104" s="1262">
        <v>2710</v>
      </c>
      <c r="C104" s="322"/>
      <c r="D104" s="322"/>
      <c r="E104" s="322"/>
      <c r="F104" s="322"/>
    </row>
    <row r="105" spans="1:6">
      <c r="A105" s="1256" t="s">
        <v>78</v>
      </c>
      <c r="B105" s="1264">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v>
      </c>
      <c r="C123" s="1262">
        <v>8</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56</v>
      </c>
      <c r="C129" s="322"/>
      <c r="D129" s="322"/>
      <c r="E129" s="322"/>
      <c r="F129" s="322"/>
    </row>
    <row r="130" spans="1:6">
      <c r="A130" s="1261" t="s">
        <v>284</v>
      </c>
      <c r="B130" s="1262">
        <v>0</v>
      </c>
      <c r="C130" s="322"/>
      <c r="D130" s="322"/>
      <c r="E130" s="322"/>
      <c r="F130" s="322"/>
    </row>
    <row r="131" spans="1:6">
      <c r="A131" s="1261" t="s">
        <v>285</v>
      </c>
      <c r="B131" s="1262">
        <v>4</v>
      </c>
      <c r="C131" s="322"/>
      <c r="D131" s="322"/>
      <c r="E131" s="322"/>
      <c r="F131" s="322"/>
    </row>
    <row r="132" spans="1:6">
      <c r="A132" s="1256" t="s">
        <v>286</v>
      </c>
      <c r="B132" s="1257">
        <v>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193431.54983509675</v>
      </c>
      <c r="C3" s="43" t="s">
        <v>163</v>
      </c>
      <c r="D3" s="43"/>
      <c r="E3" s="153"/>
      <c r="F3" s="43"/>
      <c r="G3" s="43"/>
      <c r="H3" s="43"/>
      <c r="I3" s="43"/>
      <c r="J3" s="43"/>
      <c r="K3" s="96"/>
    </row>
    <row r="4" spans="1:11">
      <c r="A4" s="349" t="s">
        <v>164</v>
      </c>
      <c r="B4" s="49">
        <f>IF(ISERROR('SEAP template'!B78+'SEAP template'!C78),0,'SEAP template'!B78+'SEAP template'!C78)</f>
        <v>6709.540201699414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325.1011764705882</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0.21501489979741184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464.43025210084039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1954.2857142857144</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2613.8270000000002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2613.8270000000002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0.21501489979741184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562.01175049276969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54127.16721</v>
      </c>
      <c r="C5" s="17">
        <f>IF(ISERROR('Eigen informatie GS &amp; warmtenet'!B57),0,'Eigen informatie GS &amp; warmtenet'!B57)</f>
        <v>0</v>
      </c>
      <c r="D5" s="30">
        <f>(SUM(HH_hh_gas_kWh,HH_rest_gas_kWh)/1000)*0.902</f>
        <v>165493.99124240488</v>
      </c>
      <c r="E5" s="17">
        <f>B32*B41</f>
        <v>1435.6464352999328</v>
      </c>
      <c r="F5" s="17">
        <f>B36*B45</f>
        <v>45290.166096376037</v>
      </c>
      <c r="G5" s="18"/>
      <c r="H5" s="17"/>
      <c r="I5" s="17"/>
      <c r="J5" s="17">
        <f>B35*B44+C35*C44</f>
        <v>1056.1649624674892</v>
      </c>
      <c r="K5" s="17"/>
      <c r="L5" s="17"/>
      <c r="M5" s="17"/>
      <c r="N5" s="17">
        <f>B34*B43+C34*C43</f>
        <v>17442.296793985814</v>
      </c>
      <c r="O5" s="17">
        <f>B52*B53*B54</f>
        <v>100.05333333333334</v>
      </c>
      <c r="P5" s="17">
        <f>B60*B61*B62/1000-B60*B61*B62/1000/B63</f>
        <v>152.53333333333333</v>
      </c>
    </row>
    <row r="6" spans="1:16">
      <c r="A6" s="16" t="s">
        <v>593</v>
      </c>
      <c r="B6" s="717">
        <f>kWh_PV_kleiner_dan_10kW</f>
        <v>1878.915295773957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56006.082505773957</v>
      </c>
      <c r="C8" s="21">
        <f>C5</f>
        <v>0</v>
      </c>
      <c r="D8" s="21">
        <f>D5</f>
        <v>165493.99124240488</v>
      </c>
      <c r="E8" s="21">
        <f>E5</f>
        <v>1435.6464352999328</v>
      </c>
      <c r="F8" s="21">
        <f>F5</f>
        <v>45290.166096376037</v>
      </c>
      <c r="G8" s="21"/>
      <c r="H8" s="21"/>
      <c r="I8" s="21"/>
      <c r="J8" s="21">
        <f>J5</f>
        <v>1056.1649624674892</v>
      </c>
      <c r="K8" s="21"/>
      <c r="L8" s="21">
        <f>L5</f>
        <v>0</v>
      </c>
      <c r="M8" s="21">
        <f>M5</f>
        <v>0</v>
      </c>
      <c r="N8" s="21">
        <f>N5</f>
        <v>17442.296793985814</v>
      </c>
      <c r="O8" s="21">
        <f>O5</f>
        <v>100.05333333333334</v>
      </c>
      <c r="P8" s="21">
        <f>P5</f>
        <v>152.53333333333333</v>
      </c>
    </row>
    <row r="9" spans="1:16">
      <c r="B9" s="19"/>
      <c r="C9" s="19"/>
      <c r="D9" s="253"/>
      <c r="E9" s="19"/>
      <c r="F9" s="19"/>
      <c r="G9" s="19"/>
      <c r="H9" s="19"/>
      <c r="I9" s="19"/>
      <c r="J9" s="19"/>
      <c r="K9" s="19"/>
      <c r="L9" s="19"/>
      <c r="M9" s="19"/>
      <c r="N9" s="19"/>
      <c r="O9" s="19"/>
      <c r="P9" s="19"/>
    </row>
    <row r="10" spans="1:16">
      <c r="A10" s="24" t="s">
        <v>207</v>
      </c>
      <c r="B10" s="25">
        <f ca="1">'EF ele_warmte'!B12</f>
        <v>0.21501489979741184</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12042.142218024568</v>
      </c>
      <c r="C12" s="23">
        <f ca="1">C10*C8</f>
        <v>0</v>
      </c>
      <c r="D12" s="23">
        <f>D8*D10</f>
        <v>33429.786230965787</v>
      </c>
      <c r="E12" s="23">
        <f>E10*E8</f>
        <v>325.89174081308477</v>
      </c>
      <c r="F12" s="23">
        <f>F10*F8</f>
        <v>12092.474347732403</v>
      </c>
      <c r="G12" s="23"/>
      <c r="H12" s="23"/>
      <c r="I12" s="23"/>
      <c r="J12" s="23">
        <f>J10*J8</f>
        <v>373.88239671349118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16280</v>
      </c>
      <c r="C26" s="36"/>
      <c r="D26" s="224"/>
    </row>
    <row r="27" spans="1:5" s="15" customFormat="1">
      <c r="A27" s="226" t="s">
        <v>696</v>
      </c>
      <c r="B27" s="37">
        <f>SUM(HH_hh_gas_aantal,HH_rest_gas_aantal)</f>
        <v>14126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13419.7</v>
      </c>
      <c r="C31" s="34" t="s">
        <v>104</v>
      </c>
      <c r="D31" s="170"/>
    </row>
    <row r="32" spans="1:5">
      <c r="A32" s="167" t="s">
        <v>72</v>
      </c>
      <c r="B32" s="33">
        <f>IF((B21*($B$26-($B$27-0.05*$B$27)-$B$60))&lt;0,0,B21*($B$26-($B$27-0.05*$B$27)-$B$60))</f>
        <v>17.98438028840749</v>
      </c>
      <c r="C32" s="34" t="s">
        <v>104</v>
      </c>
      <c r="D32" s="170"/>
    </row>
    <row r="33" spans="1:6">
      <c r="A33" s="167" t="s">
        <v>73</v>
      </c>
      <c r="B33" s="33">
        <f>IF((B22*($B$26-($B$27-0.05*$B$27)-$B$60))&lt;0,0,B22*($B$26-($B$27-0.05*$B$27)-$B$60))</f>
        <v>626.28145376140958</v>
      </c>
      <c r="C33" s="34" t="s">
        <v>104</v>
      </c>
      <c r="D33" s="170"/>
    </row>
    <row r="34" spans="1:6">
      <c r="A34" s="167" t="s">
        <v>74</v>
      </c>
      <c r="B34" s="33">
        <f>IF((B24*($B$26-($B$27-0.05*$B$27)-$B$60))&lt;0,0,B24*($B$26-($B$27-0.05*$B$27)-$B$60))</f>
        <v>124.31409794903226</v>
      </c>
      <c r="C34" s="33">
        <f>B26*C24</f>
        <v>3330.8828298708431</v>
      </c>
      <c r="D34" s="229"/>
    </row>
    <row r="35" spans="1:6">
      <c r="A35" s="167" t="s">
        <v>76</v>
      </c>
      <c r="B35" s="33">
        <f>IF((B19*($B$26-($B$27-0.05*$B$27)-$B$60))&lt;0,0,B19*($B$26-($B$27-0.05*$B$27)-$B$60))</f>
        <v>60.734506538447867</v>
      </c>
      <c r="C35" s="33">
        <f>B35/2</f>
        <v>30.367253269223934</v>
      </c>
      <c r="D35" s="229"/>
    </row>
    <row r="36" spans="1:6">
      <c r="A36" s="167" t="s">
        <v>77</v>
      </c>
      <c r="B36" s="33">
        <f>IF((B18*($B$26-($B$27-0.05*$B$27)-$B$60))&lt;0,0,B18*($B$26-($B$27-0.05*$B$27)-$B$60))</f>
        <v>2022.9855614627031</v>
      </c>
      <c r="C36" s="34" t="s">
        <v>104</v>
      </c>
      <c r="D36" s="170"/>
    </row>
    <row r="37" spans="1:6">
      <c r="A37" s="167" t="s">
        <v>78</v>
      </c>
      <c r="B37" s="33">
        <f>B60</f>
        <v>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85540.054999999993</v>
      </c>
      <c r="C5" s="17">
        <f>IF(ISERROR('Eigen informatie GS &amp; warmtenet'!B58),0,'Eigen informatie GS &amp; warmtenet'!B58)</f>
        <v>0</v>
      </c>
      <c r="D5" s="30">
        <f>SUM(D6:D12)</f>
        <v>100053.38942107541</v>
      </c>
      <c r="E5" s="17">
        <f>SUM(E6:E12)</f>
        <v>1112.2395305582666</v>
      </c>
      <c r="F5" s="17">
        <f>SUM(F6:F12)</f>
        <v>16371.834940976614</v>
      </c>
      <c r="G5" s="18"/>
      <c r="H5" s="17"/>
      <c r="I5" s="17"/>
      <c r="J5" s="17">
        <f>SUM(J6:J12)</f>
        <v>0</v>
      </c>
      <c r="K5" s="17"/>
      <c r="L5" s="17"/>
      <c r="M5" s="17"/>
      <c r="N5" s="17">
        <f>SUM(N6:N12)</f>
        <v>3413.601768636523</v>
      </c>
      <c r="O5" s="17">
        <f>B38*B39*B40</f>
        <v>0</v>
      </c>
      <c r="P5" s="17">
        <f>B46*B47*B48/1000-B46*B47*B48/1000/B49</f>
        <v>76.266666666666666</v>
      </c>
      <c r="R5" s="32"/>
    </row>
    <row r="6" spans="1:18">
      <c r="A6" s="32" t="s">
        <v>53</v>
      </c>
      <c r="B6" s="37">
        <f>B26</f>
        <v>26615.276000000002</v>
      </c>
      <c r="C6" s="33"/>
      <c r="D6" s="37">
        <f>IF(ISERROR(TER_kantoor_gas_kWh/1000),0,TER_kantoor_gas_kWh/1000)*0.902</f>
        <v>37527.213698705076</v>
      </c>
      <c r="E6" s="33">
        <f>$C$26*'E Balans VL '!I12/100/3.6*1000000</f>
        <v>0.37325237114085463</v>
      </c>
      <c r="F6" s="33">
        <f>$C$26*('E Balans VL '!L12+'E Balans VL '!N12)/100/3.6*1000000</f>
        <v>3699.4796909675119</v>
      </c>
      <c r="G6" s="34"/>
      <c r="H6" s="33"/>
      <c r="I6" s="33"/>
      <c r="J6" s="33">
        <f>$C$26*('E Balans VL '!D12+'E Balans VL '!E12)/100/3.6*1000000</f>
        <v>0</v>
      </c>
      <c r="K6" s="33"/>
      <c r="L6" s="33"/>
      <c r="M6" s="33"/>
      <c r="N6" s="33">
        <f>$C$26*'E Balans VL '!Y12/100/3.6*1000000</f>
        <v>329.41148973351432</v>
      </c>
      <c r="O6" s="33"/>
      <c r="P6" s="33"/>
      <c r="R6" s="32"/>
    </row>
    <row r="7" spans="1:18">
      <c r="A7" s="32" t="s">
        <v>52</v>
      </c>
      <c r="B7" s="37">
        <f t="shared" ref="B7:B12" si="0">B27</f>
        <v>12544.061</v>
      </c>
      <c r="C7" s="33"/>
      <c r="D7" s="37">
        <f>IF(ISERROR(TER_horeca_gas_kWh/1000),0,TER_horeca_gas_kWh/1000)*0.902</f>
        <v>20376.971455313691</v>
      </c>
      <c r="E7" s="33">
        <f>$C$27*'E Balans VL '!I9/100/3.6*1000000</f>
        <v>179.05693715293526</v>
      </c>
      <c r="F7" s="33">
        <f>$C$27*('E Balans VL '!L9+'E Balans VL '!N9)/100/3.6*1000000</f>
        <v>1950.0970870193062</v>
      </c>
      <c r="G7" s="34"/>
      <c r="H7" s="33"/>
      <c r="I7" s="33"/>
      <c r="J7" s="33">
        <f>$C$27*('E Balans VL '!D9+'E Balans VL '!E9)/100/3.6*1000000</f>
        <v>0</v>
      </c>
      <c r="K7" s="33"/>
      <c r="L7" s="33"/>
      <c r="M7" s="33"/>
      <c r="N7" s="33">
        <f>$C$27*'E Balans VL '!Y9/100/3.6*1000000</f>
        <v>3.2324071493796649</v>
      </c>
      <c r="O7" s="33"/>
      <c r="P7" s="33"/>
      <c r="R7" s="32"/>
    </row>
    <row r="8" spans="1:18">
      <c r="A8" s="6" t="s">
        <v>51</v>
      </c>
      <c r="B8" s="37">
        <f t="shared" si="0"/>
        <v>19190.268</v>
      </c>
      <c r="C8" s="33"/>
      <c r="D8" s="37">
        <f>IF(ISERROR(TER_handel_gas_kWh/1000),0,TER_handel_gas_kWh/1000)*0.902</f>
        <v>16410.415499285697</v>
      </c>
      <c r="E8" s="33">
        <f>$C$28*'E Balans VL '!I13/100/3.6*1000000</f>
        <v>519.38905724581753</v>
      </c>
      <c r="F8" s="33">
        <f>$C$28*('E Balans VL '!L13+'E Balans VL '!N13)/100/3.6*1000000</f>
        <v>2979.8910291531865</v>
      </c>
      <c r="G8" s="34"/>
      <c r="H8" s="33"/>
      <c r="I8" s="33"/>
      <c r="J8" s="33">
        <f>$C$28*('E Balans VL '!D13+'E Balans VL '!E13)/100/3.6*1000000</f>
        <v>0</v>
      </c>
      <c r="K8" s="33"/>
      <c r="L8" s="33"/>
      <c r="M8" s="33"/>
      <c r="N8" s="33">
        <f>$C$28*'E Balans VL '!Y13/100/3.6*1000000</f>
        <v>155.4925898240765</v>
      </c>
      <c r="O8" s="33"/>
      <c r="P8" s="33"/>
      <c r="R8" s="32"/>
    </row>
    <row r="9" spans="1:18">
      <c r="A9" s="32" t="s">
        <v>50</v>
      </c>
      <c r="B9" s="37">
        <f t="shared" si="0"/>
        <v>1149.5899999999999</v>
      </c>
      <c r="C9" s="33"/>
      <c r="D9" s="37">
        <f>IF(ISERROR(TER_gezond_gas_kWh/1000),0,TER_gezond_gas_kWh/1000)*0.902</f>
        <v>2889.212779423196</v>
      </c>
      <c r="E9" s="33">
        <f>$C$29*'E Balans VL '!I10/100/3.6*1000000</f>
        <v>7.1733818414189729E-2</v>
      </c>
      <c r="F9" s="33">
        <f>$C$29*('E Balans VL '!L10+'E Balans VL '!N10)/100/3.6*1000000</f>
        <v>148.82537115021699</v>
      </c>
      <c r="G9" s="34"/>
      <c r="H9" s="33"/>
      <c r="I9" s="33"/>
      <c r="J9" s="33">
        <f>$C$29*('E Balans VL '!D10+'E Balans VL '!E10)/100/3.6*1000000</f>
        <v>0</v>
      </c>
      <c r="K9" s="33"/>
      <c r="L9" s="33"/>
      <c r="M9" s="33"/>
      <c r="N9" s="33">
        <f>$C$29*'E Balans VL '!Y10/100/3.6*1000000</f>
        <v>9.4255146255602984</v>
      </c>
      <c r="O9" s="33"/>
      <c r="P9" s="33"/>
      <c r="R9" s="32"/>
    </row>
    <row r="10" spans="1:18">
      <c r="A10" s="32" t="s">
        <v>49</v>
      </c>
      <c r="B10" s="37">
        <f t="shared" si="0"/>
        <v>2826.2979999999998</v>
      </c>
      <c r="C10" s="33"/>
      <c r="D10" s="37">
        <f>IF(ISERROR(TER_ander_gas_kWh/1000),0,TER_ander_gas_kWh/1000)*0.902</f>
        <v>2825.3455191176586</v>
      </c>
      <c r="E10" s="33">
        <f>$C$30*'E Balans VL '!I14/100/3.6*1000000</f>
        <v>85.324617137707818</v>
      </c>
      <c r="F10" s="33">
        <f>$C$30*('E Balans VL '!L14+'E Balans VL '!N14)/100/3.6*1000000</f>
        <v>1789.4645619137191</v>
      </c>
      <c r="G10" s="34"/>
      <c r="H10" s="33"/>
      <c r="I10" s="33"/>
      <c r="J10" s="33">
        <f>$C$30*('E Balans VL '!D14+'E Balans VL '!E14)/100/3.6*1000000</f>
        <v>0</v>
      </c>
      <c r="K10" s="33"/>
      <c r="L10" s="33"/>
      <c r="M10" s="33"/>
      <c r="N10" s="33">
        <f>$C$30*'E Balans VL '!Y14/100/3.6*1000000</f>
        <v>1143.9801085790928</v>
      </c>
      <c r="O10" s="33"/>
      <c r="P10" s="33"/>
      <c r="R10" s="32"/>
    </row>
    <row r="11" spans="1:18">
      <c r="A11" s="32" t="s">
        <v>54</v>
      </c>
      <c r="B11" s="37">
        <f t="shared" si="0"/>
        <v>1335.4549999999999</v>
      </c>
      <c r="C11" s="33"/>
      <c r="D11" s="37">
        <f>IF(ISERROR(TER_onderwijs_gas_kWh/1000),0,TER_onderwijs_gas_kWh/1000)*0.902</f>
        <v>75.835062471869179</v>
      </c>
      <c r="E11" s="33">
        <f>$C$31*'E Balans VL '!I11/100/3.6*1000000</f>
        <v>1.6818379983316216</v>
      </c>
      <c r="F11" s="33">
        <f>$C$31*('E Balans VL '!L11+'E Balans VL '!N11)/100/3.6*1000000</f>
        <v>496.06079783727182</v>
      </c>
      <c r="G11" s="34"/>
      <c r="H11" s="33"/>
      <c r="I11" s="33"/>
      <c r="J11" s="33">
        <f>$C$31*('E Balans VL '!D11+'E Balans VL '!E11)/100/3.6*1000000</f>
        <v>0</v>
      </c>
      <c r="K11" s="33"/>
      <c r="L11" s="33"/>
      <c r="M11" s="33"/>
      <c r="N11" s="33">
        <f>$C$31*'E Balans VL '!Y11/100/3.6*1000000</f>
        <v>1.6911077563223758</v>
      </c>
      <c r="O11" s="33"/>
      <c r="P11" s="33"/>
      <c r="R11" s="32"/>
    </row>
    <row r="12" spans="1:18">
      <c r="A12" s="32" t="s">
        <v>249</v>
      </c>
      <c r="B12" s="37">
        <f t="shared" si="0"/>
        <v>21879.107</v>
      </c>
      <c r="C12" s="33"/>
      <c r="D12" s="37">
        <f>IF(ISERROR(TER_rest_gas_kWh/1000),0,TER_rest_gas_kWh/1000)*0.902</f>
        <v>19948.395406758231</v>
      </c>
      <c r="E12" s="33">
        <f>$C$32*'E Balans VL '!I8/100/3.6*1000000</f>
        <v>326.34209483391925</v>
      </c>
      <c r="F12" s="33">
        <f>$C$32*('E Balans VL '!L8+'E Balans VL '!N8)/100/3.6*1000000</f>
        <v>5308.0164029354019</v>
      </c>
      <c r="G12" s="34"/>
      <c r="H12" s="33"/>
      <c r="I12" s="33"/>
      <c r="J12" s="33">
        <f>$C$32*('E Balans VL '!D8+'E Balans VL '!E8)/100/3.6*1000000</f>
        <v>0</v>
      </c>
      <c r="K12" s="33"/>
      <c r="L12" s="33"/>
      <c r="M12" s="33"/>
      <c r="N12" s="33">
        <f>$C$32*'E Balans VL '!Y8/100/3.6*1000000</f>
        <v>1770.3685509685772</v>
      </c>
      <c r="O12" s="33"/>
      <c r="P12" s="33"/>
      <c r="R12" s="32"/>
    </row>
    <row r="13" spans="1:18">
      <c r="A13" s="16" t="s">
        <v>480</v>
      </c>
      <c r="B13" s="242">
        <f ca="1">'lokale energieproductie'!N39+'lokale energieproductie'!N32</f>
        <v>1350</v>
      </c>
      <c r="C13" s="242">
        <f ca="1">'lokale energieproductie'!O39+'lokale energieproductie'!O32</f>
        <v>1928.5714285714287</v>
      </c>
      <c r="D13" s="300">
        <f ca="1">('lokale energieproductie'!P32+'lokale energieproductie'!P39)*(-1)</f>
        <v>-3857.1428571428573</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86890.054999999993</v>
      </c>
      <c r="C16" s="21">
        <f t="shared" ca="1" si="1"/>
        <v>1928.5714285714287</v>
      </c>
      <c r="D16" s="21">
        <f t="shared" ca="1" si="1"/>
        <v>96196.246563932553</v>
      </c>
      <c r="E16" s="21">
        <f t="shared" si="1"/>
        <v>1112.2395305582666</v>
      </c>
      <c r="F16" s="21">
        <f t="shared" ca="1" si="1"/>
        <v>16371.834940976614</v>
      </c>
      <c r="G16" s="21">
        <f t="shared" si="1"/>
        <v>0</v>
      </c>
      <c r="H16" s="21">
        <f t="shared" si="1"/>
        <v>0</v>
      </c>
      <c r="I16" s="21">
        <f t="shared" si="1"/>
        <v>0</v>
      </c>
      <c r="J16" s="21">
        <f t="shared" si="1"/>
        <v>0</v>
      </c>
      <c r="K16" s="21">
        <f t="shared" si="1"/>
        <v>0</v>
      </c>
      <c r="L16" s="21">
        <f t="shared" ca="1" si="1"/>
        <v>0</v>
      </c>
      <c r="M16" s="21">
        <f t="shared" si="1"/>
        <v>0</v>
      </c>
      <c r="N16" s="21">
        <f t="shared" ca="1" si="1"/>
        <v>3413.601768636523</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0.21501489979741184</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18682.656469216603</v>
      </c>
      <c r="C20" s="23">
        <f t="shared" ref="C20:P20" ca="1" si="2">C16*C18</f>
        <v>458.31932773109253</v>
      </c>
      <c r="D20" s="23">
        <f t="shared" ca="1" si="2"/>
        <v>19431.641805914376</v>
      </c>
      <c r="E20" s="23">
        <f t="shared" si="2"/>
        <v>252.47837343672651</v>
      </c>
      <c r="F20" s="23">
        <f t="shared" ca="1" si="2"/>
        <v>4371.2799292407562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26615.276000000002</v>
      </c>
      <c r="C26" s="39">
        <f>IF(ISERROR(B26*3.6/1000000/'E Balans VL '!Z12*100),0,B26*3.6/1000000/'E Balans VL '!Z12*100)</f>
        <v>0.72292076739454336</v>
      </c>
      <c r="D26" s="232" t="s">
        <v>651</v>
      </c>
      <c r="F26" s="6"/>
    </row>
    <row r="27" spans="1:18">
      <c r="A27" s="227" t="s">
        <v>52</v>
      </c>
      <c r="B27" s="33">
        <f>IF(ISERROR(TER_horeca_ele_kWh/1000),0,TER_horeca_ele_kWh/1000)</f>
        <v>12544.061</v>
      </c>
      <c r="C27" s="39">
        <f>IF(ISERROR(B27*3.6/1000000/'E Balans VL '!Z9*100),0,B27*3.6/1000000/'E Balans VL '!Z9*100)</f>
        <v>1.0080130029538055</v>
      </c>
      <c r="D27" s="232" t="s">
        <v>651</v>
      </c>
      <c r="F27" s="6"/>
    </row>
    <row r="28" spans="1:18">
      <c r="A28" s="167" t="s">
        <v>51</v>
      </c>
      <c r="B28" s="33">
        <f>IF(ISERROR(TER_handel_ele_kWh/1000),0,TER_handel_ele_kWh/1000)</f>
        <v>19190.268</v>
      </c>
      <c r="C28" s="39">
        <f>IF(ISERROR(B28*3.6/1000000/'E Balans VL '!Z13*100),0,B28*3.6/1000000/'E Balans VL '!Z13*100)</f>
        <v>0.56678701969637202</v>
      </c>
      <c r="D28" s="232" t="s">
        <v>651</v>
      </c>
      <c r="F28" s="6"/>
    </row>
    <row r="29" spans="1:18">
      <c r="A29" s="227" t="s">
        <v>50</v>
      </c>
      <c r="B29" s="33">
        <f>IF(ISERROR(TER_gezond_ele_kWh/1000),0,TER_gezond_ele_kWh/1000)</f>
        <v>1149.5899999999999</v>
      </c>
      <c r="C29" s="39">
        <f>IF(ISERROR(B29*3.6/1000000/'E Balans VL '!Z10*100),0,B29*3.6/1000000/'E Balans VL '!Z10*100)</f>
        <v>0.1314740015736694</v>
      </c>
      <c r="D29" s="232" t="s">
        <v>651</v>
      </c>
      <c r="F29" s="6"/>
    </row>
    <row r="30" spans="1:18">
      <c r="A30" s="227" t="s">
        <v>49</v>
      </c>
      <c r="B30" s="33">
        <f>IF(ISERROR(TER_ander_ele_kWh/1000),0,TER_ander_ele_kWh/1000)</f>
        <v>2826.2979999999998</v>
      </c>
      <c r="C30" s="39">
        <f>IF(ISERROR(B30*3.6/1000000/'E Balans VL '!Z14*100),0,B30*3.6/1000000/'E Balans VL '!Z14*100)</f>
        <v>0.13207879444868392</v>
      </c>
      <c r="D30" s="232" t="s">
        <v>651</v>
      </c>
      <c r="F30" s="6"/>
    </row>
    <row r="31" spans="1:18">
      <c r="A31" s="227" t="s">
        <v>54</v>
      </c>
      <c r="B31" s="33">
        <f>IF(ISERROR(TER_onderwijs_ele_kWh/1000),0,TER_onderwijs_ele_kWh/1000)</f>
        <v>1335.4549999999999</v>
      </c>
      <c r="C31" s="39">
        <f>IF(ISERROR(B31*3.6/1000000/'E Balans VL '!Z11*100),0,B31*3.6/1000000/'E Balans VL '!Z11*100)</f>
        <v>0.35265168192713969</v>
      </c>
      <c r="D31" s="232" t="s">
        <v>651</v>
      </c>
    </row>
    <row r="32" spans="1:18">
      <c r="A32" s="227" t="s">
        <v>249</v>
      </c>
      <c r="B32" s="33">
        <f>IF(ISERROR(TER_rest_ele_kWh/1000),0,TER_rest_ele_kWh/1000)</f>
        <v>21879.107</v>
      </c>
      <c r="C32" s="39">
        <f>IF(ISERROR(B32*3.6/1000000/'E Balans VL '!Z8*100),0,B32*3.6/1000000/'E Balans VL '!Z8*100)</f>
        <v>0.18692427254302432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4</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39522.05603</v>
      </c>
      <c r="C5" s="17">
        <f>IF(ISERROR('Eigen informatie GS &amp; warmtenet'!B59),0,'Eigen informatie GS &amp; warmtenet'!B59)</f>
        <v>0</v>
      </c>
      <c r="D5" s="30">
        <f>SUM(D6:D15)</f>
        <v>12720.736456878916</v>
      </c>
      <c r="E5" s="17">
        <f>SUM(E6:E15)</f>
        <v>2003.8018794068716</v>
      </c>
      <c r="F5" s="17">
        <f>SUM(F6:F15)</f>
        <v>13632.992032024249</v>
      </c>
      <c r="G5" s="18"/>
      <c r="H5" s="17"/>
      <c r="I5" s="17"/>
      <c r="J5" s="17">
        <f>SUM(J6:J15)</f>
        <v>194.24134977681979</v>
      </c>
      <c r="K5" s="17"/>
      <c r="L5" s="17"/>
      <c r="M5" s="17"/>
      <c r="N5" s="17">
        <f>SUM(N6:N15)</f>
        <v>3340.3716240194644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698.14670000000001</v>
      </c>
      <c r="C8" s="33"/>
      <c r="D8" s="37">
        <f>IF( ISERROR(IND_metaal_Gas_kWH/1000),0,IND_metaal_Gas_kWH/1000)*0.902</f>
        <v>366.30767947951023</v>
      </c>
      <c r="E8" s="33">
        <f>C30*'E Balans VL '!I18/100/3.6*1000000</f>
        <v>17.472168439897739</v>
      </c>
      <c r="F8" s="33">
        <f>C30*'E Balans VL '!L18/100/3.6*1000000+C30*'E Balans VL '!N18/100/3.6*1000000</f>
        <v>218.80264854028275</v>
      </c>
      <c r="G8" s="34"/>
      <c r="H8" s="33"/>
      <c r="I8" s="33"/>
      <c r="J8" s="40">
        <f>C30*'E Balans VL '!D18/100/3.6*1000000+C30*'E Balans VL '!E18/100/3.6*1000000</f>
        <v>0</v>
      </c>
      <c r="K8" s="33"/>
      <c r="L8" s="33"/>
      <c r="M8" s="33"/>
      <c r="N8" s="33">
        <f>C30*'E Balans VL '!Y18/100/3.6*1000000</f>
        <v>17.539256952680919</v>
      </c>
      <c r="O8" s="33"/>
      <c r="P8" s="33"/>
      <c r="R8" s="32"/>
    </row>
    <row r="9" spans="1:18">
      <c r="A9" s="6" t="s">
        <v>32</v>
      </c>
      <c r="B9" s="37">
        <f t="shared" si="0"/>
        <v>1464.6369999999999</v>
      </c>
      <c r="C9" s="33"/>
      <c r="D9" s="37">
        <f>IF( ISERROR(IND_andere_gas_kWh/1000),0,IND_andere_gas_kWh/1000)*0.902</f>
        <v>3181.6186977697294</v>
      </c>
      <c r="E9" s="33">
        <f>C31*'E Balans VL '!I19/100/3.6*1000000</f>
        <v>402.71510283201957</v>
      </c>
      <c r="F9" s="33">
        <f>C31*'E Balans VL '!L19/100/3.6*1000000+C31*'E Balans VL '!N19/100/3.6*1000000</f>
        <v>1154.3888211367967</v>
      </c>
      <c r="G9" s="34"/>
      <c r="H9" s="33"/>
      <c r="I9" s="33"/>
      <c r="J9" s="40">
        <f>C31*'E Balans VL '!D19/100/3.6*1000000+C31*'E Balans VL '!E19/100/3.6*1000000</f>
        <v>0</v>
      </c>
      <c r="K9" s="33"/>
      <c r="L9" s="33"/>
      <c r="M9" s="33"/>
      <c r="N9" s="33">
        <f>C31*'E Balans VL '!Y19/100/3.6*1000000</f>
        <v>117.99207966902163</v>
      </c>
      <c r="O9" s="33"/>
      <c r="P9" s="33"/>
      <c r="R9" s="32"/>
    </row>
    <row r="10" spans="1:18">
      <c r="A10" s="6" t="s">
        <v>40</v>
      </c>
      <c r="B10" s="37">
        <f t="shared" si="0"/>
        <v>2812.576</v>
      </c>
      <c r="C10" s="33"/>
      <c r="D10" s="37">
        <f>IF( ISERROR(IND_voed_gas_kWh/1000),0,IND_voed_gas_kWh/1000)*0.902</f>
        <v>373.21694606420948</v>
      </c>
      <c r="E10" s="33">
        <f>C32*'E Balans VL '!I20/100/3.6*1000000</f>
        <v>28.672662863040365</v>
      </c>
      <c r="F10" s="33">
        <f>C32*'E Balans VL '!L20/100/3.6*1000000+C32*'E Balans VL '!N20/100/3.6*1000000</f>
        <v>5312.9384730351921</v>
      </c>
      <c r="G10" s="34"/>
      <c r="H10" s="33"/>
      <c r="I10" s="33"/>
      <c r="J10" s="40">
        <f>C32*'E Balans VL '!D20/100/3.6*1000000+C32*'E Balans VL '!E20/100/3.6*1000000</f>
        <v>67.314146470336681</v>
      </c>
      <c r="K10" s="33"/>
      <c r="L10" s="33"/>
      <c r="M10" s="33"/>
      <c r="N10" s="33">
        <f>C32*'E Balans VL '!Y20/100/3.6*1000000</f>
        <v>1482.5515210289623</v>
      </c>
      <c r="O10" s="33"/>
      <c r="P10" s="33"/>
      <c r="R10" s="32"/>
    </row>
    <row r="11" spans="1:18">
      <c r="A11" s="6" t="s">
        <v>39</v>
      </c>
      <c r="B11" s="37">
        <f t="shared" si="0"/>
        <v>37.48274</v>
      </c>
      <c r="C11" s="33"/>
      <c r="D11" s="37">
        <f>IF( ISERROR(IND_textiel_gas_kWh/1000),0,IND_textiel_gas_kWh/1000)*0.902</f>
        <v>96.145219215452926</v>
      </c>
      <c r="E11" s="33">
        <f>C33*'E Balans VL '!I21/100/3.6*1000000</f>
        <v>9.9347598212447347E-2</v>
      </c>
      <c r="F11" s="33">
        <f>C33*'E Balans VL '!L21/100/3.6*1000000+C33*'E Balans VL '!N21/100/3.6*1000000</f>
        <v>1.6740178347254808</v>
      </c>
      <c r="G11" s="34"/>
      <c r="H11" s="33"/>
      <c r="I11" s="33"/>
      <c r="J11" s="40">
        <f>C33*'E Balans VL '!D21/100/3.6*1000000+C33*'E Balans VL '!E21/100/3.6*1000000</f>
        <v>0</v>
      </c>
      <c r="K11" s="33"/>
      <c r="L11" s="33"/>
      <c r="M11" s="33"/>
      <c r="N11" s="33">
        <f>C33*'E Balans VL '!Y21/100/3.6*1000000</f>
        <v>0.35324803025902479</v>
      </c>
      <c r="O11" s="33"/>
      <c r="P11" s="33"/>
      <c r="R11" s="32"/>
    </row>
    <row r="12" spans="1:18">
      <c r="A12" s="6" t="s">
        <v>36</v>
      </c>
      <c r="B12" s="37">
        <f t="shared" si="0"/>
        <v>11.46208</v>
      </c>
      <c r="C12" s="33"/>
      <c r="D12" s="37">
        <f>IF( ISERROR(IND_min_gas_kWh/1000),0,IND_min_gas_kWh/1000)*0.902</f>
        <v>4.605127918753932</v>
      </c>
      <c r="E12" s="33">
        <f>C34*'E Balans VL '!I22/100/3.6*1000000</f>
        <v>3.4713455414495199E-2</v>
      </c>
      <c r="F12" s="33">
        <f>C34*'E Balans VL '!L22/100/3.6*1000000+C34*'E Balans VL '!N22/100/3.6*1000000</f>
        <v>0.35819985436401436</v>
      </c>
      <c r="G12" s="34"/>
      <c r="H12" s="33"/>
      <c r="I12" s="33"/>
      <c r="J12" s="40">
        <f>C34*'E Balans VL '!D22/100/3.6*1000000+C34*'E Balans VL '!E22/100/3.6*1000000</f>
        <v>1.6995720189353084E-2</v>
      </c>
      <c r="K12" s="33"/>
      <c r="L12" s="33"/>
      <c r="M12" s="33"/>
      <c r="N12" s="33">
        <f>C34*'E Balans VL '!Y22/100/3.6*1000000</f>
        <v>0</v>
      </c>
      <c r="O12" s="33"/>
      <c r="P12" s="33"/>
      <c r="R12" s="32"/>
    </row>
    <row r="13" spans="1:18">
      <c r="A13" s="6" t="s">
        <v>38</v>
      </c>
      <c r="B13" s="37">
        <f t="shared" si="0"/>
        <v>27.214509999999997</v>
      </c>
      <c r="C13" s="33"/>
      <c r="D13" s="37">
        <f>IF( ISERROR(IND_papier_gas_kWh/1000),0,IND_papier_gas_kWh/1000)*0.902</f>
        <v>78.302703638433201</v>
      </c>
      <c r="E13" s="33">
        <f>C35*'E Balans VL '!I23/100/3.6*1000000</f>
        <v>5.6363087145192378E-2</v>
      </c>
      <c r="F13" s="33">
        <f>C35*'E Balans VL '!L23/100/3.6*1000000+C35*'E Balans VL '!N23/100/3.6*1000000</f>
        <v>0.539722076572271</v>
      </c>
      <c r="G13" s="34"/>
      <c r="H13" s="33"/>
      <c r="I13" s="33"/>
      <c r="J13" s="40">
        <f>C35*'E Balans VL '!D23/100/3.6*1000000+C35*'E Balans VL '!E23/100/3.6*1000000</f>
        <v>0</v>
      </c>
      <c r="K13" s="33"/>
      <c r="L13" s="33"/>
      <c r="M13" s="33"/>
      <c r="N13" s="33">
        <f>C35*'E Balans VL '!Y23/100/3.6*1000000</f>
        <v>1.8874638255163529</v>
      </c>
      <c r="O13" s="33"/>
      <c r="P13" s="33"/>
      <c r="R13" s="32"/>
    </row>
    <row r="14" spans="1:18">
      <c r="A14" s="6" t="s">
        <v>33</v>
      </c>
      <c r="B14" s="37">
        <f t="shared" si="0"/>
        <v>4220.1880000000001</v>
      </c>
      <c r="C14" s="33"/>
      <c r="D14" s="37">
        <f>IF( ISERROR(IND_chemie_gas_kWh/1000),0,IND_chemie_gas_kWh/1000)*0.902</f>
        <v>4270.9383944484644</v>
      </c>
      <c r="E14" s="33">
        <f>C36*'E Balans VL '!I24/100/3.6*1000000</f>
        <v>15.822178371251551</v>
      </c>
      <c r="F14" s="33">
        <f>C36*'E Balans VL '!L24/100/3.6*1000000+C36*'E Balans VL '!N24/100/3.6*1000000</f>
        <v>49.097466809191381</v>
      </c>
      <c r="G14" s="34"/>
      <c r="H14" s="33"/>
      <c r="I14" s="33"/>
      <c r="J14" s="40">
        <f>C36*'E Balans VL '!D24/100/3.6*1000000+C36*'E Balans VL '!E24/100/3.6*1000000</f>
        <v>0</v>
      </c>
      <c r="K14" s="33"/>
      <c r="L14" s="33"/>
      <c r="M14" s="33"/>
      <c r="N14" s="33">
        <f>C36*'E Balans VL '!Y24/100/3.6*1000000</f>
        <v>72.099886629457345</v>
      </c>
      <c r="O14" s="33"/>
      <c r="P14" s="33"/>
      <c r="R14" s="32"/>
    </row>
    <row r="15" spans="1:18">
      <c r="A15" s="6" t="s">
        <v>259</v>
      </c>
      <c r="B15" s="37">
        <f t="shared" si="0"/>
        <v>30250.348999999998</v>
      </c>
      <c r="C15" s="33"/>
      <c r="D15" s="37">
        <f>IF( ISERROR(IND_rest_gas_kWh/1000),0,IND_rest_gas_kWh/1000)*0.902</f>
        <v>4349.6016883443635</v>
      </c>
      <c r="E15" s="33">
        <f>C37*'E Balans VL '!I15/100/3.6*1000000</f>
        <v>1538.9293427598902</v>
      </c>
      <c r="F15" s="33">
        <f>C37*'E Balans VL '!L15/100/3.6*1000000+C37*'E Balans VL '!N15/100/3.6*1000000</f>
        <v>6895.1926827371253</v>
      </c>
      <c r="G15" s="34"/>
      <c r="H15" s="33"/>
      <c r="I15" s="33"/>
      <c r="J15" s="40">
        <f>C37*'E Balans VL '!D15/100/3.6*1000000+C37*'E Balans VL '!E15/100/3.6*1000000</f>
        <v>126.91020758629374</v>
      </c>
      <c r="K15" s="33"/>
      <c r="L15" s="33"/>
      <c r="M15" s="33"/>
      <c r="N15" s="33">
        <f>C37*'E Balans VL '!Y15/100/3.6*1000000</f>
        <v>1647.9481678835666</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39522.05603</v>
      </c>
      <c r="C18" s="21">
        <f>C5+C16</f>
        <v>0</v>
      </c>
      <c r="D18" s="21">
        <f>MAX((D5+D16),0)</f>
        <v>12720.736456878916</v>
      </c>
      <c r="E18" s="21">
        <f>MAX((E5+E16),0)</f>
        <v>2003.8018794068716</v>
      </c>
      <c r="F18" s="21">
        <f>MAX((F5+F16),0)</f>
        <v>13632.992032024249</v>
      </c>
      <c r="G18" s="21"/>
      <c r="H18" s="21"/>
      <c r="I18" s="21"/>
      <c r="J18" s="21">
        <f>MAX((J5+J16),0)</f>
        <v>194.24134977681979</v>
      </c>
      <c r="K18" s="21"/>
      <c r="L18" s="21">
        <f>MAX((L5+L16),0)</f>
        <v>0</v>
      </c>
      <c r="M18" s="21"/>
      <c r="N18" s="21">
        <f>MAX((N5+N16),0)</f>
        <v>3340.3716240194644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0.21501489979741184</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8497.8309170781467</v>
      </c>
      <c r="C22" s="23">
        <f ca="1">C18*C20</f>
        <v>0</v>
      </c>
      <c r="D22" s="23">
        <f>D18*D20</f>
        <v>2569.5887642895414</v>
      </c>
      <c r="E22" s="23">
        <f>E18*E20</f>
        <v>454.86302662535985</v>
      </c>
      <c r="F22" s="23">
        <f>F18*F20</f>
        <v>3640.0088725504747</v>
      </c>
      <c r="G22" s="23"/>
      <c r="H22" s="23"/>
      <c r="I22" s="23"/>
      <c r="J22" s="23">
        <f>J18*J20</f>
        <v>68.761437820994203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698.14670000000001</v>
      </c>
      <c r="C30" s="39">
        <f>IF(ISERROR(B30*3.6/1000000/'E Balans VL '!Z18*100),0,B30*3.6/1000000/'E Balans VL '!Z18*100)</f>
        <v>9.7717272004195929E-2</v>
      </c>
      <c r="D30" s="232" t="s">
        <v>651</v>
      </c>
    </row>
    <row r="31" spans="1:18">
      <c r="A31" s="6" t="s">
        <v>32</v>
      </c>
      <c r="B31" s="37">
        <f>IF( ISERROR(IND_ander_ele_kWh/1000),0,IND_ander_ele_kWh/1000)</f>
        <v>1464.6369999999999</v>
      </c>
      <c r="C31" s="39">
        <f>IF(ISERROR(B31*3.6/1000000/'E Balans VL '!Z19*100),0,B31*3.6/1000000/'E Balans VL '!Z19*100)</f>
        <v>6.4106923892122025E-2</v>
      </c>
      <c r="D31" s="232" t="s">
        <v>651</v>
      </c>
    </row>
    <row r="32" spans="1:18">
      <c r="A32" s="167" t="s">
        <v>40</v>
      </c>
      <c r="B32" s="37">
        <f>IF( ISERROR(IND_voed_ele_kWh/1000),0,IND_voed_ele_kWh/1000)</f>
        <v>2812.576</v>
      </c>
      <c r="C32" s="39">
        <f>IF(ISERROR(B32*3.6/1000000/'E Balans VL '!Z20*100),0,B32*3.6/1000000/'E Balans VL '!Z20*100)</f>
        <v>0.69630041655809127</v>
      </c>
      <c r="D32" s="232" t="s">
        <v>651</v>
      </c>
    </row>
    <row r="33" spans="1:5">
      <c r="A33" s="167" t="s">
        <v>39</v>
      </c>
      <c r="B33" s="37">
        <f>IF( ISERROR(IND_textiel_ele_kWh/1000),0,IND_textiel_ele_kWh/1000)</f>
        <v>37.48274</v>
      </c>
      <c r="C33" s="39">
        <f>IF(ISERROR(B33*3.6/1000000/'E Balans VL '!Z21*100),0,B33*3.6/1000000/'E Balans VL '!Z21*100)</f>
        <v>4.2236445334518681E-3</v>
      </c>
      <c r="D33" s="232" t="s">
        <v>651</v>
      </c>
    </row>
    <row r="34" spans="1:5">
      <c r="A34" s="167" t="s">
        <v>36</v>
      </c>
      <c r="B34" s="37">
        <f>IF( ISERROR(IND_min_ele_kWh/1000),0,IND_min_ele_kWh/1000)</f>
        <v>11.46208</v>
      </c>
      <c r="C34" s="39">
        <f>IF(ISERROR(B34*3.6/1000000/'E Balans VL '!Z22*100),0,B34*3.6/1000000/'E Balans VL '!Z22*100)</f>
        <v>3.2524706762683975E-4</v>
      </c>
      <c r="D34" s="232" t="s">
        <v>651</v>
      </c>
    </row>
    <row r="35" spans="1:5">
      <c r="A35" s="167" t="s">
        <v>38</v>
      </c>
      <c r="B35" s="37">
        <f>IF( ISERROR(IND_papier_ele_kWh/1000),0,IND_papier_ele_kWh/1000)</f>
        <v>27.214509999999997</v>
      </c>
      <c r="C35" s="39">
        <f>IF(ISERROR(B35*3.6/1000000/'E Balans VL '!Z22*100),0,B35*3.6/1000000/'E Balans VL '!Z22*100)</f>
        <v>7.7223676456640567E-4</v>
      </c>
      <c r="D35" s="232" t="s">
        <v>651</v>
      </c>
    </row>
    <row r="36" spans="1:5">
      <c r="A36" s="167" t="s">
        <v>33</v>
      </c>
      <c r="B36" s="37">
        <f>IF( ISERROR(IND_chemie_ele_kWh/1000),0,IND_chemie_ele_kWh/1000)</f>
        <v>4220.1880000000001</v>
      </c>
      <c r="C36" s="39">
        <f>IF(ISERROR(B36*3.6/1000000/'E Balans VL '!Z24*100),0,B36*3.6/1000000/'E Balans VL '!Z24*100)</f>
        <v>0.10760835257125068</v>
      </c>
      <c r="D36" s="232" t="s">
        <v>651</v>
      </c>
    </row>
    <row r="37" spans="1:5">
      <c r="A37" s="167" t="s">
        <v>259</v>
      </c>
      <c r="B37" s="37">
        <f>IF( ISERROR(IND_rest_ele_kWh/1000),0,IND_rest_ele_kWh/1000)</f>
        <v>30250.348999999998</v>
      </c>
      <c r="C37" s="39">
        <f>IF(ISERROR(B37*3.6/1000000/'E Balans VL '!Z15*100),0,B37*3.6/1000000/'E Balans VL '!Z15*100)</f>
        <v>0.22430115875609097</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42.404989999999998</v>
      </c>
      <c r="C5" s="17">
        <f>'Eigen informatie GS &amp; warmtenet'!B60</f>
        <v>0</v>
      </c>
      <c r="D5" s="30">
        <f>IF(ISERROR(SUM(LB_lb_gas_kWh,LB_rest_gas_kWh)/1000),0,SUM(LB_lb_gas_kWh,LB_rest_gas_kWh)/1000)*0.902</f>
        <v>292.64098436885547</v>
      </c>
      <c r="E5" s="17">
        <f>B17*'E Balans VL '!I25/3.6*1000000/100</f>
        <v>0.90931307364373393</v>
      </c>
      <c r="F5" s="17">
        <f>B17*('E Balans VL '!L25/3.6*1000000+'E Balans VL '!N25/3.6*1000000)/100</f>
        <v>137.54819956261383</v>
      </c>
      <c r="G5" s="18"/>
      <c r="H5" s="17"/>
      <c r="I5" s="17"/>
      <c r="J5" s="17">
        <f>('E Balans VL '!D25+'E Balans VL '!E25)/3.6*1000000*landbouw!B17/100</f>
        <v>4.0857431967061908</v>
      </c>
      <c r="K5" s="17"/>
      <c r="L5" s="17">
        <f>L6*(-1)</f>
        <v>0</v>
      </c>
      <c r="M5" s="17"/>
      <c r="N5" s="17">
        <f>N6*(-1)</f>
        <v>0</v>
      </c>
      <c r="O5" s="17"/>
      <c r="P5" s="17"/>
      <c r="R5" s="32"/>
    </row>
    <row r="6" spans="1:18">
      <c r="A6" s="16" t="s">
        <v>480</v>
      </c>
      <c r="B6" s="17" t="s">
        <v>204</v>
      </c>
      <c r="C6" s="17">
        <f>'lokale energieproductie'!O40+'lokale energieproductie'!O33</f>
        <v>25.714285714285715</v>
      </c>
      <c r="D6" s="300">
        <f>('lokale energieproductie'!P33+'lokale energieproductie'!P40)*(-1)</f>
        <v>-51.428571428571431</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42.404989999999998</v>
      </c>
      <c r="C8" s="21">
        <f>C5+C6</f>
        <v>25.714285714285715</v>
      </c>
      <c r="D8" s="21">
        <f>MAX((D5+D6),0)</f>
        <v>241.21241294028403</v>
      </c>
      <c r="E8" s="21">
        <f>MAX((E5+E6),0)</f>
        <v>0.90931307364373393</v>
      </c>
      <c r="F8" s="21">
        <f>MAX((F5+F6),0)</f>
        <v>137.54819956261383</v>
      </c>
      <c r="G8" s="21"/>
      <c r="H8" s="21"/>
      <c r="I8" s="21"/>
      <c r="J8" s="21">
        <f>MAX((J5+J6),0)</f>
        <v>4.0857431967061908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0.21501489979741184</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9.1177046757602511</v>
      </c>
      <c r="C12" s="23">
        <f ca="1">C8*C10</f>
        <v>6.1109243697478997</v>
      </c>
      <c r="D12" s="23">
        <f>D8*D10</f>
        <v>48.724907413937373</v>
      </c>
      <c r="E12" s="23">
        <f>E8*E10</f>
        <v>0.20641406771712761</v>
      </c>
      <c r="F12" s="23">
        <f>F8*F10</f>
        <v>36.725369283217894</v>
      </c>
      <c r="G12" s="23"/>
      <c r="H12" s="23"/>
      <c r="I12" s="23"/>
      <c r="J12" s="23">
        <f>J8*J10</f>
        <v>1.4463530916339915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6.0290904367962788E-3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3.5705942185874715</v>
      </c>
      <c r="C26" s="242">
        <f>B26*'GWP N2O_CH4'!B5</f>
        <v>74.982478590336896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0.21697153255682552</v>
      </c>
      <c r="C27" s="242">
        <f>B27*'GWP N2O_CH4'!B5</f>
        <v>4.5564021836933364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4.5833422520459605E-2</v>
      </c>
      <c r="C28" s="242">
        <f>B28*'GWP N2O_CH4'!B4</f>
        <v>14.208360981342478</v>
      </c>
      <c r="D28" s="50"/>
    </row>
    <row r="29" spans="1:4">
      <c r="A29" s="41" t="s">
        <v>266</v>
      </c>
      <c r="B29" s="242">
        <f>B34*'ha_N2O bodem landbouw'!B4</f>
        <v>2.7207325176592341</v>
      </c>
      <c r="C29" s="242">
        <f>B29*'GWP N2O_CH4'!B4</f>
        <v>843.42708047436258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6.1021237172177874E-4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2.1603206855010489E-4</v>
      </c>
      <c r="C5" s="428" t="s">
        <v>204</v>
      </c>
      <c r="D5" s="413">
        <f>SUM(D6:D11)</f>
        <v>3.04427663834848E-4</v>
      </c>
      <c r="E5" s="413">
        <f>SUM(E6:E11)</f>
        <v>3.4179512898648437E-3</v>
      </c>
      <c r="F5" s="426" t="s">
        <v>204</v>
      </c>
      <c r="G5" s="413">
        <f>SUM(G6:G11)</f>
        <v>1.0983328705497453</v>
      </c>
      <c r="H5" s="413">
        <f>SUM(H6:H11)</f>
        <v>0.19347867136436944</v>
      </c>
      <c r="I5" s="428" t="s">
        <v>204</v>
      </c>
      <c r="J5" s="428" t="s">
        <v>204</v>
      </c>
      <c r="K5" s="428" t="s">
        <v>204</v>
      </c>
      <c r="L5" s="428" t="s">
        <v>204</v>
      </c>
      <c r="M5" s="413">
        <f>SUM(M6:M11)</f>
        <v>6.9579864794143784E-2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4.4842712896374097E-5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6.7821319088008986E-5</v>
      </c>
      <c r="E6" s="819">
        <f>vkm_GW_PW*SUMIFS(TableVerdeelsleutelVkm[LPG],TableVerdeelsleutelVkm[Voertuigtype],"Lichte voertuigen")*SUMIFS(TableECFTransport[EnergieConsumptieFactor (PJ per km)],TableECFTransport[Index],CONCATENATE($A6,"_LPG_LPG"))</f>
        <v>6.6253218472883354E-4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0.1538309232612507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4.1900630099730968E-2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1.0196768276220295E-2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1.3705004520421441E-6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5.2600098824083709E-2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1.1786376408562931E-6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3.0496396500712701E-3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1.5339619322007815E-5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3.4937979711168936E-5</v>
      </c>
      <c r="E8" s="416">
        <f>vkm_NGW_PW*SUMIFS(TableVerdeelsleutelVkm[LPG],TableVerdeelsleutelVkm[Voertuigtype],"Lichte voertuigen")*SUMIFS(TableECFTransport[EnergieConsumptieFactor (PJ per km)],TableECFTransport[Index],CONCATENATE($A8,"_LPG_LPG"))</f>
        <v>3.2457060957260273E-4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7.024377220465397E-2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2.0801816797302194E-2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4.7070489897134719E-3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1.1927459838603411E-7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5.8816027293858084E-3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1.2381279640765298E-7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3.4100232676428048E-4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1.4607696466199937E-4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2.0166836503567007E-4</v>
      </c>
      <c r="E10" s="416">
        <f>vkm_SW_PW*SUMIFS(TableVerdeelsleutelVkm[LPG],TableVerdeelsleutelVkm[Voertuigtype],"Lichte voertuigen")*SUMIFS(TableECFTransport[EnergieConsumptieFactor (PJ per km)],TableECFTransport[Index],CONCATENATE($A10,"_LPG_LPG"))</f>
        <v>2.4308484955634074E-3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0.51274314132711207</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0.13076759007445798</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3.3716173648739287E-2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8.2829966192954094E-6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0.30303333220325906</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7.3319424410380438E-6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1.7569231902635176E-2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60.008907930584691</v>
      </c>
      <c r="C14" s="21"/>
      <c r="D14" s="21">
        <f t="shared" ref="D14:M14" si="0">((D5)*10^9/3600)+D12</f>
        <v>84.563239954124441</v>
      </c>
      <c r="E14" s="21">
        <f t="shared" si="0"/>
        <v>949.43091385134551</v>
      </c>
      <c r="F14" s="21"/>
      <c r="G14" s="21">
        <f t="shared" si="0"/>
        <v>305092.46404159593</v>
      </c>
      <c r="H14" s="21">
        <f t="shared" si="0"/>
        <v>53744.075378991518</v>
      </c>
      <c r="I14" s="21"/>
      <c r="J14" s="21"/>
      <c r="K14" s="21"/>
      <c r="L14" s="21"/>
      <c r="M14" s="21">
        <f t="shared" si="0"/>
        <v>19327.740220595493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0.21501489979741184</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12.90280932564678</v>
      </c>
      <c r="C18" s="23"/>
      <c r="D18" s="23">
        <f t="shared" ref="D18:M18" si="1">D14*D16</f>
        <v>17.081774470733137</v>
      </c>
      <c r="E18" s="23">
        <f t="shared" si="1"/>
        <v>215.52081744425544</v>
      </c>
      <c r="F18" s="23"/>
      <c r="G18" s="23">
        <f t="shared" si="1"/>
        <v>81459.687899106124</v>
      </c>
      <c r="H18" s="23">
        <f t="shared" si="1"/>
        <v>13382.274769368887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8.5184645011929464E-5</v>
      </c>
      <c r="C50" s="311">
        <f t="shared" ref="C50:P50" si="2">SUM(C51:C52)</f>
        <v>0</v>
      </c>
      <c r="D50" s="311">
        <f t="shared" si="2"/>
        <v>0</v>
      </c>
      <c r="E50" s="311">
        <f t="shared" si="2"/>
        <v>0</v>
      </c>
      <c r="F50" s="311">
        <f t="shared" si="2"/>
        <v>0</v>
      </c>
      <c r="G50" s="311">
        <f t="shared" si="2"/>
        <v>1.6141366545725868E-2</v>
      </c>
      <c r="H50" s="311">
        <f t="shared" si="2"/>
        <v>0</v>
      </c>
      <c r="I50" s="311">
        <f t="shared" si="2"/>
        <v>0</v>
      </c>
      <c r="J50" s="311">
        <f t="shared" si="2"/>
        <v>0</v>
      </c>
      <c r="K50" s="311">
        <f t="shared" si="2"/>
        <v>0</v>
      </c>
      <c r="L50" s="311">
        <f t="shared" si="2"/>
        <v>0</v>
      </c>
      <c r="M50" s="311">
        <f t="shared" si="2"/>
        <v>9.2922677096309752E-4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8.5184645011929464E-5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1.6141366545725868E-2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9.2922677096309752E-4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23.662401392202629</v>
      </c>
      <c r="C54" s="21">
        <f t="shared" ref="C54:P54" si="3">(C50)*10^9/3600</f>
        <v>0</v>
      </c>
      <c r="D54" s="21">
        <f t="shared" si="3"/>
        <v>0</v>
      </c>
      <c r="E54" s="21">
        <f t="shared" si="3"/>
        <v>0</v>
      </c>
      <c r="F54" s="21">
        <f t="shared" si="3"/>
        <v>0</v>
      </c>
      <c r="G54" s="21">
        <f t="shared" si="3"/>
        <v>4483.7129293682965</v>
      </c>
      <c r="H54" s="21">
        <f t="shared" si="3"/>
        <v>0</v>
      </c>
      <c r="I54" s="21">
        <f t="shared" si="3"/>
        <v>0</v>
      </c>
      <c r="J54" s="21">
        <f t="shared" si="3"/>
        <v>0</v>
      </c>
      <c r="K54" s="21">
        <f t="shared" si="3"/>
        <v>0</v>
      </c>
      <c r="L54" s="21">
        <f t="shared" si="3"/>
        <v>0</v>
      </c>
      <c r="M54" s="21">
        <f t="shared" si="3"/>
        <v>258.11854748974935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0.21501489979741184</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5.0877688643105863</v>
      </c>
      <c r="C58" s="23">
        <f t="shared" ref="C58:P58" ca="1" si="4">C54*C56</f>
        <v>0</v>
      </c>
      <c r="D58" s="23">
        <f t="shared" si="4"/>
        <v>0</v>
      </c>
      <c r="E58" s="23">
        <f t="shared" si="4"/>
        <v>0</v>
      </c>
      <c r="F58" s="23">
        <f t="shared" si="4"/>
        <v>0</v>
      </c>
      <c r="G58" s="23">
        <f t="shared" si="4"/>
        <v>1197.1513521413353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5341.540201699414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1368</v>
      </c>
      <c r="C8" s="535">
        <f>B49</f>
        <v>1609.4117647058822</v>
      </c>
      <c r="D8" s="974"/>
      <c r="E8" s="974">
        <f>E49</f>
        <v>0</v>
      </c>
      <c r="F8" s="975"/>
      <c r="G8" s="536"/>
      <c r="H8" s="974">
        <f>I49</f>
        <v>0</v>
      </c>
      <c r="I8" s="974">
        <f>G49+F49</f>
        <v>0</v>
      </c>
      <c r="J8" s="974">
        <f>H49+D49+C49</f>
        <v>0</v>
      </c>
      <c r="K8" s="974"/>
      <c r="L8" s="974"/>
      <c r="M8" s="974"/>
      <c r="N8" s="537"/>
      <c r="O8" s="538">
        <f>C8*$C$12+D8*$D$12+E8*$E$12+F8*$F$12+G8*$G$12+H8*$H$12+I8*$I$12+J8*$J$12</f>
        <v>325.1011764705882</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6709.540201699414</v>
      </c>
      <c r="C10" s="548">
        <f t="shared" ref="C10:L10" si="0">SUM(C8:C9)</f>
        <v>1609.4117647058822</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325.1011764705882</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1954.2857142857144</v>
      </c>
      <c r="C17" s="560">
        <f>B50</f>
        <v>2299.1596638655465</v>
      </c>
      <c r="D17" s="561"/>
      <c r="E17" s="561">
        <f>E50</f>
        <v>0</v>
      </c>
      <c r="F17" s="980"/>
      <c r="G17" s="562"/>
      <c r="H17" s="560">
        <f>I50</f>
        <v>0</v>
      </c>
      <c r="I17" s="561">
        <f>G50+F50</f>
        <v>0</v>
      </c>
      <c r="J17" s="561">
        <f>H50+D50+C50</f>
        <v>0</v>
      </c>
      <c r="K17" s="561"/>
      <c r="L17" s="561"/>
      <c r="M17" s="561"/>
      <c r="N17" s="981"/>
      <c r="O17" s="563">
        <f>C17*$C$22+E17*$E$22+H17*$H$22+I17*$I$22+J17*$J$22+D17*$D$22+F17*$F$22+G17*$G$22+K17*$K$22+L17*$L$22</f>
        <v>464.43025210084039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1954.2857142857144</v>
      </c>
      <c r="C20" s="547">
        <f>SUM(C17:C19)</f>
        <v>2299.1596638655465</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464.43025210084039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23088</v>
      </c>
      <c r="C28" s="725">
        <v>1800</v>
      </c>
      <c r="D28" s="618"/>
      <c r="E28" s="617"/>
      <c r="F28" s="617"/>
      <c r="G28" s="617" t="s">
        <v>904</v>
      </c>
      <c r="H28" s="617" t="s">
        <v>905</v>
      </c>
      <c r="I28" s="617"/>
      <c r="J28" s="724"/>
      <c r="K28" s="724"/>
      <c r="L28" s="617" t="s">
        <v>906</v>
      </c>
      <c r="M28" s="617">
        <v>300</v>
      </c>
      <c r="N28" s="617">
        <v>1350</v>
      </c>
      <c r="O28" s="617">
        <v>1928.5714285714287</v>
      </c>
      <c r="P28" s="617">
        <v>3857.1428571428573</v>
      </c>
      <c r="Q28" s="617">
        <v>0</v>
      </c>
      <c r="R28" s="617">
        <v>0</v>
      </c>
      <c r="S28" s="617">
        <v>0</v>
      </c>
      <c r="T28" s="617">
        <v>0</v>
      </c>
      <c r="U28" s="617">
        <v>0</v>
      </c>
      <c r="V28" s="617">
        <v>0</v>
      </c>
      <c r="W28" s="617">
        <v>0</v>
      </c>
      <c r="X28" s="617"/>
      <c r="Y28" s="617">
        <v>1300</v>
      </c>
      <c r="Z28" s="617" t="s">
        <v>53</v>
      </c>
      <c r="AA28" s="619" t="s">
        <v>149</v>
      </c>
    </row>
    <row r="29" spans="1:27" s="571" customFormat="1" ht="25.5" hidden="1">
      <c r="A29" s="570"/>
      <c r="B29" s="725">
        <v>23088</v>
      </c>
      <c r="C29" s="725">
        <v>1800</v>
      </c>
      <c r="D29" s="618"/>
      <c r="E29" s="617"/>
      <c r="F29" s="617"/>
      <c r="G29" s="617" t="s">
        <v>904</v>
      </c>
      <c r="H29" s="617" t="s">
        <v>905</v>
      </c>
      <c r="I29" s="617"/>
      <c r="J29" s="724"/>
      <c r="K29" s="724"/>
      <c r="L29" s="617" t="s">
        <v>906</v>
      </c>
      <c r="M29" s="617">
        <v>4</v>
      </c>
      <c r="N29" s="617">
        <v>18</v>
      </c>
      <c r="O29" s="617">
        <v>25.714285714285715</v>
      </c>
      <c r="P29" s="617">
        <v>51.428571428571431</v>
      </c>
      <c r="Q29" s="617">
        <v>0</v>
      </c>
      <c r="R29" s="617">
        <v>0</v>
      </c>
      <c r="S29" s="617">
        <v>0</v>
      </c>
      <c r="T29" s="617">
        <v>0</v>
      </c>
      <c r="U29" s="617">
        <v>0</v>
      </c>
      <c r="V29" s="617">
        <v>0</v>
      </c>
      <c r="W29" s="617">
        <v>0</v>
      </c>
      <c r="X29" s="617"/>
      <c r="Y29" s="617">
        <v>10</v>
      </c>
      <c r="Z29" s="617" t="s">
        <v>105</v>
      </c>
      <c r="AA29" s="619" t="s">
        <v>105</v>
      </c>
    </row>
    <row r="30" spans="1:27" s="555" customFormat="1" hidden="1">
      <c r="A30" s="573" t="s">
        <v>269</v>
      </c>
      <c r="B30" s="574"/>
      <c r="C30" s="574"/>
      <c r="D30" s="574"/>
      <c r="E30" s="574"/>
      <c r="F30" s="574"/>
      <c r="G30" s="574"/>
      <c r="H30" s="574"/>
      <c r="I30" s="574"/>
      <c r="J30" s="574"/>
      <c r="K30" s="574"/>
      <c r="L30" s="575"/>
      <c r="M30" s="575">
        <f>SUM(M28:M29)</f>
        <v>304</v>
      </c>
      <c r="N30" s="575">
        <f>SUM(N28:N29)</f>
        <v>1368</v>
      </c>
      <c r="O30" s="575">
        <f>SUM(O28:O29)</f>
        <v>1954.2857142857144</v>
      </c>
      <c r="P30" s="575">
        <f>SUM(P28:P29)</f>
        <v>3908.5714285714289</v>
      </c>
      <c r="Q30" s="575">
        <f>SUM(Q28:Q29)</f>
        <v>0</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300</v>
      </c>
      <c r="N32" s="575">
        <f ca="1">SUMIF($AA$28:AE29,"tertiair",N28:N29)</f>
        <v>1350</v>
      </c>
      <c r="O32" s="575">
        <f ca="1">SUMIF($AA$28:AF29,"tertiair",O28:O29)</f>
        <v>1928.5714285714287</v>
      </c>
      <c r="P32" s="575">
        <f ca="1">SUMIF($AA$28:AG29,"tertiair",P28:P29)</f>
        <v>3857.1428571428573</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4</v>
      </c>
      <c r="N33" s="580">
        <f>SUMIF($AA$28:$AA$29,"landbouw",N28:N29)</f>
        <v>18</v>
      </c>
      <c r="O33" s="580">
        <f>SUMIF($AA$28:$AA$29,"landbouw",O28:O29)</f>
        <v>25.714285714285715</v>
      </c>
      <c r="P33" s="580">
        <f>SUMIF($AA$28:$AA$29,"landbouw",P28:P29)</f>
        <v>51.428571428571431</v>
      </c>
      <c r="Q33" s="580">
        <f>SUMIF($AA$28:$AA$29,"landbouw",Q28:Q29)</f>
        <v>0</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0.41176470588235287</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1609.4117647058822</v>
      </c>
      <c r="C49" s="609">
        <f t="shared" si="2"/>
        <v>0</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2299.1596638655465</v>
      </c>
      <c r="C50" s="612">
        <f t="shared" si="3"/>
        <v>0</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89503.881999999998</v>
      </c>
      <c r="D10" s="943">
        <f ca="1">tertiair!C16</f>
        <v>1928.5714285714287</v>
      </c>
      <c r="E10" s="943">
        <f ca="1">tertiair!D16</f>
        <v>96196.246563932553</v>
      </c>
      <c r="F10" s="943">
        <f>tertiair!E16</f>
        <v>1112.2395305582666</v>
      </c>
      <c r="G10" s="943">
        <f ca="1">tertiair!F16</f>
        <v>16371.834940976614</v>
      </c>
      <c r="H10" s="943">
        <f>tertiair!G16</f>
        <v>0</v>
      </c>
      <c r="I10" s="943">
        <f>tertiair!H16</f>
        <v>0</v>
      </c>
      <c r="J10" s="943">
        <f>tertiair!I16</f>
        <v>0</v>
      </c>
      <c r="K10" s="943">
        <f>tertiair!J16</f>
        <v>0</v>
      </c>
      <c r="L10" s="943">
        <f>tertiair!K16</f>
        <v>0</v>
      </c>
      <c r="M10" s="943">
        <f ca="1">tertiair!L16</f>
        <v>0</v>
      </c>
      <c r="N10" s="943">
        <f>tertiair!M16</f>
        <v>0</v>
      </c>
      <c r="O10" s="943">
        <f ca="1">tertiair!N16</f>
        <v>3413.601768636523</v>
      </c>
      <c r="P10" s="943">
        <f>tertiair!O16</f>
        <v>0</v>
      </c>
      <c r="Q10" s="944">
        <f>tertiair!P16</f>
        <v>76.266666666666666</v>
      </c>
      <c r="R10" s="629">
        <f ca="1">SUM(C10:Q10)</f>
        <v>208602.64289934203</v>
      </c>
      <c r="S10" s="67"/>
    </row>
    <row r="11" spans="1:19" s="438" customFormat="1">
      <c r="A11" s="737" t="s">
        <v>214</v>
      </c>
      <c r="B11" s="742"/>
      <c r="C11" s="943">
        <f>huishoudens!B8</f>
        <v>56006.082505773957</v>
      </c>
      <c r="D11" s="943">
        <f>huishoudens!C8</f>
        <v>0</v>
      </c>
      <c r="E11" s="943">
        <f>huishoudens!D8</f>
        <v>165493.99124240488</v>
      </c>
      <c r="F11" s="943">
        <f>huishoudens!E8</f>
        <v>1435.6464352999328</v>
      </c>
      <c r="G11" s="943">
        <f>huishoudens!F8</f>
        <v>45290.166096376037</v>
      </c>
      <c r="H11" s="943">
        <f>huishoudens!G8</f>
        <v>0</v>
      </c>
      <c r="I11" s="943">
        <f>huishoudens!H8</f>
        <v>0</v>
      </c>
      <c r="J11" s="943">
        <f>huishoudens!I8</f>
        <v>0</v>
      </c>
      <c r="K11" s="943">
        <f>huishoudens!J8</f>
        <v>1056.1649624674892</v>
      </c>
      <c r="L11" s="943">
        <f>huishoudens!K8</f>
        <v>0</v>
      </c>
      <c r="M11" s="943">
        <f>huishoudens!L8</f>
        <v>0</v>
      </c>
      <c r="N11" s="943">
        <f>huishoudens!M8</f>
        <v>0</v>
      </c>
      <c r="O11" s="943">
        <f>huishoudens!N8</f>
        <v>17442.296793985814</v>
      </c>
      <c r="P11" s="943">
        <f>huishoudens!O8</f>
        <v>100.05333333333334</v>
      </c>
      <c r="Q11" s="944">
        <f>huishoudens!P8</f>
        <v>152.53333333333333</v>
      </c>
      <c r="R11" s="629">
        <f>SUM(C11:Q11)</f>
        <v>286976.9347029748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39522.05603</v>
      </c>
      <c r="D13" s="943">
        <f>industrie!C18</f>
        <v>0</v>
      </c>
      <c r="E13" s="943">
        <f>industrie!D18</f>
        <v>12720.736456878916</v>
      </c>
      <c r="F13" s="943">
        <f>industrie!E18</f>
        <v>2003.8018794068716</v>
      </c>
      <c r="G13" s="943">
        <f>industrie!F18</f>
        <v>13632.992032024249</v>
      </c>
      <c r="H13" s="943">
        <f>industrie!G18</f>
        <v>0</v>
      </c>
      <c r="I13" s="943">
        <f>industrie!H18</f>
        <v>0</v>
      </c>
      <c r="J13" s="943">
        <f>industrie!I18</f>
        <v>0</v>
      </c>
      <c r="K13" s="943">
        <f>industrie!J18</f>
        <v>194.24134977681979</v>
      </c>
      <c r="L13" s="943">
        <f>industrie!K18</f>
        <v>0</v>
      </c>
      <c r="M13" s="943">
        <f>industrie!L18</f>
        <v>0</v>
      </c>
      <c r="N13" s="943">
        <f>industrie!M18</f>
        <v>0</v>
      </c>
      <c r="O13" s="943">
        <f>industrie!N18</f>
        <v>3340.3716240194644</v>
      </c>
      <c r="P13" s="943">
        <f>industrie!O18</f>
        <v>0</v>
      </c>
      <c r="Q13" s="944">
        <f>industrie!P18</f>
        <v>0</v>
      </c>
      <c r="R13" s="629">
        <f>SUM(C13:Q13)</f>
        <v>71414.199372106305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185032.02053577398</v>
      </c>
      <c r="D16" s="661">
        <f t="shared" ref="D16:R16" ca="1" si="0">SUM(D9:D15)</f>
        <v>1928.5714285714287</v>
      </c>
      <c r="E16" s="661">
        <f t="shared" ca="1" si="0"/>
        <v>274410.97426321631</v>
      </c>
      <c r="F16" s="661">
        <f t="shared" si="0"/>
        <v>4551.6878452650708</v>
      </c>
      <c r="G16" s="661">
        <f t="shared" ca="1" si="0"/>
        <v>75294.993069376898</v>
      </c>
      <c r="H16" s="661">
        <f t="shared" si="0"/>
        <v>0</v>
      </c>
      <c r="I16" s="661">
        <f t="shared" si="0"/>
        <v>0</v>
      </c>
      <c r="J16" s="661">
        <f t="shared" si="0"/>
        <v>0</v>
      </c>
      <c r="K16" s="661">
        <f t="shared" si="0"/>
        <v>1250.406312244309</v>
      </c>
      <c r="L16" s="661">
        <f t="shared" si="0"/>
        <v>0</v>
      </c>
      <c r="M16" s="661">
        <f t="shared" ca="1" si="0"/>
        <v>0</v>
      </c>
      <c r="N16" s="661">
        <f t="shared" si="0"/>
        <v>0</v>
      </c>
      <c r="O16" s="661">
        <f t="shared" ca="1" si="0"/>
        <v>24196.270186641799</v>
      </c>
      <c r="P16" s="661">
        <f t="shared" si="0"/>
        <v>100.05333333333334</v>
      </c>
      <c r="Q16" s="661">
        <f t="shared" si="0"/>
        <v>228.8</v>
      </c>
      <c r="R16" s="661">
        <f t="shared" ca="1" si="0"/>
        <v>566993.77697442321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23.662401392202629</v>
      </c>
      <c r="D19" s="943">
        <f>transport!C54</f>
        <v>0</v>
      </c>
      <c r="E19" s="943">
        <f>transport!D54</f>
        <v>0</v>
      </c>
      <c r="F19" s="943">
        <f>transport!E54</f>
        <v>0</v>
      </c>
      <c r="G19" s="943">
        <f>transport!F54</f>
        <v>0</v>
      </c>
      <c r="H19" s="943">
        <f>transport!G54</f>
        <v>4483.7129293682965</v>
      </c>
      <c r="I19" s="943">
        <f>transport!H54</f>
        <v>0</v>
      </c>
      <c r="J19" s="943">
        <f>transport!I54</f>
        <v>0</v>
      </c>
      <c r="K19" s="943">
        <f>transport!J54</f>
        <v>0</v>
      </c>
      <c r="L19" s="943">
        <f>transport!K54</f>
        <v>0</v>
      </c>
      <c r="M19" s="943">
        <f>transport!L54</f>
        <v>0</v>
      </c>
      <c r="N19" s="943">
        <f>transport!M54</f>
        <v>258.11854748974935</v>
      </c>
      <c r="O19" s="943">
        <f>transport!N54</f>
        <v>0</v>
      </c>
      <c r="P19" s="943">
        <f>transport!O54</f>
        <v>0</v>
      </c>
      <c r="Q19" s="944">
        <f>transport!P54</f>
        <v>0</v>
      </c>
      <c r="R19" s="629">
        <f>SUM(C19:Q19)</f>
        <v>4765.4938782502486</v>
      </c>
      <c r="S19" s="67"/>
    </row>
    <row r="20" spans="1:19" s="438" customFormat="1">
      <c r="A20" s="737" t="s">
        <v>296</v>
      </c>
      <c r="B20" s="742"/>
      <c r="C20" s="943">
        <f>transport!B14</f>
        <v>60.008907930584691</v>
      </c>
      <c r="D20" s="943">
        <f>transport!C14</f>
        <v>0</v>
      </c>
      <c r="E20" s="943">
        <f>transport!D14</f>
        <v>84.563239954124441</v>
      </c>
      <c r="F20" s="943">
        <f>transport!E14</f>
        <v>949.43091385134551</v>
      </c>
      <c r="G20" s="943">
        <f>transport!F14</f>
        <v>0</v>
      </c>
      <c r="H20" s="943">
        <f>transport!G14</f>
        <v>305092.46404159593</v>
      </c>
      <c r="I20" s="943">
        <f>transport!H14</f>
        <v>53744.075378991518</v>
      </c>
      <c r="J20" s="943">
        <f>transport!I14</f>
        <v>0</v>
      </c>
      <c r="K20" s="943">
        <f>transport!J14</f>
        <v>0</v>
      </c>
      <c r="L20" s="943">
        <f>transport!K14</f>
        <v>0</v>
      </c>
      <c r="M20" s="943">
        <f>transport!L14</f>
        <v>0</v>
      </c>
      <c r="N20" s="943">
        <f>transport!M14</f>
        <v>19327.740220595493</v>
      </c>
      <c r="O20" s="943">
        <f>transport!N14</f>
        <v>0</v>
      </c>
      <c r="P20" s="943">
        <f>transport!O14</f>
        <v>0</v>
      </c>
      <c r="Q20" s="944">
        <f>transport!P14</f>
        <v>0</v>
      </c>
      <c r="R20" s="629">
        <f>SUM(C20:Q20)</f>
        <v>379258.28270291898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83.671309322787323</v>
      </c>
      <c r="D22" s="740">
        <f t="shared" ref="D22:R22" si="1">SUM(D18:D21)</f>
        <v>0</v>
      </c>
      <c r="E22" s="740">
        <f t="shared" si="1"/>
        <v>84.563239954124441</v>
      </c>
      <c r="F22" s="740">
        <f t="shared" si="1"/>
        <v>949.43091385134551</v>
      </c>
      <c r="G22" s="740">
        <f t="shared" si="1"/>
        <v>0</v>
      </c>
      <c r="H22" s="740">
        <f t="shared" si="1"/>
        <v>309576.17697096424</v>
      </c>
      <c r="I22" s="740">
        <f t="shared" si="1"/>
        <v>53744.075378991518</v>
      </c>
      <c r="J22" s="740">
        <f t="shared" si="1"/>
        <v>0</v>
      </c>
      <c r="K22" s="740">
        <f t="shared" si="1"/>
        <v>0</v>
      </c>
      <c r="L22" s="740">
        <f t="shared" si="1"/>
        <v>0</v>
      </c>
      <c r="M22" s="740">
        <f t="shared" si="1"/>
        <v>0</v>
      </c>
      <c r="N22" s="740">
        <f t="shared" si="1"/>
        <v>19585.858768085243</v>
      </c>
      <c r="O22" s="740">
        <f t="shared" si="1"/>
        <v>0</v>
      </c>
      <c r="P22" s="740">
        <f t="shared" si="1"/>
        <v>0</v>
      </c>
      <c r="Q22" s="740">
        <f t="shared" si="1"/>
        <v>0</v>
      </c>
      <c r="R22" s="740">
        <f t="shared" si="1"/>
        <v>384023.77658116922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42.404989999999998</v>
      </c>
      <c r="D24" s="943">
        <f>+landbouw!C8</f>
        <v>25.714285714285715</v>
      </c>
      <c r="E24" s="943">
        <f>+landbouw!D8</f>
        <v>241.21241294028403</v>
      </c>
      <c r="F24" s="943">
        <f>+landbouw!E8</f>
        <v>0.90931307364373393</v>
      </c>
      <c r="G24" s="943">
        <f>+landbouw!F8</f>
        <v>137.54819956261383</v>
      </c>
      <c r="H24" s="943">
        <f>+landbouw!G8</f>
        <v>0</v>
      </c>
      <c r="I24" s="943">
        <f>+landbouw!H8</f>
        <v>0</v>
      </c>
      <c r="J24" s="943">
        <f>+landbouw!I8</f>
        <v>0</v>
      </c>
      <c r="K24" s="943">
        <f>+landbouw!J8</f>
        <v>4.0857431967061908</v>
      </c>
      <c r="L24" s="943">
        <f>+landbouw!K8</f>
        <v>0</v>
      </c>
      <c r="M24" s="943">
        <f>+landbouw!L8</f>
        <v>0</v>
      </c>
      <c r="N24" s="943">
        <f>+landbouw!M8</f>
        <v>0</v>
      </c>
      <c r="O24" s="943">
        <f>+landbouw!N8</f>
        <v>0</v>
      </c>
      <c r="P24" s="943">
        <f>+landbouw!O8</f>
        <v>0</v>
      </c>
      <c r="Q24" s="944">
        <f>+landbouw!P8</f>
        <v>0</v>
      </c>
      <c r="R24" s="629">
        <f>SUM(C24:Q24)</f>
        <v>451.87494448753347</v>
      </c>
      <c r="S24" s="67"/>
    </row>
    <row r="25" spans="1:19" s="438" customFormat="1" ht="15" thickBot="1">
      <c r="A25" s="759" t="s">
        <v>802</v>
      </c>
      <c r="B25" s="946"/>
      <c r="C25" s="947">
        <f>IF(Onbekend_ele_kWh="---",0,Onbekend_ele_kWh)/1000+IF(REST_rest_ele_kWh="---",0,REST_rest_ele_kWh)/1000</f>
        <v>8273.4529999999995</v>
      </c>
      <c r="D25" s="947"/>
      <c r="E25" s="947">
        <f>IF(onbekend_gas_kWh="---",0,onbekend_gas_kWh)/1000+IF(REST_rest_gas_kWh="---",0,REST_rest_gas_kWh)/1000</f>
        <v>11471.8597094137</v>
      </c>
      <c r="F25" s="947"/>
      <c r="G25" s="947"/>
      <c r="H25" s="947"/>
      <c r="I25" s="947"/>
      <c r="J25" s="947"/>
      <c r="K25" s="947"/>
      <c r="L25" s="947"/>
      <c r="M25" s="947"/>
      <c r="N25" s="947"/>
      <c r="O25" s="947"/>
      <c r="P25" s="947"/>
      <c r="Q25" s="948"/>
      <c r="R25" s="629">
        <f>SUM(C25:Q25)</f>
        <v>19745.312709413702</v>
      </c>
      <c r="S25" s="67"/>
    </row>
    <row r="26" spans="1:19" s="438" customFormat="1" ht="15.75" thickBot="1">
      <c r="A26" s="634" t="s">
        <v>803</v>
      </c>
      <c r="B26" s="745"/>
      <c r="C26" s="740">
        <f>SUM(C24:C25)</f>
        <v>8315.8579900000004</v>
      </c>
      <c r="D26" s="740">
        <f t="shared" ref="D26:R26" si="2">SUM(D24:D25)</f>
        <v>25.714285714285715</v>
      </c>
      <c r="E26" s="740">
        <f t="shared" si="2"/>
        <v>11713.072122353984</v>
      </c>
      <c r="F26" s="740">
        <f t="shared" si="2"/>
        <v>0.90931307364373393</v>
      </c>
      <c r="G26" s="740">
        <f t="shared" si="2"/>
        <v>137.54819956261383</v>
      </c>
      <c r="H26" s="740">
        <f t="shared" si="2"/>
        <v>0</v>
      </c>
      <c r="I26" s="740">
        <f t="shared" si="2"/>
        <v>0</v>
      </c>
      <c r="J26" s="740">
        <f t="shared" si="2"/>
        <v>0</v>
      </c>
      <c r="K26" s="740">
        <f t="shared" si="2"/>
        <v>4.0857431967061908</v>
      </c>
      <c r="L26" s="740">
        <f t="shared" si="2"/>
        <v>0</v>
      </c>
      <c r="M26" s="740">
        <f t="shared" si="2"/>
        <v>0</v>
      </c>
      <c r="N26" s="740">
        <f t="shared" si="2"/>
        <v>0</v>
      </c>
      <c r="O26" s="740">
        <f t="shared" si="2"/>
        <v>0</v>
      </c>
      <c r="P26" s="740">
        <f t="shared" si="2"/>
        <v>0</v>
      </c>
      <c r="Q26" s="740">
        <f t="shared" si="2"/>
        <v>0</v>
      </c>
      <c r="R26" s="740">
        <f t="shared" si="2"/>
        <v>20197.187653901234</v>
      </c>
      <c r="S26" s="67"/>
    </row>
    <row r="27" spans="1:19" s="438" customFormat="1" ht="17.25" thickTop="1" thickBot="1">
      <c r="A27" s="635" t="s">
        <v>109</v>
      </c>
      <c r="B27" s="733"/>
      <c r="C27" s="636">
        <f ca="1">C22+C16+C26</f>
        <v>193431.54983509675</v>
      </c>
      <c r="D27" s="636">
        <f t="shared" ref="D27:R27" ca="1" si="3">D22+D16+D26</f>
        <v>1954.2857142857144</v>
      </c>
      <c r="E27" s="636">
        <f t="shared" ca="1" si="3"/>
        <v>286208.60962552443</v>
      </c>
      <c r="F27" s="636">
        <f t="shared" si="3"/>
        <v>5502.0280721900599</v>
      </c>
      <c r="G27" s="636">
        <f t="shared" ca="1" si="3"/>
        <v>75432.541268939516</v>
      </c>
      <c r="H27" s="636">
        <f t="shared" si="3"/>
        <v>309576.17697096424</v>
      </c>
      <c r="I27" s="636">
        <f t="shared" si="3"/>
        <v>53744.075378991518</v>
      </c>
      <c r="J27" s="636">
        <f t="shared" si="3"/>
        <v>0</v>
      </c>
      <c r="K27" s="636">
        <f t="shared" si="3"/>
        <v>1254.4920554410153</v>
      </c>
      <c r="L27" s="636">
        <f t="shared" si="3"/>
        <v>0</v>
      </c>
      <c r="M27" s="636">
        <f t="shared" ca="1" si="3"/>
        <v>0</v>
      </c>
      <c r="N27" s="636">
        <f t="shared" si="3"/>
        <v>19585.858768085243</v>
      </c>
      <c r="O27" s="636">
        <f t="shared" ca="1" si="3"/>
        <v>24196.270186641799</v>
      </c>
      <c r="P27" s="636">
        <f t="shared" si="3"/>
        <v>100.05333333333334</v>
      </c>
      <c r="Q27" s="636">
        <f t="shared" si="3"/>
        <v>228.8</v>
      </c>
      <c r="R27" s="636">
        <f t="shared" ca="1" si="3"/>
        <v>971214.74120949372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19244.668219709372</v>
      </c>
      <c r="D40" s="943">
        <f ca="1">tertiair!C20</f>
        <v>458.31932773109253</v>
      </c>
      <c r="E40" s="943">
        <f ca="1">tertiair!D20</f>
        <v>19431.641805914376</v>
      </c>
      <c r="F40" s="943">
        <f>tertiair!E20</f>
        <v>252.47837343672651</v>
      </c>
      <c r="G40" s="943">
        <f ca="1">tertiair!F20</f>
        <v>4371.2799292407562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43758.387656032326</v>
      </c>
    </row>
    <row r="41" spans="1:18">
      <c r="A41" s="750" t="s">
        <v>214</v>
      </c>
      <c r="B41" s="757"/>
      <c r="C41" s="943">
        <f ca="1">huishoudens!B12</f>
        <v>12042.142218024568</v>
      </c>
      <c r="D41" s="943">
        <f ca="1">huishoudens!C12</f>
        <v>0</v>
      </c>
      <c r="E41" s="943">
        <f>huishoudens!D12</f>
        <v>33429.786230965787</v>
      </c>
      <c r="F41" s="943">
        <f>huishoudens!E12</f>
        <v>325.89174081308477</v>
      </c>
      <c r="G41" s="943">
        <f>huishoudens!F12</f>
        <v>12092.474347732403</v>
      </c>
      <c r="H41" s="943">
        <f>huishoudens!G12</f>
        <v>0</v>
      </c>
      <c r="I41" s="943">
        <f>huishoudens!H12</f>
        <v>0</v>
      </c>
      <c r="J41" s="943">
        <f>huishoudens!I12</f>
        <v>0</v>
      </c>
      <c r="K41" s="943">
        <f>huishoudens!J12</f>
        <v>373.88239671349118</v>
      </c>
      <c r="L41" s="943">
        <f>huishoudens!K12</f>
        <v>0</v>
      </c>
      <c r="M41" s="943">
        <f>huishoudens!L12</f>
        <v>0</v>
      </c>
      <c r="N41" s="943">
        <f>huishoudens!M12</f>
        <v>0</v>
      </c>
      <c r="O41" s="943">
        <f>huishoudens!N12</f>
        <v>0</v>
      </c>
      <c r="P41" s="943">
        <f>huishoudens!O12</f>
        <v>0</v>
      </c>
      <c r="Q41" s="703">
        <f>huishoudens!P12</f>
        <v>0</v>
      </c>
      <c r="R41" s="778">
        <f t="shared" ca="1" si="4"/>
        <v>58264.176934249328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8497.8309170781467</v>
      </c>
      <c r="D43" s="943">
        <f ca="1">industrie!C22</f>
        <v>0</v>
      </c>
      <c r="E43" s="943">
        <f>industrie!D22</f>
        <v>2569.5887642895414</v>
      </c>
      <c r="F43" s="943">
        <f>industrie!E22</f>
        <v>454.86302662535985</v>
      </c>
      <c r="G43" s="943">
        <f>industrie!F22</f>
        <v>3640.0088725504747</v>
      </c>
      <c r="H43" s="943">
        <f>industrie!G22</f>
        <v>0</v>
      </c>
      <c r="I43" s="943">
        <f>industrie!H22</f>
        <v>0</v>
      </c>
      <c r="J43" s="943">
        <f>industrie!I22</f>
        <v>0</v>
      </c>
      <c r="K43" s="943">
        <f>industrie!J22</f>
        <v>68.761437820994203</v>
      </c>
      <c r="L43" s="943">
        <f>industrie!K22</f>
        <v>0</v>
      </c>
      <c r="M43" s="943">
        <f>industrie!L22</f>
        <v>0</v>
      </c>
      <c r="N43" s="943">
        <f>industrie!M22</f>
        <v>0</v>
      </c>
      <c r="O43" s="943">
        <f>industrie!N22</f>
        <v>0</v>
      </c>
      <c r="P43" s="943">
        <f>industrie!O22</f>
        <v>0</v>
      </c>
      <c r="Q43" s="703">
        <f>industrie!P22</f>
        <v>0</v>
      </c>
      <c r="R43" s="777">
        <f t="shared" ca="1" si="4"/>
        <v>15231.053018364517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39784.641354812091</v>
      </c>
      <c r="D46" s="661">
        <f t="shared" ref="D46:Q46" ca="1" si="5">SUM(D39:D45)</f>
        <v>458.31932773109253</v>
      </c>
      <c r="E46" s="661">
        <f t="shared" ca="1" si="5"/>
        <v>55431.016801169702</v>
      </c>
      <c r="F46" s="661">
        <f t="shared" si="5"/>
        <v>1033.2331408751711</v>
      </c>
      <c r="G46" s="661">
        <f t="shared" ca="1" si="5"/>
        <v>20103.763149523635</v>
      </c>
      <c r="H46" s="661">
        <f t="shared" si="5"/>
        <v>0</v>
      </c>
      <c r="I46" s="661">
        <f t="shared" si="5"/>
        <v>0</v>
      </c>
      <c r="J46" s="661">
        <f t="shared" si="5"/>
        <v>0</v>
      </c>
      <c r="K46" s="661">
        <f t="shared" si="5"/>
        <v>442.64383453448539</v>
      </c>
      <c r="L46" s="661">
        <f t="shared" si="5"/>
        <v>0</v>
      </c>
      <c r="M46" s="661">
        <f t="shared" ca="1" si="5"/>
        <v>0</v>
      </c>
      <c r="N46" s="661">
        <f t="shared" si="5"/>
        <v>0</v>
      </c>
      <c r="O46" s="661">
        <f t="shared" ca="1" si="5"/>
        <v>0</v>
      </c>
      <c r="P46" s="661">
        <f t="shared" si="5"/>
        <v>0</v>
      </c>
      <c r="Q46" s="661">
        <f t="shared" si="5"/>
        <v>0</v>
      </c>
      <c r="R46" s="661">
        <f ca="1">SUM(R39:R45)</f>
        <v>117253.61760864618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5.0877688643105863</v>
      </c>
      <c r="D49" s="943">
        <f ca="1">transport!C58</f>
        <v>0</v>
      </c>
      <c r="E49" s="943">
        <f>transport!D58</f>
        <v>0</v>
      </c>
      <c r="F49" s="943">
        <f>transport!E58</f>
        <v>0</v>
      </c>
      <c r="G49" s="943">
        <f>transport!F58</f>
        <v>0</v>
      </c>
      <c r="H49" s="943">
        <f>transport!G58</f>
        <v>1197.1513521413353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1202.239121005646</v>
      </c>
    </row>
    <row r="50" spans="1:18">
      <c r="A50" s="753" t="s">
        <v>296</v>
      </c>
      <c r="B50" s="763"/>
      <c r="C50" s="632">
        <f ca="1">transport!B18</f>
        <v>12.90280932564678</v>
      </c>
      <c r="D50" s="632">
        <f>transport!C18</f>
        <v>0</v>
      </c>
      <c r="E50" s="632">
        <f>transport!D18</f>
        <v>17.081774470733137</v>
      </c>
      <c r="F50" s="632">
        <f>transport!E18</f>
        <v>215.52081744425544</v>
      </c>
      <c r="G50" s="632">
        <f>transport!F18</f>
        <v>0</v>
      </c>
      <c r="H50" s="632">
        <f>transport!G18</f>
        <v>81459.687899106124</v>
      </c>
      <c r="I50" s="632">
        <f>transport!H18</f>
        <v>13382.274769368887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95087.468069715644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17.990578189957368</v>
      </c>
      <c r="D52" s="661">
        <f t="shared" ref="D52:Q52" ca="1" si="6">SUM(D48:D51)</f>
        <v>0</v>
      </c>
      <c r="E52" s="661">
        <f t="shared" si="6"/>
        <v>17.081774470733137</v>
      </c>
      <c r="F52" s="661">
        <f t="shared" si="6"/>
        <v>215.52081744425544</v>
      </c>
      <c r="G52" s="661">
        <f t="shared" si="6"/>
        <v>0</v>
      </c>
      <c r="H52" s="661">
        <f t="shared" si="6"/>
        <v>82656.839251247453</v>
      </c>
      <c r="I52" s="661">
        <f t="shared" si="6"/>
        <v>13382.274769368887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96289.707190721296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9.1177046757602511</v>
      </c>
      <c r="D54" s="632">
        <f ca="1">+landbouw!C12</f>
        <v>6.1109243697478997</v>
      </c>
      <c r="E54" s="632">
        <f>+landbouw!D12</f>
        <v>48.724907413937373</v>
      </c>
      <c r="F54" s="632">
        <f>+landbouw!E12</f>
        <v>0.20641406771712761</v>
      </c>
      <c r="G54" s="632">
        <f>+landbouw!F12</f>
        <v>36.725369283217894</v>
      </c>
      <c r="H54" s="632">
        <f>+landbouw!G12</f>
        <v>0</v>
      </c>
      <c r="I54" s="632">
        <f>+landbouw!H12</f>
        <v>0</v>
      </c>
      <c r="J54" s="632">
        <f>+landbouw!I12</f>
        <v>0</v>
      </c>
      <c r="K54" s="632">
        <f>+landbouw!J12</f>
        <v>1.4463530916339915</v>
      </c>
      <c r="L54" s="632">
        <f>+landbouw!K12</f>
        <v>0</v>
      </c>
      <c r="M54" s="632">
        <f>+landbouw!L12</f>
        <v>0</v>
      </c>
      <c r="N54" s="632">
        <f>+landbouw!M12</f>
        <v>0</v>
      </c>
      <c r="O54" s="632">
        <f>+landbouw!N12</f>
        <v>0</v>
      </c>
      <c r="P54" s="632">
        <f>+landbouw!O12</f>
        <v>0</v>
      </c>
      <c r="Q54" s="633">
        <f>+landbouw!P12</f>
        <v>0</v>
      </c>
      <c r="R54" s="660">
        <f ca="1">SUM(C54:Q54)</f>
        <v>102.33167290201453</v>
      </c>
    </row>
    <row r="55" spans="1:18" ht="15" thickBot="1">
      <c r="A55" s="753" t="s">
        <v>802</v>
      </c>
      <c r="B55" s="763"/>
      <c r="C55" s="632">
        <f ca="1">C25*'EF ele_warmte'!B12</f>
        <v>1778.9156677735962</v>
      </c>
      <c r="D55" s="632"/>
      <c r="E55" s="632">
        <f>E25*EF_CO2_aardgas</f>
        <v>2317.3156613015676</v>
      </c>
      <c r="F55" s="632"/>
      <c r="G55" s="632"/>
      <c r="H55" s="632"/>
      <c r="I55" s="632"/>
      <c r="J55" s="632"/>
      <c r="K55" s="632"/>
      <c r="L55" s="632"/>
      <c r="M55" s="632"/>
      <c r="N55" s="632"/>
      <c r="O55" s="632"/>
      <c r="P55" s="632"/>
      <c r="Q55" s="633"/>
      <c r="R55" s="660">
        <f ca="1">SUM(C55:Q55)</f>
        <v>4096.2313290751636</v>
      </c>
    </row>
    <row r="56" spans="1:18" ht="15.75" thickBot="1">
      <c r="A56" s="751" t="s">
        <v>803</v>
      </c>
      <c r="B56" s="764"/>
      <c r="C56" s="661">
        <f ca="1">SUM(C54:C55)</f>
        <v>1788.0333724493564</v>
      </c>
      <c r="D56" s="661">
        <f t="shared" ref="D56:Q56" ca="1" si="7">SUM(D54:D55)</f>
        <v>6.1109243697478997</v>
      </c>
      <c r="E56" s="661">
        <f t="shared" si="7"/>
        <v>2366.0405687155048</v>
      </c>
      <c r="F56" s="661">
        <f t="shared" si="7"/>
        <v>0.20641406771712761</v>
      </c>
      <c r="G56" s="661">
        <f t="shared" si="7"/>
        <v>36.725369283217894</v>
      </c>
      <c r="H56" s="661">
        <f t="shared" si="7"/>
        <v>0</v>
      </c>
      <c r="I56" s="661">
        <f t="shared" si="7"/>
        <v>0</v>
      </c>
      <c r="J56" s="661">
        <f t="shared" si="7"/>
        <v>0</v>
      </c>
      <c r="K56" s="661">
        <f t="shared" si="7"/>
        <v>1.4463530916339915</v>
      </c>
      <c r="L56" s="661">
        <f t="shared" si="7"/>
        <v>0</v>
      </c>
      <c r="M56" s="661">
        <f t="shared" si="7"/>
        <v>0</v>
      </c>
      <c r="N56" s="661">
        <f t="shared" si="7"/>
        <v>0</v>
      </c>
      <c r="O56" s="661">
        <f t="shared" si="7"/>
        <v>0</v>
      </c>
      <c r="P56" s="661">
        <f t="shared" si="7"/>
        <v>0</v>
      </c>
      <c r="Q56" s="662">
        <f t="shared" si="7"/>
        <v>0</v>
      </c>
      <c r="R56" s="663">
        <f ca="1">SUM(R54:R55)</f>
        <v>4198.5630019771779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41590.665305451403</v>
      </c>
      <c r="D61" s="669">
        <f t="shared" ref="D61:Q61" ca="1" si="8">D46+D52+D56</f>
        <v>464.43025210084045</v>
      </c>
      <c r="E61" s="669">
        <f t="shared" ca="1" si="8"/>
        <v>57814.139144355941</v>
      </c>
      <c r="F61" s="669">
        <f t="shared" si="8"/>
        <v>1248.9603723871437</v>
      </c>
      <c r="G61" s="669">
        <f t="shared" ca="1" si="8"/>
        <v>20140.488518806851</v>
      </c>
      <c r="H61" s="669">
        <f t="shared" si="8"/>
        <v>82656.839251247453</v>
      </c>
      <c r="I61" s="669">
        <f t="shared" si="8"/>
        <v>13382.274769368887</v>
      </c>
      <c r="J61" s="669">
        <f t="shared" si="8"/>
        <v>0</v>
      </c>
      <c r="K61" s="669">
        <f t="shared" si="8"/>
        <v>444.09018762611936</v>
      </c>
      <c r="L61" s="669">
        <f t="shared" si="8"/>
        <v>0</v>
      </c>
      <c r="M61" s="669">
        <f t="shared" ca="1" si="8"/>
        <v>0</v>
      </c>
      <c r="N61" s="669">
        <f t="shared" si="8"/>
        <v>0</v>
      </c>
      <c r="O61" s="669">
        <f t="shared" ca="1" si="8"/>
        <v>0</v>
      </c>
      <c r="P61" s="669">
        <f t="shared" si="8"/>
        <v>0</v>
      </c>
      <c r="Q61" s="669">
        <f t="shared" si="8"/>
        <v>0</v>
      </c>
      <c r="R61" s="669">
        <f ca="1">R46+R52+R56</f>
        <v>217741.88780134462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0.21501489979741184</v>
      </c>
      <c r="D63" s="710">
        <f t="shared" ca="1" si="9"/>
        <v>0.23764705882352946</v>
      </c>
      <c r="E63" s="954">
        <f t="shared" ca="1" si="9"/>
        <v>0.20200000000000001</v>
      </c>
      <c r="F63" s="710">
        <f t="shared" si="9"/>
        <v>0.22700000000000001</v>
      </c>
      <c r="G63" s="710">
        <f t="shared" ca="1" si="9"/>
        <v>0.26700000000000002</v>
      </c>
      <c r="H63" s="710">
        <f t="shared" si="9"/>
        <v>0.26700000000000002</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5341.540201699414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1368</v>
      </c>
      <c r="D76" s="964">
        <f>'lokale energieproductie'!C8</f>
        <v>1609.4117647058822</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325.1011764705882</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5341.540201699414</v>
      </c>
      <c r="C78" s="684">
        <f>SUM(C72:C77)</f>
        <v>1368</v>
      </c>
      <c r="D78" s="685">
        <f t="shared" ref="D78:H78" si="10">SUM(D76:D77)</f>
        <v>1609.4117647058822</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325.1011764705882</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1954.2857142857144</v>
      </c>
      <c r="D87" s="706">
        <f>'lokale energieproductie'!C17</f>
        <v>2299.1596638655465</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464.43025210084039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1954.2857142857144</v>
      </c>
      <c r="D90" s="684">
        <f t="shared" ref="D90:H90" si="12">SUM(D87:D89)</f>
        <v>2299.1596638655465</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464.43025210084039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56006.082505773957</v>
      </c>
      <c r="C4" s="442">
        <f>huishoudens!C8</f>
        <v>0</v>
      </c>
      <c r="D4" s="442">
        <f>huishoudens!D8</f>
        <v>165493.99124240488</v>
      </c>
      <c r="E4" s="442">
        <f>huishoudens!E8</f>
        <v>1435.6464352999328</v>
      </c>
      <c r="F4" s="442">
        <f>huishoudens!F8</f>
        <v>45290.166096376037</v>
      </c>
      <c r="G4" s="442">
        <f>huishoudens!G8</f>
        <v>0</v>
      </c>
      <c r="H4" s="442">
        <f>huishoudens!H8</f>
        <v>0</v>
      </c>
      <c r="I4" s="442">
        <f>huishoudens!I8</f>
        <v>0</v>
      </c>
      <c r="J4" s="442">
        <f>huishoudens!J8</f>
        <v>1056.1649624674892</v>
      </c>
      <c r="K4" s="442">
        <f>huishoudens!K8</f>
        <v>0</v>
      </c>
      <c r="L4" s="442">
        <f>huishoudens!L8</f>
        <v>0</v>
      </c>
      <c r="M4" s="442">
        <f>huishoudens!M8</f>
        <v>0</v>
      </c>
      <c r="N4" s="442">
        <f>huishoudens!N8</f>
        <v>17442.296793985814</v>
      </c>
      <c r="O4" s="442">
        <f>huishoudens!O8</f>
        <v>100.05333333333334</v>
      </c>
      <c r="P4" s="443">
        <f>huishoudens!P8</f>
        <v>152.53333333333333</v>
      </c>
      <c r="Q4" s="444">
        <f>SUM(B4:P4)</f>
        <v>286976.9347029748</v>
      </c>
    </row>
    <row r="5" spans="1:17">
      <c r="A5" s="441" t="s">
        <v>149</v>
      </c>
      <c r="B5" s="442">
        <f ca="1">tertiair!B16</f>
        <v>86890.054999999993</v>
      </c>
      <c r="C5" s="442">
        <f ca="1">tertiair!C16</f>
        <v>1928.5714285714287</v>
      </c>
      <c r="D5" s="442">
        <f ca="1">tertiair!D16</f>
        <v>96196.246563932553</v>
      </c>
      <c r="E5" s="442">
        <f>tertiair!E16</f>
        <v>1112.2395305582666</v>
      </c>
      <c r="F5" s="442">
        <f ca="1">tertiair!F16</f>
        <v>16371.834940976614</v>
      </c>
      <c r="G5" s="442">
        <f>tertiair!G16</f>
        <v>0</v>
      </c>
      <c r="H5" s="442">
        <f>tertiair!H16</f>
        <v>0</v>
      </c>
      <c r="I5" s="442">
        <f>tertiair!I16</f>
        <v>0</v>
      </c>
      <c r="J5" s="442">
        <f>tertiair!J16</f>
        <v>0</v>
      </c>
      <c r="K5" s="442">
        <f>tertiair!K16</f>
        <v>0</v>
      </c>
      <c r="L5" s="442">
        <f ca="1">tertiair!L16</f>
        <v>0</v>
      </c>
      <c r="M5" s="442">
        <f>tertiair!M16</f>
        <v>0</v>
      </c>
      <c r="N5" s="442">
        <f ca="1">tertiair!N16</f>
        <v>3413.601768636523</v>
      </c>
      <c r="O5" s="442">
        <f>tertiair!O16</f>
        <v>0</v>
      </c>
      <c r="P5" s="443">
        <f>tertiair!P16</f>
        <v>76.266666666666666</v>
      </c>
      <c r="Q5" s="441">
        <f t="shared" ref="Q5:Q14" ca="1" si="0">SUM(B5:P5)</f>
        <v>205988.81589934204</v>
      </c>
    </row>
    <row r="6" spans="1:17">
      <c r="A6" s="441" t="s">
        <v>187</v>
      </c>
      <c r="B6" s="442">
        <f>'openbare verlichting'!B8</f>
        <v>2613.8270000000002</v>
      </c>
      <c r="C6" s="442"/>
      <c r="D6" s="442"/>
      <c r="E6" s="442"/>
      <c r="F6" s="442"/>
      <c r="G6" s="442"/>
      <c r="H6" s="442"/>
      <c r="I6" s="442"/>
      <c r="J6" s="442"/>
      <c r="K6" s="442"/>
      <c r="L6" s="442"/>
      <c r="M6" s="442"/>
      <c r="N6" s="442"/>
      <c r="O6" s="442"/>
      <c r="P6" s="443"/>
      <c r="Q6" s="441">
        <f t="shared" si="0"/>
        <v>2613.8270000000002</v>
      </c>
    </row>
    <row r="7" spans="1:17">
      <c r="A7" s="441" t="s">
        <v>105</v>
      </c>
      <c r="B7" s="442">
        <f>landbouw!B8</f>
        <v>42.404989999999998</v>
      </c>
      <c r="C7" s="442">
        <f>landbouw!C8</f>
        <v>25.714285714285715</v>
      </c>
      <c r="D7" s="442">
        <f>landbouw!D8</f>
        <v>241.21241294028403</v>
      </c>
      <c r="E7" s="442">
        <f>landbouw!E8</f>
        <v>0.90931307364373393</v>
      </c>
      <c r="F7" s="442">
        <f>landbouw!F8</f>
        <v>137.54819956261383</v>
      </c>
      <c r="G7" s="442">
        <f>landbouw!G8</f>
        <v>0</v>
      </c>
      <c r="H7" s="442">
        <f>landbouw!H8</f>
        <v>0</v>
      </c>
      <c r="I7" s="442">
        <f>landbouw!I8</f>
        <v>0</v>
      </c>
      <c r="J7" s="442">
        <f>landbouw!J8</f>
        <v>4.0857431967061908</v>
      </c>
      <c r="K7" s="442">
        <f>landbouw!K8</f>
        <v>0</v>
      </c>
      <c r="L7" s="442">
        <f>landbouw!L8</f>
        <v>0</v>
      </c>
      <c r="M7" s="442">
        <f>landbouw!M8</f>
        <v>0</v>
      </c>
      <c r="N7" s="442">
        <f>landbouw!N8</f>
        <v>0</v>
      </c>
      <c r="O7" s="442">
        <f>landbouw!O8</f>
        <v>0</v>
      </c>
      <c r="P7" s="443">
        <f>landbouw!P8</f>
        <v>0</v>
      </c>
      <c r="Q7" s="441">
        <f t="shared" si="0"/>
        <v>451.87494448753347</v>
      </c>
    </row>
    <row r="8" spans="1:17">
      <c r="A8" s="441" t="s">
        <v>612</v>
      </c>
      <c r="B8" s="442">
        <f>industrie!B18</f>
        <v>39522.05603</v>
      </c>
      <c r="C8" s="442">
        <f>industrie!C18</f>
        <v>0</v>
      </c>
      <c r="D8" s="442">
        <f>industrie!D18</f>
        <v>12720.736456878916</v>
      </c>
      <c r="E8" s="442">
        <f>industrie!E18</f>
        <v>2003.8018794068716</v>
      </c>
      <c r="F8" s="442">
        <f>industrie!F18</f>
        <v>13632.992032024249</v>
      </c>
      <c r="G8" s="442">
        <f>industrie!G18</f>
        <v>0</v>
      </c>
      <c r="H8" s="442">
        <f>industrie!H18</f>
        <v>0</v>
      </c>
      <c r="I8" s="442">
        <f>industrie!I18</f>
        <v>0</v>
      </c>
      <c r="J8" s="442">
        <f>industrie!J18</f>
        <v>194.24134977681979</v>
      </c>
      <c r="K8" s="442">
        <f>industrie!K18</f>
        <v>0</v>
      </c>
      <c r="L8" s="442">
        <f>industrie!L18</f>
        <v>0</v>
      </c>
      <c r="M8" s="442">
        <f>industrie!M18</f>
        <v>0</v>
      </c>
      <c r="N8" s="442">
        <f>industrie!N18</f>
        <v>3340.3716240194644</v>
      </c>
      <c r="O8" s="442">
        <f>industrie!O18</f>
        <v>0</v>
      </c>
      <c r="P8" s="443">
        <f>industrie!P18</f>
        <v>0</v>
      </c>
      <c r="Q8" s="441">
        <f t="shared" si="0"/>
        <v>71414.199372106305</v>
      </c>
    </row>
    <row r="9" spans="1:17" s="447" customFormat="1">
      <c r="A9" s="445" t="s">
        <v>556</v>
      </c>
      <c r="B9" s="446">
        <f>transport!B14</f>
        <v>60.008907930584691</v>
      </c>
      <c r="C9" s="446">
        <f>transport!C14</f>
        <v>0</v>
      </c>
      <c r="D9" s="446">
        <f>transport!D14</f>
        <v>84.563239954124441</v>
      </c>
      <c r="E9" s="446">
        <f>transport!E14</f>
        <v>949.43091385134551</v>
      </c>
      <c r="F9" s="446">
        <f>transport!F14</f>
        <v>0</v>
      </c>
      <c r="G9" s="446">
        <f>transport!G14</f>
        <v>305092.46404159593</v>
      </c>
      <c r="H9" s="446">
        <f>transport!H14</f>
        <v>53744.075378991518</v>
      </c>
      <c r="I9" s="446">
        <f>transport!I14</f>
        <v>0</v>
      </c>
      <c r="J9" s="446">
        <f>transport!J14</f>
        <v>0</v>
      </c>
      <c r="K9" s="446">
        <f>transport!K14</f>
        <v>0</v>
      </c>
      <c r="L9" s="446">
        <f>transport!L14</f>
        <v>0</v>
      </c>
      <c r="M9" s="446">
        <f>transport!M14</f>
        <v>19327.740220595493</v>
      </c>
      <c r="N9" s="446">
        <f>transport!N14</f>
        <v>0</v>
      </c>
      <c r="O9" s="446">
        <f>transport!O14</f>
        <v>0</v>
      </c>
      <c r="P9" s="446">
        <f>transport!P14</f>
        <v>0</v>
      </c>
      <c r="Q9" s="445">
        <f>SUM(B9:P9)</f>
        <v>379258.28270291898</v>
      </c>
    </row>
    <row r="10" spans="1:17">
      <c r="A10" s="441" t="s">
        <v>546</v>
      </c>
      <c r="B10" s="442">
        <f>transport!B54</f>
        <v>23.662401392202629</v>
      </c>
      <c r="C10" s="442">
        <f>transport!C54</f>
        <v>0</v>
      </c>
      <c r="D10" s="442">
        <f>transport!D54</f>
        <v>0</v>
      </c>
      <c r="E10" s="442">
        <f>transport!E54</f>
        <v>0</v>
      </c>
      <c r="F10" s="442">
        <f>transport!F54</f>
        <v>0</v>
      </c>
      <c r="G10" s="442">
        <f>transport!G54</f>
        <v>4483.7129293682965</v>
      </c>
      <c r="H10" s="442">
        <f>transport!H54</f>
        <v>0</v>
      </c>
      <c r="I10" s="442">
        <f>transport!I54</f>
        <v>0</v>
      </c>
      <c r="J10" s="442">
        <f>transport!J54</f>
        <v>0</v>
      </c>
      <c r="K10" s="442">
        <f>transport!K54</f>
        <v>0</v>
      </c>
      <c r="L10" s="442">
        <f>transport!L54</f>
        <v>0</v>
      </c>
      <c r="M10" s="442">
        <f>transport!M54</f>
        <v>258.11854748974935</v>
      </c>
      <c r="N10" s="442">
        <f>transport!N54</f>
        <v>0</v>
      </c>
      <c r="O10" s="442">
        <f>transport!O54</f>
        <v>0</v>
      </c>
      <c r="P10" s="443">
        <f>transport!P54</f>
        <v>0</v>
      </c>
      <c r="Q10" s="441">
        <f t="shared" si="0"/>
        <v>4765.4938782502486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8273.4529999999995</v>
      </c>
      <c r="C14" s="449"/>
      <c r="D14" s="449">
        <f>'SEAP template'!E25</f>
        <v>11471.8597094137</v>
      </c>
      <c r="E14" s="449"/>
      <c r="F14" s="449"/>
      <c r="G14" s="449"/>
      <c r="H14" s="449"/>
      <c r="I14" s="449"/>
      <c r="J14" s="449"/>
      <c r="K14" s="449"/>
      <c r="L14" s="449"/>
      <c r="M14" s="449"/>
      <c r="N14" s="449"/>
      <c r="O14" s="449"/>
      <c r="P14" s="450"/>
      <c r="Q14" s="441">
        <f t="shared" si="0"/>
        <v>19745.312709413702</v>
      </c>
    </row>
    <row r="15" spans="1:17" s="451" customFormat="1">
      <c r="A15" s="969" t="s">
        <v>550</v>
      </c>
      <c r="B15" s="909">
        <f ca="1">SUM(B4:B14)</f>
        <v>193431.54983509675</v>
      </c>
      <c r="C15" s="909">
        <f t="shared" ref="C15:Q15" ca="1" si="1">SUM(C4:C14)</f>
        <v>1954.2857142857144</v>
      </c>
      <c r="D15" s="909">
        <f t="shared" ca="1" si="1"/>
        <v>286208.60962552443</v>
      </c>
      <c r="E15" s="909">
        <f t="shared" si="1"/>
        <v>5502.0280721900599</v>
      </c>
      <c r="F15" s="909">
        <f t="shared" ca="1" si="1"/>
        <v>75432.541268939516</v>
      </c>
      <c r="G15" s="909">
        <f t="shared" si="1"/>
        <v>309576.17697096424</v>
      </c>
      <c r="H15" s="909">
        <f t="shared" si="1"/>
        <v>53744.075378991518</v>
      </c>
      <c r="I15" s="909">
        <f t="shared" si="1"/>
        <v>0</v>
      </c>
      <c r="J15" s="909">
        <f t="shared" si="1"/>
        <v>1254.4920554410153</v>
      </c>
      <c r="K15" s="909">
        <f t="shared" si="1"/>
        <v>0</v>
      </c>
      <c r="L15" s="909">
        <f t="shared" ca="1" si="1"/>
        <v>0</v>
      </c>
      <c r="M15" s="909">
        <f t="shared" si="1"/>
        <v>19585.858768085243</v>
      </c>
      <c r="N15" s="909">
        <f t="shared" ca="1" si="1"/>
        <v>24196.270186641799</v>
      </c>
      <c r="O15" s="909">
        <f t="shared" si="1"/>
        <v>100.05333333333334</v>
      </c>
      <c r="P15" s="909">
        <f t="shared" si="1"/>
        <v>228.8</v>
      </c>
      <c r="Q15" s="909">
        <f t="shared" ca="1" si="1"/>
        <v>971214.7412094936</v>
      </c>
    </row>
    <row r="17" spans="1:17">
      <c r="A17" s="452" t="s">
        <v>551</v>
      </c>
      <c r="B17" s="715">
        <f ca="1">huishoudens!B10</f>
        <v>0.21501489979741184</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12042.142218024568</v>
      </c>
      <c r="C22" s="442">
        <f t="shared" ref="C22:C32" ca="1" si="3">C4*$C$17</f>
        <v>0</v>
      </c>
      <c r="D22" s="442">
        <f t="shared" ref="D22:D32" si="4">D4*$D$17</f>
        <v>33429.786230965787</v>
      </c>
      <c r="E22" s="442">
        <f t="shared" ref="E22:E32" si="5">E4*$E$17</f>
        <v>325.89174081308477</v>
      </c>
      <c r="F22" s="442">
        <f t="shared" ref="F22:F32" si="6">F4*$F$17</f>
        <v>12092.474347732403</v>
      </c>
      <c r="G22" s="442">
        <f t="shared" ref="G22:G32" si="7">G4*$G$17</f>
        <v>0</v>
      </c>
      <c r="H22" s="442">
        <f t="shared" ref="H22:H32" si="8">H4*$H$17</f>
        <v>0</v>
      </c>
      <c r="I22" s="442">
        <f t="shared" ref="I22:I32" si="9">I4*$I$17</f>
        <v>0</v>
      </c>
      <c r="J22" s="442">
        <f t="shared" ref="J22:J32" si="10">J4*$J$17</f>
        <v>373.88239671349118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58264.176934249328</v>
      </c>
    </row>
    <row r="23" spans="1:17">
      <c r="A23" s="441" t="s">
        <v>149</v>
      </c>
      <c r="B23" s="442">
        <f t="shared" ca="1" si="2"/>
        <v>18682.656469216603</v>
      </c>
      <c r="C23" s="442">
        <f t="shared" ca="1" si="3"/>
        <v>458.31932773109253</v>
      </c>
      <c r="D23" s="442">
        <f t="shared" ca="1" si="4"/>
        <v>19431.641805914376</v>
      </c>
      <c r="E23" s="442">
        <f t="shared" si="5"/>
        <v>252.47837343672651</v>
      </c>
      <c r="F23" s="442">
        <f t="shared" ca="1" si="6"/>
        <v>4371.2799292407562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43196.375905539549</v>
      </c>
    </row>
    <row r="24" spans="1:17">
      <c r="A24" s="441" t="s">
        <v>187</v>
      </c>
      <c r="B24" s="442">
        <f t="shared" ca="1" si="2"/>
        <v>562.01175049276969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562.01175049276969</v>
      </c>
    </row>
    <row r="25" spans="1:17">
      <c r="A25" s="441" t="s">
        <v>105</v>
      </c>
      <c r="B25" s="442">
        <f t="shared" ca="1" si="2"/>
        <v>9.1177046757602511</v>
      </c>
      <c r="C25" s="442">
        <f t="shared" ca="1" si="3"/>
        <v>6.1109243697478997</v>
      </c>
      <c r="D25" s="442">
        <f t="shared" si="4"/>
        <v>48.724907413937373</v>
      </c>
      <c r="E25" s="442">
        <f t="shared" si="5"/>
        <v>0.20641406771712761</v>
      </c>
      <c r="F25" s="442">
        <f t="shared" si="6"/>
        <v>36.725369283217894</v>
      </c>
      <c r="G25" s="442">
        <f t="shared" si="7"/>
        <v>0</v>
      </c>
      <c r="H25" s="442">
        <f t="shared" si="8"/>
        <v>0</v>
      </c>
      <c r="I25" s="442">
        <f t="shared" si="9"/>
        <v>0</v>
      </c>
      <c r="J25" s="442">
        <f t="shared" si="10"/>
        <v>1.4463530916339915</v>
      </c>
      <c r="K25" s="442">
        <f t="shared" si="11"/>
        <v>0</v>
      </c>
      <c r="L25" s="442">
        <f t="shared" si="12"/>
        <v>0</v>
      </c>
      <c r="M25" s="442">
        <f t="shared" si="13"/>
        <v>0</v>
      </c>
      <c r="N25" s="442">
        <f t="shared" si="14"/>
        <v>0</v>
      </c>
      <c r="O25" s="442">
        <f t="shared" si="15"/>
        <v>0</v>
      </c>
      <c r="P25" s="443">
        <f t="shared" si="16"/>
        <v>0</v>
      </c>
      <c r="Q25" s="441">
        <f t="shared" ca="1" si="17"/>
        <v>102.33167290201453</v>
      </c>
    </row>
    <row r="26" spans="1:17">
      <c r="A26" s="441" t="s">
        <v>612</v>
      </c>
      <c r="B26" s="442">
        <f t="shared" ca="1" si="2"/>
        <v>8497.8309170781467</v>
      </c>
      <c r="C26" s="442">
        <f t="shared" ca="1" si="3"/>
        <v>0</v>
      </c>
      <c r="D26" s="442">
        <f t="shared" si="4"/>
        <v>2569.5887642895414</v>
      </c>
      <c r="E26" s="442">
        <f t="shared" si="5"/>
        <v>454.86302662535985</v>
      </c>
      <c r="F26" s="442">
        <f t="shared" si="6"/>
        <v>3640.0088725504747</v>
      </c>
      <c r="G26" s="442">
        <f t="shared" si="7"/>
        <v>0</v>
      </c>
      <c r="H26" s="442">
        <f t="shared" si="8"/>
        <v>0</v>
      </c>
      <c r="I26" s="442">
        <f t="shared" si="9"/>
        <v>0</v>
      </c>
      <c r="J26" s="442">
        <f t="shared" si="10"/>
        <v>68.761437820994203</v>
      </c>
      <c r="K26" s="442">
        <f t="shared" si="11"/>
        <v>0</v>
      </c>
      <c r="L26" s="442">
        <f t="shared" si="12"/>
        <v>0</v>
      </c>
      <c r="M26" s="442">
        <f t="shared" si="13"/>
        <v>0</v>
      </c>
      <c r="N26" s="442">
        <f t="shared" si="14"/>
        <v>0</v>
      </c>
      <c r="O26" s="442">
        <f t="shared" si="15"/>
        <v>0</v>
      </c>
      <c r="P26" s="443">
        <f t="shared" si="16"/>
        <v>0</v>
      </c>
      <c r="Q26" s="441">
        <f t="shared" ca="1" si="17"/>
        <v>15231.053018364517</v>
      </c>
    </row>
    <row r="27" spans="1:17" s="447" customFormat="1">
      <c r="A27" s="445" t="s">
        <v>556</v>
      </c>
      <c r="B27" s="709">
        <f t="shared" ca="1" si="2"/>
        <v>12.90280932564678</v>
      </c>
      <c r="C27" s="446">
        <f t="shared" ca="1" si="3"/>
        <v>0</v>
      </c>
      <c r="D27" s="446">
        <f t="shared" si="4"/>
        <v>17.081774470733137</v>
      </c>
      <c r="E27" s="446">
        <f t="shared" si="5"/>
        <v>215.52081744425544</v>
      </c>
      <c r="F27" s="446">
        <f t="shared" si="6"/>
        <v>0</v>
      </c>
      <c r="G27" s="446">
        <f t="shared" si="7"/>
        <v>81459.687899106124</v>
      </c>
      <c r="H27" s="446">
        <f t="shared" si="8"/>
        <v>13382.274769368887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95087.468069715644</v>
      </c>
    </row>
    <row r="28" spans="1:17">
      <c r="A28" s="441" t="s">
        <v>546</v>
      </c>
      <c r="B28" s="442">
        <f t="shared" ca="1" si="2"/>
        <v>5.0877688643105863</v>
      </c>
      <c r="C28" s="442">
        <f t="shared" ca="1" si="3"/>
        <v>0</v>
      </c>
      <c r="D28" s="442">
        <f t="shared" si="4"/>
        <v>0</v>
      </c>
      <c r="E28" s="442">
        <f t="shared" si="5"/>
        <v>0</v>
      </c>
      <c r="F28" s="442">
        <f t="shared" si="6"/>
        <v>0</v>
      </c>
      <c r="G28" s="442">
        <f t="shared" si="7"/>
        <v>1197.1513521413353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1202.239121005646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1778.9156677735962</v>
      </c>
      <c r="C32" s="442">
        <f t="shared" ca="1" si="3"/>
        <v>0</v>
      </c>
      <c r="D32" s="442">
        <f t="shared" si="4"/>
        <v>2317.3156613015676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4096.2313290751636</v>
      </c>
    </row>
    <row r="33" spans="1:17" s="451" customFormat="1">
      <c r="A33" s="969" t="s">
        <v>550</v>
      </c>
      <c r="B33" s="909">
        <f ca="1">SUM(B22:B32)</f>
        <v>41590.665305451395</v>
      </c>
      <c r="C33" s="909">
        <f t="shared" ref="C33:Q33" ca="1" si="18">SUM(C22:C32)</f>
        <v>464.43025210084045</v>
      </c>
      <c r="D33" s="909">
        <f t="shared" ca="1" si="18"/>
        <v>57814.139144355941</v>
      </c>
      <c r="E33" s="909">
        <f t="shared" si="18"/>
        <v>1248.9603723871437</v>
      </c>
      <c r="F33" s="909">
        <f t="shared" ca="1" si="18"/>
        <v>20140.488518806851</v>
      </c>
      <c r="G33" s="909">
        <f t="shared" si="18"/>
        <v>82656.839251247453</v>
      </c>
      <c r="H33" s="909">
        <f t="shared" si="18"/>
        <v>13382.274769368887</v>
      </c>
      <c r="I33" s="909">
        <f t="shared" si="18"/>
        <v>0</v>
      </c>
      <c r="J33" s="909">
        <f t="shared" si="18"/>
        <v>444.09018762611936</v>
      </c>
      <c r="K33" s="909">
        <f t="shared" si="18"/>
        <v>0</v>
      </c>
      <c r="L33" s="909">
        <f t="shared" ca="1" si="18"/>
        <v>0</v>
      </c>
      <c r="M33" s="909">
        <f t="shared" si="18"/>
        <v>0</v>
      </c>
      <c r="N33" s="909">
        <f t="shared" ca="1" si="18"/>
        <v>0</v>
      </c>
      <c r="O33" s="909">
        <f t="shared" si="18"/>
        <v>0</v>
      </c>
      <c r="P33" s="909">
        <f t="shared" si="18"/>
        <v>0</v>
      </c>
      <c r="Q33" s="909">
        <f t="shared" ca="1" si="18"/>
        <v>217741.88780134462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5341.540201699414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1368</v>
      </c>
      <c r="D8" s="986">
        <f>'SEAP template'!D76</f>
        <v>1609.4117647058822</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325.1011764705882</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5341.540201699414</v>
      </c>
      <c r="C10" s="990">
        <f>SUM(C4:C9)</f>
        <v>1368</v>
      </c>
      <c r="D10" s="990">
        <f t="shared" ref="D10:H10" si="0">SUM(D8:D9)</f>
        <v>1609.4117647058822</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325.1011764705882</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0.21501489979741184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1954.2857142857144</v>
      </c>
      <c r="D17" s="987">
        <f>'SEAP template'!D87</f>
        <v>2299.1596638655465</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464.43025210084039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1954.2857142857144</v>
      </c>
      <c r="D20" s="990">
        <f t="shared" ref="D20:H20" si="2">SUM(D17:D19)</f>
        <v>2299.1596638655465</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464.43025210084039</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0.21501489979741184</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2022-07-26T11:30:33Z</dcterms:modified>
</cp:coreProperties>
</file>