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80A02444-F44F-42B2-80C6-239BA00DAD5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<sst xmlns="http://schemas.openxmlformats.org/spreadsheetml/2006/main" count="2441" uniqueCount="907">
  <si>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</si>
  <si>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</si>
  <si>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</si>
  <si>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</si>
  <si>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</si>
  <si>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</si>
  <si>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</si>
  <si>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</si>
  <si>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</si>
  <si>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</si>
  <si>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</si>
  <si>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</si>
  <si>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</si>
  <si>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</si>
  <si>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</si>
  <si>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</si>
  <si>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</si>
  <si>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</si>
  <si>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</si>
  <si>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</si>
  <si>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</si>
  <si>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</si>
  <si>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</si>
  <si>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</si>
  <si>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</si>
  <si>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</si>
  <si>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</si>
  <si>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</si>
  <si>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</si>
  <si>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</si>
  <si>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</si>
  <si>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</si>
  <si>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</si>
  <si>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</si>
  <si>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</si>
  <si>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</si>
  <si>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</si>
  <si>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</si>
  <si>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</si>
  <si>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</si>
  <si>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</si>
  <si>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</si>
  <si>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</si>
  <si>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</si>
  <si>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</si>
  <si>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</si>
  <si>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</si>
  <si>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</si>
  <si>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</si>
  <si>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</si>
  <si>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</si>
  <si>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</si>
  <si>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</si>
  <si>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</si>
  <si>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</si>
  <si>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</si>
  <si>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</si>
  <si>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</si>
  <si>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</si>
  <si>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</si>
  <si>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</si>
  <si>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</si>
  <si>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</si>
  <si>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</si>
  <si>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</si>
  <si>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</si>
  <si>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</si>
  <si>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</si>
  <si>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</si>
  <si>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</si>
  <si>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</si>
  <si>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</si>
  <si>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</si>
  <si>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</si>
  <si>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</si>
  <si>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</si>
  <si>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</si>
  <si>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</si>
  <si>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</si>
  <si>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</si>
  <si>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</si>
  <si>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</si>
  <si>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</si>
  <si>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</si>
  <si>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</si>
  <si>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</si>
  <si>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</si>
  <si>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</si>
  <si>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</si>
  <si>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</si>
  <si>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</si>
  <si>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</si>
  <si>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</si>
  <si>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</si>
  <si>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</si>
  <si>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</si>
  <si>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</si>
  <si>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</si>
  <si>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</si>
  <si>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</si>
  <si>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</si>
  <si>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</si>
  <si>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</si>
  <si>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</si>
  <si>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</si>
  <si>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</si>
  <si>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</si>
  <si>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</si>
  <si>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</si>
  <si>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</si>
  <si>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</si>
  <si>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</si>
  <si>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</si>
  <si>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</si>
  <si>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</si>
  <si>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</si>
  <si>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</si>
  <si>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</si>
  <si>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</si>
  <si>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</si>
  <si>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</si>
  <si>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</si>
  <si>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</si>
  <si>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</si>
  <si>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</si>
  <si>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</si>
  <si>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</si>
  <si>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</si>
  <si>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</si>
  <si>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</si>
  <si>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</si>
  <si>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</si>
  <si>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</si>
  <si>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</si>
  <si>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</si>
  <si>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</si>
  <si>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</si>
  <si>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</si>
  <si>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</si>
  <si>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</si>
  <si>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</si>
  <si>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</si>
  <si>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</si>
  <si>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</si>
  <si>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</si>
  <si>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</si>
  <si>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</si>
  <si>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</si>
  <si>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</si>
  <si>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</si>
  <si>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</si>
  <si>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</si>
  <si>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</si>
  <si>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</si>
  <si>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</si>
  <si>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</si>
  <si>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</si>
  <si>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</si>
  <si>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</si>
  <si>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</si>
  <si>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</si>
  <si>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</si>
  <si>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</si>
  <si>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</si>
  <si>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</si>
  <si>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</si>
  <si>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</si>
  <si>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</si>
  <si>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</si>
  <si>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</si>
  <si>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</si>
  <si>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</si>
  <si>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</si>
  <si>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</si>
  <si>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</si>
  <si>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</si>
  <si>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</si>
  <si>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</si>
  <si>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</si>
  <si>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</si>
  <si>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</si>
  <si>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</si>
  <si>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</si>
  <si>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</si>
  <si>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</si>
  <si>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</si>
  <si>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</si>
  <si>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</si>
  <si>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</si>
  <si>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</si>
  <si>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</si>
  <si>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</si>
  <si>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</si>
  <si>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</si>
  <si>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</si>
  <si>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</si>
  <si>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</si>
  <si>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</si>
  <si>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</si>
  <si>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</si>
  <si>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</si>
  <si>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</si>
  <si>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</si>
  <si>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</si>
  <si>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</si>
  <si>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</si>
  <si>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</si>
  <si>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</si>
  <si>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</si>
  <si>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</si>
  <si>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</si>
  <si>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</si>
  <si>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</si>
  <si>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</si>
  <si>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</si>
  <si>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</si>
  <si>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</si>
  <si>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</si>
  <si>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</si>
  <si>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</si>
  <si>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</si>
  <si>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</si>
  <si>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</si>
  <si>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</si>
  <si>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</si>
  <si>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</si>
  <si>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</si>
  <si>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</si>
  <si>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</si>
  <si>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</si>
  <si>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</si>
  <si>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</si>
  <si>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</si>
  <si>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</si>
  <si>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</si>
  <si>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</si>
  <si>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</si>
  <si>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</si>
  <si>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</si>
  <si>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</si>
  <si>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</si>
  <si>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</si>
  <si>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</si>
  <si>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</si>
  <si>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</si>
  <si>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</si>
  <si>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</si>
  <si>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</si>
  <si>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</si>
  <si>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</si>
  <si>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</si>
  <si>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</si>
  <si>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</si>
  <si>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</si>
  <si>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</si>
  <si>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</si>
  <si>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</si>
  <si>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</si>
  <si>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</si>
  <si>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</si>
  <si>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</si>
  <si>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</si>
  <si>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</si>
  <si>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</si>
  <si>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</si>
  <si>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</si>
  <si>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</si>
  <si>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</si>
  <si>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</si>
  <si>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</si>
  <si>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</si>
  <si>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</si>
  <si>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</si>
  <si>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</si>
  <si>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</si>
  <si>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</si>
  <si>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</si>
  <si>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</si>
  <si>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</si>
  <si>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</si>
  <si>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</si>
  <si>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</si>
  <si>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</si>
  <si>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</si>
  <si>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</si>
  <si>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</si>
  <si>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</si>
  <si>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</si>
  <si>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</si>
  <si>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</si>
  <si>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</si>
  <si>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</si>
  <si>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</si>
  <si>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</si>
  <si>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</si>
  <si>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</si>
  <si>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</si>
  <si>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</si>
  <si>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</si>
  <si>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</si>
  <si>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</si>
  <si>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</si>
  <si>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</si>
  <si>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</si>
  <si>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</si>
  <si>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</si>
  <si>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</si>
  <si>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</si>
  <si>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</si>
  <si>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</si>
  <si>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</si>
  <si>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</si>
  <si>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</si>
  <si>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</si>
  <si>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</si>
  <si>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</si>
  <si>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</si>
  <si>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</si>
  <si>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</si>
  <si>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</si>
  <si>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</si>
  <si>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</si>
  <si>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</si>
  <si>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</si>
  <si>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</si>
  <si>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</si>
  <si>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</si>
  <si>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</si>
  <si>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</si>
  <si>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</si>
  <si>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</si>
  <si>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</si>
  <si>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</si>
  <si>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</si>
  <si>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</si>
  <si>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</si>
  <si>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</si>
  <si>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</si>
  <si>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</si>
  <si>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</si>
  <si>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</si>
  <si>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</si>
  <si>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</si>
  <si>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</si>
  <si>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</si>
  <si>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</si>
  <si>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</si>
  <si>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</si>
  <si>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</si>
  <si>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</si>
  <si>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</si>
  <si>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</si>
  <si>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</si>
  <si>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</si>
  <si>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</si>
  <si>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</si>
  <si>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</si>
  <si>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</si>
  <si>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</si>
  <si>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</si>
  <si>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</si>
  <si>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</si>
  <si>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</si>
  <si>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</si>
  <si>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</si>
  <si>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</si>
  <si>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</si>
  <si>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</si>
  <si>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</si>
  <si>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</si>
  <si>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</si>
  <si>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</si>
  <si>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</si>
  <si>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</si>
  <si>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</si>
  <si>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</si>
  <si>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</si>
  <si>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</si>
  <si>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</si>
  <si>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</si>
  <si>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</si>
  <si>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</si>
  <si>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</si>
  <si>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</si>
  <si>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</si>
  <si>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</si>
  <si>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</si>
  <si>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</si>
  <si>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</si>
  <si>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</si>
  <si>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</si>
  <si>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</si>
  <si>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</si>
  <si>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</si>
  <si>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</si>
  <si>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</si>
  <si>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</si>
  <si>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</si>
  <si>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</si>
  <si>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</si>
  <si>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</si>
  <si>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</si>
  <si>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</si>
  <si>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</si>
  <si>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</si>
  <si>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</si>
  <si>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</si>
  <si>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</si>
  <si>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</si>
  <si>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</si>
  <si>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</si>
  <si>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</si>
  <si>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</si>
  <si>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</si>
  <si>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</si>
  <si>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</si>
  <si>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</si>
  <si>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</si>
  <si>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</si>
  <si>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</si>
  <si>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</si>
  <si>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</si>
  <si>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</si>
  <si>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</si>
  <si>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</si>
  <si>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</si>
  <si>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</si>
  <si>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</si>
  <si>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</si>
  <si>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</si>
  <si>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</si>
  <si>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</si>
  <si>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</si>
  <si>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</si>
  <si>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</si>
  <si>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</si>
  <si>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</si>
  <si>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</si>
  <si>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</si>
  <si>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</si>
  <si>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</si>
  <si>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</si>
  <si>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</si>
  <si>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</si>
  <si>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</si>
  <si>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</si>
  <si>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</si>
  <si>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</si>
  <si>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</si>
  <si>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</si>
  <si>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</si>
  <si>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</si>
  <si>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</si>
  <si>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</si>
  <si>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</si>
  <si>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</si>
  <si>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</si>
  <si>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</si>
  <si>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</si>
  <si>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</si>
  <si>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</si>
  <si>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</si>
  <si>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</si>
  <si>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</si>
  <si>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</si>
  <si>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</si>
  <si>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</si>
  <si>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</si>
  <si>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</si>
  <si>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</si>
  <si>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</si>
  <si>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</si>
  <si>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</si>
  <si>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</si>
  <si>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</si>
  <si>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</si>
  <si>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</si>
  <si>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</si>
  <si>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</si>
  <si>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</si>
  <si>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</si>
  <si>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</si>
  <si>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</si>
  <si>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</si>
  <si>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</si>
  <si>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</si>
  <si>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</si>
  <si>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</si>
  <si>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</si>
  <si>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</si>
  <si>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</si>
  <si>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</si>
  <si>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</si>
  <si>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</si>
  <si>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</si>
  <si>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</si>
  <si>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</si>
  <si>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</si>
  <si>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</si>
  <si>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</si>
  <si>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</si>
  <si>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</si>
  <si>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</si>
  <si>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</si>
  <si>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</si>
  <si>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</si>
  <si>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</si>
  <si>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</si>
  <si>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</si>
  <si>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</si>
  <si>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</si>
  <si>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</si>
  <si>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</si>
  <si>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</si>
  <si>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</si>
  <si>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</si>
  <si>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</si>
  <si>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</si>
  <si>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</si>
  <si>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</si>
  <si>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</si>
  <si>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</si>
  <si>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</si>
  <si>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</si>
  <si>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</si>
  <si>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</si>
  <si>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</si>
  <si>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</si>
  <si>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</si>
  <si>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</si>
  <si>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</si>
  <si>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</si>
  <si>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</si>
  <si>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</si>
  <si>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</si>
  <si>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</si>
  <si>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</si>
  <si>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</si>
  <si>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</si>
  <si>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</si>
  <si>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</si>
  <si>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</si>
  <si>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</si>
  <si>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</si>
  <si>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</si>
  <si>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</si>
  <si>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</si>
  <si>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</si>
  <si>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</si>
  <si>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</si>
  <si>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</si>
  <si>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</si>
  <si>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</si>
  <si>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</si>
  <si>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</si>
  <si>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</si>
  <si>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</si>
  <si>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</si>
  <si>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</si>
  <si>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</si>
  <si>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</si>
  <si>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</si>
  <si>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</si>
  <si>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</si>
  <si>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</si>
  <si>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</si>
  <si>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</si>
  <si>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</si>
  <si>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</si>
  <si>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</si>
  <si>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</si>
  <si>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</si>
  <si>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</si>
  <si>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</si>
  <si>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</si>
  <si>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</si>
  <si>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</si>
  <si>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</si>
  <si>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</si>
  <si>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</si>
  <si>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</si>
  <si>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</si>
  <si>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</si>
  <si>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</si>
  <si>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</si>
  <si>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</si>
  <si>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</si>
  <si>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</si>
  <si>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</si>
  <si>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</si>
  <si>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</si>
  <si>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</si>
  <si>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</si>
  <si>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</si>
  <si>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</si>
  <si>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</si>
  <si>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</si>
  <si>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</si>
  <si>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</si>
  <si>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</si>
  <si>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</si>
  <si>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</si>
  <si>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</si>
  <si>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</si>
  <si>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</si>
  <si>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</si>
  <si>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</si>
  <si>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</si>
  <si>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</si>
  <si>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</si>
  <si>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</si>
  <si>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</si>
  <si>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</si>
  <si>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</si>
  <si>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</si>
  <si>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</si>
  <si>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</si>
  <si>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</si>
  <si>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</si>
  <si>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</si>
  <si>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</si>
  <si>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</si>
  <si>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</si>
  <si>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</si>
  <si>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</si>
  <si>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</si>
  <si>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</si>
  <si>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</si>
  <si>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</si>
  <si>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</si>
  <si>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</si>
  <si>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</si>
  <si>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</si>
  <si>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</si>
  <si>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</si>
  <si>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</si>
  <si>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</si>
  <si>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</si>
  <si>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</si>
  <si>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</si>
  <si>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</si>
  <si>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</si>
  <si>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</si>
  <si>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</si>
  <si>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</si>
  <si>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</si>
  <si>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</si>
  <si>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</si>
  <si>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</si>
  <si>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</si>
  <si>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</si>
  <si>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</si>
  <si>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</si>
  <si>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</si>
  <si>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</si>
  <si>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</si>
  <si>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</si>
  <si>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</si>
  <si>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</si>
  <si>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</si>
  <si>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</si>
  <si>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</si>
  <si>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</si>
  <si>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</si>
  <si>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</si>
  <si>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</si>
  <si>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</si>
  <si>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</si>
  <si>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</si>
  <si>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</si>
  <si>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</si>
  <si>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</si>
  <si>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</si>
  <si>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</si>
  <si>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</si>
  <si>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</si>
  <si>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</si>
  <si>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</si>
  <si>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</si>
  <si>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</si>
  <si>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</si>
  <si>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</si>
  <si>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</si>
  <si>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</si>
  <si>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</si>
  <si>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</si>
  <si>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</si>
  <si>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</si>
  <si>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</si>
  <si>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</si>
  <si>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</si>
  <si>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</si>
  <si>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</si>
  <si>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</si>
  <si>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</si>
  <si>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</si>
  <si>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</si>
  <si>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</si>
  <si>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</si>
  <si>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</si>
  <si>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</si>
  <si>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</si>
  <si>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</si>
  <si>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</si>
  <si>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</si>
  <si>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</si>
  <si>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</si>
  <si>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</si>
  <si>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</si>
  <si>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</si>
  <si>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</si>
  <si>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</si>
  <si>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</si>
  <si>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</si>
  <si>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</si>
  <si>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</si>
  <si>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</si>
  <si>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</si>
  <si>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</si>
  <si>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</si>
  <si>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</si>
  <si>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</si>
  <si>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</si>
  <si>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</si>
  <si>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</si>
  <si>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</si>
  <si>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</si>
  <si>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</si>
  <si>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</si>
  <si>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</si>
  <si>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</si>
  <si>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</si>
  <si>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</si>
  <si>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</si>
  <si>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</si>
  <si>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</si>
  <si>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</si>
  <si>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</si>
  <si>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</si>
  <si>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</si>
  <si>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</si>
  <si>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</si>
  <si>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</si>
  <si>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</si>
  <si>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</si>
  <si>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</si>
  <si>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</si>
  <si>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</si>
  <si>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</si>
  <si>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</si>
  <si>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</si>
  <si>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</si>
  <si>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</si>
  <si>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</si>
  <si>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</si>
  <si>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</si>
  <si>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</si>
  <si>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</si>
  <si>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</si>
  <si>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</si>
  <si>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</si>
  <si>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</si>
  <si>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</si>
  <si>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</si>
  <si>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</si>
  <si>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</si>
  <si>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</si>
  <si>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</si>
  <si>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</si>
  <si>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</si>
  <si>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</si>
  <si>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</si>
  <si>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</si>
  <si>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</si>
  <si>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</si>
  <si>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</si>
  <si>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</si>
  <si>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</si>
  <si>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</si>
  <si>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</si>
  <si>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</si>
  <si>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</si>
  <si>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</si>
  <si>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</si>
  <si>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</si>
  <si>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</si>
  <si>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</si>
  <si>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</si>
  <si>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</si>
  <si>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</si>
  <si>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</si>
  <si>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</si>
  <si>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</si>
  <si>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</si>
  <si>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</si>
  <si>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</si>
  <si>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</si>
  <si>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</si>
  <si>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</si>
  <si>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</si>
  <si>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</si>
  <si>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</si>
  <si>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</si>
  <si>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</si>
  <si>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</si>
  <si>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</si>
  <si>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</si>
  <si>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</si>
  <si>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</si>
  <si>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</si>
  <si>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</si>
  <si>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</si>
  <si>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</si>
  <si>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</si>
  <si>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</si>
  <si>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</si>
  <si>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</si>
  <si>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</si>
  <si>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</si>
  <si>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</si>
  <si>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</si>
  <si>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</si>
  <si>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</si>
  <si>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</si>
  <si>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</si>
  <si>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</si>
  <si>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</si>
  <si>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</si>
  <si>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</si>
  <si>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</si>
  <si>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</si>
  <si>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</si>
  <si>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</si>
  <si>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</si>
  <si>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</si>
  <si>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</si>
  <si>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</si>
  <si>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</si>
  <si>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</si>
  <si>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</si>
  <si>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</si>
  <si>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</si>
  <si>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</si>
  <si>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</si>
  <si>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</si>
  <si>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</si>
  <si>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</si>
  <si>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</si>
  <si>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</si>
  <si>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</si>
  <si>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</si>
  <si>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</si>
  <si>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</si>
  <si>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</si>
  <si>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</si>
  <si>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</si>
  <si>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</si>
  <si>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</si>
  <si>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</si>
  <si>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</si>
  <si>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</si>
  <si>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</si>
  <si>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</si>
  <si>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</si>
  <si>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</si>
  <si>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</si>
  <si>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</si>
  <si>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</si>
  <si>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</si>
  <si>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</si>
  <si>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</si>
  <si>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</si>
  <si>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</si>
  <si>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</si>
  <si>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</si>
  <si>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</si>
  <si>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</si>
  <si>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</si>
  <si>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</si>
  <si>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</si>
  <si>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</si>
  <si>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</si>
  <si>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</si>
  <si>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</si>
  <si>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</si>
  <si>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</si>
  <si>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</si>
  <si>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</si>
  <si>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</si>
  <si>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</si>
  <si>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</si>
  <si>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</si>
  <si>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</si>
  <si>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</si>
  <si>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</si>
  <si>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</si>
  <si>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</si>
  <si>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</si>
  <si>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</si>
  <si>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13012</t>
  </si>
  <si>
    <t>HERENTHOUT</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</si>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</sst>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38190946-065D-42C7-9AA0-E5BCE1ED06B4}"/>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75518.808988845223</c:v>
                </c:pt>
                <c:pt idx="1">
                  <c:v>21913.271364917906</c:v>
                </c:pt>
                <c:pt idx="2">
                  <c:v>439.327</c:v>
                </c:pt>
                <c:pt idx="3">
                  <c:v>17741.601135690526</c:v>
                </c:pt>
                <c:pt idx="4">
                  <c:v>8677.4123107994401</c:v>
                </c:pt>
                <c:pt idx="5">
                  <c:v>41306.669069304735</c:v>
                </c:pt>
                <c:pt idx="6">
                  <c:v>468.7201878191334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75518.808988845223</c:v>
                </c:pt>
                <c:pt idx="1">
                  <c:v>21913.271364917906</c:v>
                </c:pt>
                <c:pt idx="2">
                  <c:v>439.327</c:v>
                </c:pt>
                <c:pt idx="3">
                  <c:v>17741.601135690526</c:v>
                </c:pt>
                <c:pt idx="4">
                  <c:v>8677.4123107994401</c:v>
                </c:pt>
                <c:pt idx="5">
                  <c:v>41306.669069304735</c:v>
                </c:pt>
                <c:pt idx="6">
                  <c:v>468.7201878191334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15573.946283879337</c:v>
                </c:pt>
                <c:pt idx="2">
                  <c:v>4511.1151534344235</c:v>
                </c:pt>
                <c:pt idx="3">
                  <c:v>92.551126293051027</c:v>
                </c:pt>
                <c:pt idx="4">
                  <c:v>4274.2581887843307</c:v>
                </c:pt>
                <c:pt idx="5">
                  <c:v>1842.4544149837889</c:v>
                </c:pt>
                <c:pt idx="6">
                  <c:v>10342.514847605018</c:v>
                </c:pt>
                <c:pt idx="7">
                  <c:v>118.23863879211238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15573.946283879337</c:v>
                </c:pt>
                <c:pt idx="2">
                  <c:v>4511.1151534344235</c:v>
                </c:pt>
                <c:pt idx="3">
                  <c:v>92.551126293051027</c:v>
                </c:pt>
                <c:pt idx="4">
                  <c:v>4274.2581887843307</c:v>
                </c:pt>
                <c:pt idx="5">
                  <c:v>1842.4544149837889</c:v>
                </c:pt>
                <c:pt idx="6">
                  <c:v>10342.514847605018</c:v>
                </c:pt>
                <c:pt idx="7">
                  <c:v>118.23863879211238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13012</v>
      </c>
      <c r="B6" s="381"/>
      <c r="C6" s="382"/>
    </row>
    <row r="7" spans="1:7" s="379" customFormat="1" ht="15.75" customHeight="1">
      <c r="A7" s="383" t="str">
        <f>txtMunicipality</f>
        <v>HERENTHOUT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0.21066569159885695</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0.21066569159885695</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3658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1203</v>
      </c>
      <c r="C14" s="322"/>
      <c r="D14" s="322"/>
      <c r="E14" s="322"/>
      <c r="F14" s="322"/>
    </row>
    <row r="15" spans="1:6">
      <c r="A15" s="1261" t="s">
        <v>177</v>
      </c>
      <c r="B15" s="1262">
        <v>17</v>
      </c>
      <c r="C15" s="322"/>
      <c r="D15" s="322"/>
      <c r="E15" s="322"/>
      <c r="F15" s="322"/>
    </row>
    <row r="16" spans="1:6">
      <c r="A16" s="1261" t="s">
        <v>6</v>
      </c>
      <c r="B16" s="1262">
        <v>970</v>
      </c>
      <c r="C16" s="322"/>
      <c r="D16" s="322"/>
      <c r="E16" s="322"/>
      <c r="F16" s="322"/>
    </row>
    <row r="17" spans="1:6">
      <c r="A17" s="1261" t="s">
        <v>7</v>
      </c>
      <c r="B17" s="1262">
        <v>57</v>
      </c>
      <c r="C17" s="322"/>
      <c r="D17" s="322"/>
      <c r="E17" s="322"/>
      <c r="F17" s="322"/>
    </row>
    <row r="18" spans="1:6">
      <c r="A18" s="1261" t="s">
        <v>8</v>
      </c>
      <c r="B18" s="1262">
        <v>551</v>
      </c>
      <c r="C18" s="322"/>
      <c r="D18" s="322"/>
      <c r="E18" s="322"/>
      <c r="F18" s="322"/>
    </row>
    <row r="19" spans="1:6">
      <c r="A19" s="1261" t="s">
        <v>9</v>
      </c>
      <c r="B19" s="1262">
        <v>555</v>
      </c>
      <c r="C19" s="322"/>
      <c r="D19" s="322"/>
      <c r="E19" s="322"/>
      <c r="F19" s="322"/>
    </row>
    <row r="20" spans="1:6">
      <c r="A20" s="1261" t="s">
        <v>10</v>
      </c>
      <c r="B20" s="1262">
        <v>287</v>
      </c>
      <c r="C20" s="322"/>
      <c r="D20" s="322"/>
      <c r="E20" s="322"/>
      <c r="F20" s="322"/>
    </row>
    <row r="21" spans="1:6">
      <c r="A21" s="1261" t="s">
        <v>11</v>
      </c>
      <c r="B21" s="1262">
        <v>2834</v>
      </c>
      <c r="C21" s="322"/>
      <c r="D21" s="322"/>
      <c r="E21" s="322"/>
      <c r="F21" s="322"/>
    </row>
    <row r="22" spans="1:6">
      <c r="A22" s="1261" t="s">
        <v>12</v>
      </c>
      <c r="B22" s="1262">
        <v>7270</v>
      </c>
      <c r="C22" s="322"/>
      <c r="D22" s="322"/>
      <c r="E22" s="322"/>
      <c r="F22" s="322"/>
    </row>
    <row r="23" spans="1:6">
      <c r="A23" s="1261" t="s">
        <v>13</v>
      </c>
      <c r="B23" s="1262">
        <v>159</v>
      </c>
      <c r="C23" s="322"/>
      <c r="D23" s="322"/>
      <c r="E23" s="322"/>
      <c r="F23" s="322"/>
    </row>
    <row r="24" spans="1:6">
      <c r="A24" s="1261" t="s">
        <v>14</v>
      </c>
      <c r="B24" s="1262">
        <v>10</v>
      </c>
      <c r="C24" s="322"/>
      <c r="D24" s="322"/>
      <c r="E24" s="322"/>
      <c r="F24" s="322"/>
    </row>
    <row r="25" spans="1:6">
      <c r="A25" s="1261" t="s">
        <v>15</v>
      </c>
      <c r="B25" s="1262">
        <v>884</v>
      </c>
      <c r="C25" s="322"/>
      <c r="D25" s="322"/>
      <c r="E25" s="322"/>
      <c r="F25" s="322"/>
    </row>
    <row r="26" spans="1:6">
      <c r="A26" s="1261" t="s">
        <v>16</v>
      </c>
      <c r="B26" s="1262">
        <v>50</v>
      </c>
      <c r="C26" s="322"/>
      <c r="D26" s="322"/>
      <c r="E26" s="322"/>
      <c r="F26" s="322"/>
    </row>
    <row r="27" spans="1:6">
      <c r="A27" s="1261" t="s">
        <v>17</v>
      </c>
      <c r="B27" s="1262">
        <v>10</v>
      </c>
      <c r="C27" s="322"/>
      <c r="D27" s="322"/>
      <c r="E27" s="322"/>
      <c r="F27" s="322"/>
    </row>
    <row r="28" spans="1:6">
      <c r="A28" s="1261" t="s">
        <v>18</v>
      </c>
      <c r="B28" s="1263">
        <v>3</v>
      </c>
      <c r="C28" s="322"/>
      <c r="D28" s="322"/>
      <c r="E28" s="322"/>
      <c r="F28" s="322"/>
    </row>
    <row r="29" spans="1:6">
      <c r="A29" s="1261" t="s">
        <v>901</v>
      </c>
      <c r="B29" s="1263">
        <v>156</v>
      </c>
      <c r="C29" s="322"/>
      <c r="D29" s="322"/>
      <c r="E29" s="322"/>
      <c r="F29" s="322"/>
    </row>
    <row r="30" spans="1:6">
      <c r="A30" s="1256" t="s">
        <v>902</v>
      </c>
      <c r="B30" s="1264">
        <v>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2</v>
      </c>
      <c r="D38" s="1262">
        <v>115339.715355327</v>
      </c>
      <c r="E38" s="1262">
        <v>2</v>
      </c>
      <c r="F38" s="1262">
        <v>49139.26</v>
      </c>
    </row>
    <row r="39" spans="1:6">
      <c r="A39" s="1261" t="s">
        <v>29</v>
      </c>
      <c r="B39" s="1261" t="s">
        <v>30</v>
      </c>
      <c r="C39" s="1262">
        <v>2791</v>
      </c>
      <c r="D39" s="1262">
        <v>43980498.096240804</v>
      </c>
      <c r="E39" s="1262">
        <v>3572</v>
      </c>
      <c r="F39" s="1262">
        <v>13131046</v>
      </c>
    </row>
    <row r="40" spans="1:6">
      <c r="A40" s="1261" t="s">
        <v>29</v>
      </c>
      <c r="B40" s="1261" t="s">
        <v>28</v>
      </c>
      <c r="C40" s="1262">
        <v>0</v>
      </c>
      <c r="D40" s="1262">
        <v>0</v>
      </c>
      <c r="E40" s="1262">
        <v>0</v>
      </c>
      <c r="F40" s="1262">
        <v>0</v>
      </c>
    </row>
    <row r="41" spans="1:6">
      <c r="A41" s="1261" t="s">
        <v>31</v>
      </c>
      <c r="B41" s="1261" t="s">
        <v>32</v>
      </c>
      <c r="C41" s="1262">
        <v>20</v>
      </c>
      <c r="D41" s="1262">
        <v>476316.299975431</v>
      </c>
      <c r="E41" s="1262">
        <v>56</v>
      </c>
      <c r="F41" s="1262">
        <v>617188.80000000005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4</v>
      </c>
      <c r="F44" s="1262">
        <v>13057.94</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28</v>
      </c>
      <c r="D48" s="1262">
        <v>1319610.7094600101</v>
      </c>
      <c r="E48" s="1262">
        <v>25</v>
      </c>
      <c r="F48" s="1262">
        <v>3449240</v>
      </c>
    </row>
    <row r="49" spans="1:6">
      <c r="A49" s="1261" t="s">
        <v>31</v>
      </c>
      <c r="B49" s="1261" t="s">
        <v>39</v>
      </c>
      <c r="C49" s="1262">
        <v>0</v>
      </c>
      <c r="D49" s="1262">
        <v>0</v>
      </c>
      <c r="E49" s="1262">
        <v>0</v>
      </c>
      <c r="F49" s="1262">
        <v>0</v>
      </c>
    </row>
    <row r="50" spans="1:6">
      <c r="A50" s="1261" t="s">
        <v>31</v>
      </c>
      <c r="B50" s="1261" t="s">
        <v>40</v>
      </c>
      <c r="C50" s="1262">
        <v>5</v>
      </c>
      <c r="D50" s="1262">
        <v>96044.881096466095</v>
      </c>
      <c r="E50" s="1262">
        <v>5</v>
      </c>
      <c r="F50" s="1262">
        <v>294671</v>
      </c>
    </row>
    <row r="51" spans="1:6">
      <c r="A51" s="1261" t="s">
        <v>41</v>
      </c>
      <c r="B51" s="1261" t="s">
        <v>42</v>
      </c>
      <c r="C51" s="1262">
        <v>3</v>
      </c>
      <c r="D51" s="1262">
        <v>80912.855861620803</v>
      </c>
      <c r="E51" s="1262">
        <v>31</v>
      </c>
      <c r="F51" s="1262">
        <v>798507.6</v>
      </c>
    </row>
    <row r="52" spans="1:6">
      <c r="A52" s="1261" t="s">
        <v>41</v>
      </c>
      <c r="B52" s="1261" t="s">
        <v>28</v>
      </c>
      <c r="C52" s="1262">
        <v>3</v>
      </c>
      <c r="D52" s="1262">
        <v>29225404.0718854</v>
      </c>
      <c r="E52" s="1262">
        <v>9</v>
      </c>
      <c r="F52" s="1262">
        <v>176953.1</v>
      </c>
    </row>
    <row r="53" spans="1:6">
      <c r="A53" s="1261" t="s">
        <v>43</v>
      </c>
      <c r="B53" s="1261" t="s">
        <v>44</v>
      </c>
      <c r="C53" s="1262">
        <v>52</v>
      </c>
      <c r="D53" s="1262">
        <v>889365.79366950504</v>
      </c>
      <c r="E53" s="1262">
        <v>121</v>
      </c>
      <c r="F53" s="1262">
        <v>464762.3</v>
      </c>
    </row>
    <row r="54" spans="1:6">
      <c r="A54" s="1261" t="s">
        <v>45</v>
      </c>
      <c r="B54" s="1261" t="s">
        <v>46</v>
      </c>
      <c r="C54" s="1262">
        <v>0</v>
      </c>
      <c r="D54" s="1262">
        <v>0</v>
      </c>
      <c r="E54" s="1262">
        <v>1</v>
      </c>
      <c r="F54" s="1262">
        <v>439327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31</v>
      </c>
      <c r="D57" s="1262">
        <v>2395437.1365575599</v>
      </c>
      <c r="E57" s="1262">
        <v>56</v>
      </c>
      <c r="F57" s="1262">
        <v>890640.8</v>
      </c>
    </row>
    <row r="58" spans="1:6">
      <c r="A58" s="1261" t="s">
        <v>48</v>
      </c>
      <c r="B58" s="1261" t="s">
        <v>50</v>
      </c>
      <c r="C58" s="1262">
        <v>10</v>
      </c>
      <c r="D58" s="1262">
        <v>363503.81010142103</v>
      </c>
      <c r="E58" s="1262">
        <v>9</v>
      </c>
      <c r="F58" s="1262">
        <v>51612.61</v>
      </c>
    </row>
    <row r="59" spans="1:6">
      <c r="A59" s="1261" t="s">
        <v>48</v>
      </c>
      <c r="B59" s="1261" t="s">
        <v>51</v>
      </c>
      <c r="C59" s="1262">
        <v>35</v>
      </c>
      <c r="D59" s="1262">
        <v>1305713.79194524</v>
      </c>
      <c r="E59" s="1262">
        <v>73</v>
      </c>
      <c r="F59" s="1262">
        <v>2985852</v>
      </c>
    </row>
    <row r="60" spans="1:6">
      <c r="A60" s="1261" t="s">
        <v>48</v>
      </c>
      <c r="B60" s="1261" t="s">
        <v>52</v>
      </c>
      <c r="C60" s="1262">
        <v>27</v>
      </c>
      <c r="D60" s="1262">
        <v>935640.42899716506</v>
      </c>
      <c r="E60" s="1262">
        <v>36</v>
      </c>
      <c r="F60" s="1262">
        <v>822663.7</v>
      </c>
    </row>
    <row r="61" spans="1:6">
      <c r="A61" s="1261" t="s">
        <v>48</v>
      </c>
      <c r="B61" s="1261" t="s">
        <v>53</v>
      </c>
      <c r="C61" s="1262">
        <v>56</v>
      </c>
      <c r="D61" s="1262">
        <v>4385291.4396190196</v>
      </c>
      <c r="E61" s="1262">
        <v>105</v>
      </c>
      <c r="F61" s="1262">
        <v>1786156</v>
      </c>
    </row>
    <row r="62" spans="1:6">
      <c r="A62" s="1261" t="s">
        <v>48</v>
      </c>
      <c r="B62" s="1261" t="s">
        <v>54</v>
      </c>
      <c r="C62" s="1262">
        <v>0</v>
      </c>
      <c r="D62" s="1262">
        <v>0</v>
      </c>
      <c r="E62" s="1262">
        <v>0</v>
      </c>
      <c r="F62" s="1262">
        <v>0</v>
      </c>
    </row>
    <row r="63" spans="1:6">
      <c r="A63" s="1261" t="s">
        <v>48</v>
      </c>
      <c r="B63" s="1261" t="s">
        <v>28</v>
      </c>
      <c r="C63" s="1262">
        <v>70</v>
      </c>
      <c r="D63" s="1262">
        <v>2233479.87855398</v>
      </c>
      <c r="E63" s="1262">
        <v>94</v>
      </c>
      <c r="F63" s="1262">
        <v>2201862</v>
      </c>
    </row>
    <row r="64" spans="1:6">
      <c r="A64" s="1261" t="s">
        <v>55</v>
      </c>
      <c r="B64" s="1261" t="s">
        <v>56</v>
      </c>
      <c r="C64" s="1262">
        <v>0</v>
      </c>
      <c r="D64" s="1262">
        <v>0</v>
      </c>
      <c r="E64" s="1262">
        <v>0</v>
      </c>
      <c r="F64" s="1262">
        <v>0</v>
      </c>
    </row>
    <row r="65" spans="1:6">
      <c r="A65" s="1261" t="s">
        <v>55</v>
      </c>
      <c r="B65" s="1261" t="s">
        <v>28</v>
      </c>
      <c r="C65" s="1262">
        <v>0</v>
      </c>
      <c r="D65" s="1262">
        <v>0</v>
      </c>
      <c r="E65" s="1262">
        <v>2</v>
      </c>
      <c r="F65" s="1262">
        <v>1794.921</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3</v>
      </c>
      <c r="D68" s="1264">
        <v>657511.75293229497</v>
      </c>
      <c r="E68" s="1264">
        <v>7</v>
      </c>
      <c r="F68" s="1264">
        <v>367271.6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43837917</v>
      </c>
      <c r="E73" s="440"/>
      <c r="F73" s="322"/>
    </row>
    <row r="74" spans="1:6">
      <c r="A74" s="1261" t="s">
        <v>63</v>
      </c>
      <c r="B74" s="1261" t="s">
        <v>670</v>
      </c>
      <c r="C74" s="1274" t="s">
        <v>672</v>
      </c>
      <c r="D74" s="1262">
        <v>1973099.8728146635</v>
      </c>
      <c r="E74" s="440"/>
      <c r="F74" s="322"/>
    </row>
    <row r="75" spans="1:6">
      <c r="A75" s="1261" t="s">
        <v>64</v>
      </c>
      <c r="B75" s="1261" t="s">
        <v>669</v>
      </c>
      <c r="C75" s="1274" t="s">
        <v>673</v>
      </c>
      <c r="D75" s="1262">
        <v>8498937</v>
      </c>
      <c r="E75" s="440"/>
      <c r="F75" s="322"/>
    </row>
    <row r="76" spans="1:6">
      <c r="A76" s="1261" t="s">
        <v>64</v>
      </c>
      <c r="B76" s="1261" t="s">
        <v>670</v>
      </c>
      <c r="C76" s="1274" t="s">
        <v>674</v>
      </c>
      <c r="D76" s="1262">
        <v>392280.87281466345</v>
      </c>
      <c r="E76" s="440"/>
      <c r="F76" s="322"/>
    </row>
    <row r="77" spans="1:6">
      <c r="A77" s="1261" t="s">
        <v>65</v>
      </c>
      <c r="B77" s="1261" t="s">
        <v>669</v>
      </c>
      <c r="C77" s="1274" t="s">
        <v>675</v>
      </c>
      <c r="D77" s="1262">
        <v>194442</v>
      </c>
      <c r="E77" s="440"/>
      <c r="F77" s="322"/>
    </row>
    <row r="78" spans="1:6">
      <c r="A78" s="1256" t="s">
        <v>65</v>
      </c>
      <c r="B78" s="1256" t="s">
        <v>670</v>
      </c>
      <c r="C78" s="1256" t="s">
        <v>676</v>
      </c>
      <c r="D78" s="1264">
        <v>49972</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125890.25437067312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1669.7358849319362</v>
      </c>
      <c r="C91" s="322"/>
      <c r="D91" s="322"/>
      <c r="E91" s="322"/>
      <c r="F91" s="322"/>
    </row>
    <row r="92" spans="1:6">
      <c r="A92" s="1256" t="s">
        <v>68</v>
      </c>
      <c r="B92" s="1257">
        <v>409.59030951244148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2060</v>
      </c>
      <c r="C97" s="322"/>
      <c r="D97" s="322"/>
      <c r="E97" s="322"/>
      <c r="F97" s="322"/>
    </row>
    <row r="98" spans="1:6">
      <c r="A98" s="1261" t="s">
        <v>71</v>
      </c>
      <c r="B98" s="1262">
        <v>2</v>
      </c>
      <c r="C98" s="322"/>
      <c r="D98" s="322"/>
      <c r="E98" s="322"/>
      <c r="F98" s="322"/>
    </row>
    <row r="99" spans="1:6">
      <c r="A99" s="1261" t="s">
        <v>72</v>
      </c>
      <c r="B99" s="1262">
        <v>50</v>
      </c>
      <c r="C99" s="322"/>
      <c r="D99" s="322"/>
      <c r="E99" s="322"/>
      <c r="F99" s="322"/>
    </row>
    <row r="100" spans="1:6">
      <c r="A100" s="1261" t="s">
        <v>73</v>
      </c>
      <c r="B100" s="1262">
        <v>144</v>
      </c>
      <c r="C100" s="322"/>
      <c r="D100" s="322"/>
      <c r="E100" s="322"/>
      <c r="F100" s="322"/>
    </row>
    <row r="101" spans="1:6">
      <c r="A101" s="1261" t="s">
        <v>74</v>
      </c>
      <c r="B101" s="1262">
        <v>41</v>
      </c>
      <c r="C101" s="322"/>
      <c r="D101" s="322"/>
      <c r="E101" s="322"/>
      <c r="F101" s="322"/>
    </row>
    <row r="102" spans="1:6">
      <c r="A102" s="1261" t="s">
        <v>75</v>
      </c>
      <c r="B102" s="1262">
        <v>32</v>
      </c>
      <c r="C102" s="322"/>
      <c r="D102" s="322"/>
      <c r="E102" s="322"/>
      <c r="F102" s="322"/>
    </row>
    <row r="103" spans="1:6">
      <c r="A103" s="1261" t="s">
        <v>76</v>
      </c>
      <c r="B103" s="1262">
        <v>94</v>
      </c>
      <c r="C103" s="322"/>
      <c r="D103" s="322"/>
      <c r="E103" s="322"/>
      <c r="F103" s="322"/>
    </row>
    <row r="104" spans="1:6">
      <c r="A104" s="1261" t="s">
        <v>77</v>
      </c>
      <c r="B104" s="1262">
        <v>824</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8</v>
      </c>
      <c r="C123" s="1262">
        <v>11</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54</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8</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29827.518996296196</v>
      </c>
      <c r="C3" s="43" t="s">
        <v>163</v>
      </c>
      <c r="D3" s="43"/>
      <c r="E3" s="153"/>
      <c r="F3" s="43"/>
      <c r="G3" s="43"/>
      <c r="H3" s="43"/>
      <c r="I3" s="43"/>
      <c r="J3" s="43"/>
      <c r="K3" s="96"/>
    </row>
    <row r="4" spans="1:11">
      <c r="A4" s="349" t="s">
        <v>164</v>
      </c>
      <c r="B4" s="49">
        <f>IF(ISERROR('SEAP template'!B78+'SEAP template'!C78),0,'SEAP template'!B78+'SEAP template'!C78)</f>
        <v>11167.076194444377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2159.677058823529</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0.21066569159885695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3085.2529411764704</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12982.499999999998</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439.327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439.327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0.21066569159885695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92.551126293051027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13131.046</v>
      </c>
      <c r="C5" s="17">
        <f>IF(ISERROR('Eigen informatie GS &amp; warmtenet'!B57),0,'Eigen informatie GS &amp; warmtenet'!B57)</f>
        <v>0</v>
      </c>
      <c r="D5" s="30">
        <f>(SUM(HH_hh_gas_kWh,HH_rest_gas_kWh)/1000)*0.902</f>
        <v>39670.409282809203</v>
      </c>
      <c r="E5" s="17">
        <f>B32*B41</f>
        <v>498.57293289147322</v>
      </c>
      <c r="F5" s="17">
        <f>B36*B45</f>
        <v>15728.420582254777</v>
      </c>
      <c r="G5" s="18"/>
      <c r="H5" s="17"/>
      <c r="I5" s="17"/>
      <c r="J5" s="17">
        <f>B35*B44+C35*C44</f>
        <v>366.78617381487641</v>
      </c>
      <c r="K5" s="17"/>
      <c r="L5" s="17"/>
      <c r="M5" s="17"/>
      <c r="N5" s="17">
        <f>B34*B43+C34*C43</f>
        <v>4045.5914654762864</v>
      </c>
      <c r="O5" s="17">
        <f>B52*B53*B54</f>
        <v>103.17999999999999</v>
      </c>
      <c r="P5" s="17">
        <f>B60*B61*B62/1000-B60*B61*B62/1000/B63</f>
        <v>305.06666666666666</v>
      </c>
    </row>
    <row r="6" spans="1:16">
      <c r="A6" s="16" t="s">
        <v>593</v>
      </c>
      <c r="B6" s="717">
        <f>kWh_PV_kleiner_dan_10kW</f>
        <v>1669.7358849319362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14800.781884931937</v>
      </c>
      <c r="C8" s="21">
        <f>C5</f>
        <v>0</v>
      </c>
      <c r="D8" s="21">
        <f>D5</f>
        <v>39670.409282809203</v>
      </c>
      <c r="E8" s="21">
        <f>E5</f>
        <v>498.57293289147322</v>
      </c>
      <c r="F8" s="21">
        <f>F5</f>
        <v>15728.420582254777</v>
      </c>
      <c r="G8" s="21"/>
      <c r="H8" s="21"/>
      <c r="I8" s="21"/>
      <c r="J8" s="21">
        <f>J5</f>
        <v>366.78617381487641</v>
      </c>
      <c r="K8" s="21"/>
      <c r="L8" s="21">
        <f>L5</f>
        <v>0</v>
      </c>
      <c r="M8" s="21">
        <f>M5</f>
        <v>0</v>
      </c>
      <c r="N8" s="21">
        <f>N5</f>
        <v>4045.5914654762864</v>
      </c>
      <c r="O8" s="21">
        <f>O5</f>
        <v>103.17999999999999</v>
      </c>
      <c r="P8" s="21">
        <f>P5</f>
        <v>305.06666666666666</v>
      </c>
    </row>
    <row r="9" spans="1:16">
      <c r="B9" s="19"/>
      <c r="C9" s="19"/>
      <c r="D9" s="253"/>
      <c r="E9" s="19"/>
      <c r="F9" s="19"/>
      <c r="G9" s="19"/>
      <c r="H9" s="19"/>
      <c r="I9" s="19"/>
      <c r="J9" s="19"/>
      <c r="K9" s="19"/>
      <c r="L9" s="19"/>
      <c r="M9" s="19"/>
      <c r="N9" s="19"/>
      <c r="O9" s="19"/>
      <c r="P9" s="19"/>
    </row>
    <row r="10" spans="1:16">
      <c r="A10" s="24" t="s">
        <v>207</v>
      </c>
      <c r="B10" s="25">
        <f ca="1">'EF ele_warmte'!B12</f>
        <v>0.21066569159885695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3118.01695199302</v>
      </c>
      <c r="C12" s="23">
        <f ca="1">C10*C8</f>
        <v>0</v>
      </c>
      <c r="D12" s="23">
        <f>D8*D10</f>
        <v>8013.42267512746</v>
      </c>
      <c r="E12" s="23">
        <f>E10*E8</f>
        <v>113.17605576636443</v>
      </c>
      <c r="F12" s="23">
        <f>F10*F8</f>
        <v>4199.4882954620261</v>
      </c>
      <c r="G12" s="23"/>
      <c r="H12" s="23"/>
      <c r="I12" s="23"/>
      <c r="J12" s="23">
        <f>J10*J8</f>
        <v>129.84230553046623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3658</v>
      </c>
      <c r="C26" s="36"/>
      <c r="D26" s="224"/>
    </row>
    <row r="27" spans="1:5" s="15" customFormat="1">
      <c r="A27" s="226" t="s">
        <v>696</v>
      </c>
      <c r="B27" s="37">
        <f>SUM(HH_hh_gas_aantal,HH_rest_gas_aantal)</f>
        <v>2791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2651.45</v>
      </c>
      <c r="C31" s="34" t="s">
        <v>104</v>
      </c>
      <c r="D31" s="170"/>
    </row>
    <row r="32" spans="1:5">
      <c r="A32" s="167" t="s">
        <v>72</v>
      </c>
      <c r="B32" s="33">
        <f>IF((B21*($B$26-($B$27-0.05*$B$27)-$B$60))&lt;0,0,B21*($B$26-($B$27-0.05*$B$27)-$B$60))</f>
        <v>6.2456361163559393</v>
      </c>
      <c r="C32" s="34" t="s">
        <v>104</v>
      </c>
      <c r="D32" s="170"/>
    </row>
    <row r="33" spans="1:6">
      <c r="A33" s="167" t="s">
        <v>73</v>
      </c>
      <c r="B33" s="33">
        <f>IF((B22*($B$26-($B$27-0.05*$B$27)-$B$60))&lt;0,0,B22*($B$26-($B$27-0.05*$B$27)-$B$60))</f>
        <v>217.49573818440012</v>
      </c>
      <c r="C33" s="34" t="s">
        <v>104</v>
      </c>
      <c r="D33" s="170"/>
    </row>
    <row r="34" spans="1:6">
      <c r="A34" s="167" t="s">
        <v>74</v>
      </c>
      <c r="B34" s="33">
        <f>IF((B24*($B$26-($B$27-0.05*$B$27)-$B$60))&lt;0,0,B24*($B$26-($B$27-0.05*$B$27)-$B$60))</f>
        <v>43.171941844621522</v>
      </c>
      <c r="C34" s="33">
        <f>B26*C24</f>
        <v>748.42563830881727</v>
      </c>
      <c r="D34" s="229"/>
    </row>
    <row r="35" spans="1:6">
      <c r="A35" s="167" t="s">
        <v>76</v>
      </c>
      <c r="B35" s="33">
        <f>IF((B19*($B$26-($B$27-0.05*$B$27)-$B$60))&lt;0,0,B19*($B$26-($B$27-0.05*$B$27)-$B$60))</f>
        <v>21.091948761231134</v>
      </c>
      <c r="C35" s="33">
        <f>B35/2</f>
        <v>10.545974380615567</v>
      </c>
      <c r="D35" s="229"/>
    </row>
    <row r="36" spans="1:6">
      <c r="A36" s="167" t="s">
        <v>77</v>
      </c>
      <c r="B36" s="33">
        <f>IF((B18*($B$26-($B$27-0.05*$B$27)-$B$60))&lt;0,0,B18*($B$26-($B$27-0.05*$B$27)-$B$60))</f>
        <v>702.54473509339175</v>
      </c>
      <c r="C36" s="34" t="s">
        <v>104</v>
      </c>
      <c r="D36" s="170"/>
    </row>
    <row r="37" spans="1:6">
      <c r="A37" s="167" t="s">
        <v>78</v>
      </c>
      <c r="B37" s="33">
        <f>B60</f>
        <v>16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8738.7871100000011</v>
      </c>
      <c r="C5" s="17">
        <f>IF(ISERROR('Eigen informatie GS &amp; warmtenet'!B58),0,'Eigen informatie GS &amp; warmtenet'!B58)</f>
        <v>0</v>
      </c>
      <c r="D5" s="30">
        <f>SUM(D6:D12)</f>
        <v>10480.397970168495</v>
      </c>
      <c r="E5" s="17">
        <f>SUM(E6:E12)</f>
        <v>152.31427885073441</v>
      </c>
      <c r="F5" s="17">
        <f>SUM(F6:F12)</f>
        <v>1944.5864447069475</v>
      </c>
      <c r="G5" s="18"/>
      <c r="H5" s="17"/>
      <c r="I5" s="17"/>
      <c r="J5" s="17">
        <f>SUM(J6:J12)</f>
        <v>0</v>
      </c>
      <c r="K5" s="17"/>
      <c r="L5" s="17"/>
      <c r="M5" s="17"/>
      <c r="N5" s="17">
        <f>SUM(N6:N12)</f>
        <v>585.59937071553668</v>
      </c>
      <c r="O5" s="17">
        <f>B38*B39*B40</f>
        <v>3.1266666666666669</v>
      </c>
      <c r="P5" s="17">
        <f>B46*B47*B48/1000-B46*B47*B48/1000/B49</f>
        <v>19.066666666666666</v>
      </c>
      <c r="R5" s="32"/>
    </row>
    <row r="6" spans="1:18">
      <c r="A6" s="32" t="s">
        <v>53</v>
      </c>
      <c r="B6" s="37">
        <f>B26</f>
        <v>1786.1559999999999</v>
      </c>
      <c r="C6" s="33"/>
      <c r="D6" s="37">
        <f>IF(ISERROR(TER_kantoor_gas_kWh/1000),0,TER_kantoor_gas_kWh/1000)*0.902</f>
        <v>3955.5328785363558</v>
      </c>
      <c r="E6" s="33">
        <f>$C$26*'E Balans VL '!I12/100/3.6*1000000</f>
        <v>2.5049034330039056E-2</v>
      </c>
      <c r="F6" s="33">
        <f>$C$26*('E Balans VL '!L12+'E Balans VL '!N12)/100/3.6*1000000</f>
        <v>248.27275309486811</v>
      </c>
      <c r="G6" s="34"/>
      <c r="H6" s="33"/>
      <c r="I6" s="33"/>
      <c r="J6" s="33">
        <f>$C$26*('E Balans VL '!D12+'E Balans VL '!E12)/100/3.6*1000000</f>
        <v>0</v>
      </c>
      <c r="K6" s="33"/>
      <c r="L6" s="33"/>
      <c r="M6" s="33"/>
      <c r="N6" s="33">
        <f>$C$26*'E Balans VL '!Y12/100/3.6*1000000</f>
        <v>22.106864826667781</v>
      </c>
      <c r="O6" s="33"/>
      <c r="P6" s="33"/>
      <c r="R6" s="32"/>
    </row>
    <row r="7" spans="1:18">
      <c r="A7" s="32" t="s">
        <v>52</v>
      </c>
      <c r="B7" s="37">
        <f t="shared" ref="B7:B12" si="0">B27</f>
        <v>822.66369999999995</v>
      </c>
      <c r="C7" s="33"/>
      <c r="D7" s="37">
        <f>IF(ISERROR(TER_horeca_gas_kWh/1000),0,TER_horeca_gas_kWh/1000)*0.902</f>
        <v>843.94766695544286</v>
      </c>
      <c r="E7" s="33">
        <f>$C$27*'E Balans VL '!I9/100/3.6*1000000</f>
        <v>11.742899084188222</v>
      </c>
      <c r="F7" s="33">
        <f>$C$27*('E Balans VL '!L9+'E Balans VL '!N9)/100/3.6*1000000</f>
        <v>127.89112592537016</v>
      </c>
      <c r="G7" s="34"/>
      <c r="H7" s="33"/>
      <c r="I7" s="33"/>
      <c r="J7" s="33">
        <f>$C$27*('E Balans VL '!D9+'E Balans VL '!E9)/100/3.6*1000000</f>
        <v>0</v>
      </c>
      <c r="K7" s="33"/>
      <c r="L7" s="33"/>
      <c r="M7" s="33"/>
      <c r="N7" s="33">
        <f>$C$27*'E Balans VL '!Y9/100/3.6*1000000</f>
        <v>0.21198749156394628</v>
      </c>
      <c r="O7" s="33"/>
      <c r="P7" s="33"/>
      <c r="R7" s="32"/>
    </row>
    <row r="8" spans="1:18">
      <c r="A8" s="6" t="s">
        <v>51</v>
      </c>
      <c r="B8" s="37">
        <f t="shared" si="0"/>
        <v>2985.8519999999999</v>
      </c>
      <c r="C8" s="33"/>
      <c r="D8" s="37">
        <f>IF(ISERROR(TER_handel_gas_kWh/1000),0,TER_handel_gas_kWh/1000)*0.902</f>
        <v>1177.7538403346066</v>
      </c>
      <c r="E8" s="33">
        <f>$C$28*'E Balans VL '!I13/100/3.6*1000000</f>
        <v>80.812777359625159</v>
      </c>
      <c r="F8" s="33">
        <f>$C$28*('E Balans VL '!L13+'E Balans VL '!N13)/100/3.6*1000000</f>
        <v>463.64717726605494</v>
      </c>
      <c r="G8" s="34"/>
      <c r="H8" s="33"/>
      <c r="I8" s="33"/>
      <c r="J8" s="33">
        <f>$C$28*('E Balans VL '!D13+'E Balans VL '!E13)/100/3.6*1000000</f>
        <v>0</v>
      </c>
      <c r="K8" s="33"/>
      <c r="L8" s="33"/>
      <c r="M8" s="33"/>
      <c r="N8" s="33">
        <f>$C$28*'E Balans VL '!Y13/100/3.6*1000000</f>
        <v>24.193401588315417</v>
      </c>
      <c r="O8" s="33"/>
      <c r="P8" s="33"/>
      <c r="R8" s="32"/>
    </row>
    <row r="9" spans="1:18">
      <c r="A9" s="32" t="s">
        <v>50</v>
      </c>
      <c r="B9" s="37">
        <f t="shared" si="0"/>
        <v>51.612610000000004</v>
      </c>
      <c r="C9" s="33"/>
      <c r="D9" s="37">
        <f>IF(ISERROR(TER_gezond_gas_kWh/1000),0,TER_gezond_gas_kWh/1000)*0.902</f>
        <v>327.88043671148176</v>
      </c>
      <c r="E9" s="33">
        <f>$C$29*'E Balans VL '!I10/100/3.6*1000000</f>
        <v>3.2206000344665439E-3</v>
      </c>
      <c r="F9" s="33">
        <f>$C$29*('E Balans VL '!L10+'E Balans VL '!N10)/100/3.6*1000000</f>
        <v>6.6817437862902453</v>
      </c>
      <c r="G9" s="34"/>
      <c r="H9" s="33"/>
      <c r="I9" s="33"/>
      <c r="J9" s="33">
        <f>$C$29*('E Balans VL '!D10+'E Balans VL '!E10)/100/3.6*1000000</f>
        <v>0</v>
      </c>
      <c r="K9" s="33"/>
      <c r="L9" s="33"/>
      <c r="M9" s="33"/>
      <c r="N9" s="33">
        <f>$C$29*'E Balans VL '!Y10/100/3.6*1000000</f>
        <v>0.42317296637787372</v>
      </c>
      <c r="O9" s="33"/>
      <c r="P9" s="33"/>
      <c r="R9" s="32"/>
    </row>
    <row r="10" spans="1:18">
      <c r="A10" s="32" t="s">
        <v>49</v>
      </c>
      <c r="B10" s="37">
        <f t="shared" si="0"/>
        <v>890.64080000000001</v>
      </c>
      <c r="C10" s="33"/>
      <c r="D10" s="37">
        <f>IF(ISERROR(TER_ander_gas_kWh/1000),0,TER_ander_gas_kWh/1000)*0.902</f>
        <v>2160.6842971749188</v>
      </c>
      <c r="E10" s="33">
        <f>$C$30*'E Balans VL '!I14/100/3.6*1000000</f>
        <v>26.888029948442036</v>
      </c>
      <c r="F10" s="33">
        <f>$C$30*('E Balans VL '!L14+'E Balans VL '!N14)/100/3.6*1000000</f>
        <v>563.90732647246853</v>
      </c>
      <c r="G10" s="34"/>
      <c r="H10" s="33"/>
      <c r="I10" s="33"/>
      <c r="J10" s="33">
        <f>$C$30*('E Balans VL '!D14+'E Balans VL '!E14)/100/3.6*1000000</f>
        <v>0</v>
      </c>
      <c r="K10" s="33"/>
      <c r="L10" s="33"/>
      <c r="M10" s="33"/>
      <c r="N10" s="33">
        <f>$C$30*'E Balans VL '!Y14/100/3.6*1000000</f>
        <v>360.4982061654398</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2201.8620000000001</v>
      </c>
      <c r="C12" s="33"/>
      <c r="D12" s="37">
        <f>IF(ISERROR(TER_rest_gas_kWh/1000),0,TER_rest_gas_kWh/1000)*0.902</f>
        <v>2014.5988504556901</v>
      </c>
      <c r="E12" s="33">
        <f>$C$32*'E Balans VL '!I8/100/3.6*1000000</f>
        <v>32.842302824114498</v>
      </c>
      <c r="F12" s="33">
        <f>$C$32*('E Balans VL '!L8+'E Balans VL '!N8)/100/3.6*1000000</f>
        <v>534.18631816189543</v>
      </c>
      <c r="G12" s="34"/>
      <c r="H12" s="33"/>
      <c r="I12" s="33"/>
      <c r="J12" s="33">
        <f>$C$32*('E Balans VL '!D8+'E Balans VL '!E8)/100/3.6*1000000</f>
        <v>0</v>
      </c>
      <c r="K12" s="33"/>
      <c r="L12" s="33"/>
      <c r="M12" s="33"/>
      <c r="N12" s="33">
        <f>$C$32*'E Balans VL '!Y8/100/3.6*1000000</f>
        <v>178.16573767717188</v>
      </c>
      <c r="O12" s="33"/>
      <c r="P12" s="33"/>
      <c r="R12" s="32"/>
    </row>
    <row r="13" spans="1:18">
      <c r="A13" s="16" t="s">
        <v>480</v>
      </c>
      <c r="B13" s="242">
        <f ca="1">'lokale energieproductie'!N39+'lokale energieproductie'!N32</f>
        <v>24.75</v>
      </c>
      <c r="C13" s="242">
        <f ca="1">'lokale energieproductie'!O39+'lokale energieproductie'!O32</f>
        <v>35.357142857142861</v>
      </c>
      <c r="D13" s="300">
        <f ca="1">('lokale energieproductie'!P32+'lokale energieproductie'!P39)*(-1)</f>
        <v>-70.714285714285722</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8763.5371100000011</v>
      </c>
      <c r="C16" s="21">
        <f t="shared" ca="1" si="1"/>
        <v>35.357142857142861</v>
      </c>
      <c r="D16" s="21">
        <f t="shared" ca="1" si="1"/>
        <v>10409.683684454209</v>
      </c>
      <c r="E16" s="21">
        <f t="shared" si="1"/>
        <v>152.31427885073441</v>
      </c>
      <c r="F16" s="21">
        <f t="shared" ca="1" si="1"/>
        <v>1944.5864447069475</v>
      </c>
      <c r="G16" s="21">
        <f t="shared" si="1"/>
        <v>0</v>
      </c>
      <c r="H16" s="21">
        <f t="shared" si="1"/>
        <v>0</v>
      </c>
      <c r="I16" s="21">
        <f t="shared" si="1"/>
        <v>0</v>
      </c>
      <c r="J16" s="21">
        <f t="shared" si="1"/>
        <v>0</v>
      </c>
      <c r="K16" s="21">
        <f t="shared" si="1"/>
        <v>0</v>
      </c>
      <c r="L16" s="21">
        <f t="shared" ca="1" si="1"/>
        <v>0</v>
      </c>
      <c r="M16" s="21">
        <f t="shared" si="1"/>
        <v>0</v>
      </c>
      <c r="N16" s="21">
        <f t="shared" ca="1" si="1"/>
        <v>585.59937071553668</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0.21066569159885695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1846.1766061303983</v>
      </c>
      <c r="C20" s="23">
        <f t="shared" ref="C20:P20" ca="1" si="2">C16*C18</f>
        <v>8.4025210084033635</v>
      </c>
      <c r="D20" s="23">
        <f t="shared" ca="1" si="2"/>
        <v>2102.7561042597504</v>
      </c>
      <c r="E20" s="23">
        <f t="shared" si="2"/>
        <v>34.575341299116715</v>
      </c>
      <c r="F20" s="23">
        <f t="shared" ca="1" si="2"/>
        <v>519.20458073675502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1786.1559999999999</v>
      </c>
      <c r="C26" s="39">
        <f>IF(ISERROR(B26*3.6/1000000/'E Balans VL '!Z12*100),0,B26*3.6/1000000/'E Balans VL '!Z12*100)</f>
        <v>4.8515343827596161E-2</v>
      </c>
      <c r="D26" s="232" t="s">
        <v>651</v>
      </c>
      <c r="F26" s="6"/>
    </row>
    <row r="27" spans="1:18">
      <c r="A27" s="227" t="s">
        <v>52</v>
      </c>
      <c r="B27" s="33">
        <f>IF(ISERROR(TER_horeca_ele_kWh/1000),0,TER_horeca_ele_kWh/1000)</f>
        <v>822.66369999999995</v>
      </c>
      <c r="C27" s="39">
        <f>IF(ISERROR(B27*3.6/1000000/'E Balans VL '!Z9*100),0,B27*3.6/1000000/'E Balans VL '!Z9*100)</f>
        <v>6.6107435754504743E-2</v>
      </c>
      <c r="D27" s="232" t="s">
        <v>651</v>
      </c>
      <c r="F27" s="6"/>
    </row>
    <row r="28" spans="1:18">
      <c r="A28" s="167" t="s">
        <v>51</v>
      </c>
      <c r="B28" s="33">
        <f>IF(ISERROR(TER_handel_ele_kWh/1000),0,TER_handel_ele_kWh/1000)</f>
        <v>2985.8519999999999</v>
      </c>
      <c r="C28" s="39">
        <f>IF(ISERROR(B28*3.6/1000000/'E Balans VL '!Z13*100),0,B28*3.6/1000000/'E Balans VL '!Z13*100)</f>
        <v>8.8187520691970112E-2</v>
      </c>
      <c r="D28" s="232" t="s">
        <v>651</v>
      </c>
      <c r="F28" s="6"/>
    </row>
    <row r="29" spans="1:18">
      <c r="A29" s="227" t="s">
        <v>50</v>
      </c>
      <c r="B29" s="33">
        <f>IF(ISERROR(TER_gezond_ele_kWh/1000),0,TER_gezond_ele_kWh/1000)</f>
        <v>51.612610000000004</v>
      </c>
      <c r="C29" s="39">
        <f>IF(ISERROR(B29*3.6/1000000/'E Balans VL '!Z10*100),0,B29*3.6/1000000/'E Balans VL '!Z10*100)</f>
        <v>5.9027273796407294E-3</v>
      </c>
      <c r="D29" s="232" t="s">
        <v>651</v>
      </c>
      <c r="F29" s="6"/>
    </row>
    <row r="30" spans="1:18">
      <c r="A30" s="227" t="s">
        <v>49</v>
      </c>
      <c r="B30" s="33">
        <f>IF(ISERROR(TER_ander_ele_kWh/1000),0,TER_ander_ele_kWh/1000)</f>
        <v>890.64080000000001</v>
      </c>
      <c r="C30" s="39">
        <f>IF(ISERROR(B30*3.6/1000000/'E Balans VL '!Z14*100),0,B30*3.6/1000000/'E Balans VL '!Z14*100)</f>
        <v>4.1621500333939111E-2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2201.8620000000001</v>
      </c>
      <c r="C32" s="39">
        <f>IF(ISERROR(B32*3.6/1000000/'E Balans VL '!Z8*100),0,B32*3.6/1000000/'E Balans VL '!Z8*100)</f>
        <v>1.8811620263575145E-2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4374.1577399999996</v>
      </c>
      <c r="C5" s="17">
        <f>IF(ISERROR('Eigen informatie GS &amp; warmtenet'!B59),0,'Eigen informatie GS &amp; warmtenet'!B59)</f>
        <v>0</v>
      </c>
      <c r="D5" s="30">
        <f>SUM(D6:D15)</f>
        <v>1706.5586452597802</v>
      </c>
      <c r="E5" s="17">
        <f>SUM(E6:E15)</f>
        <v>348.50597615198188</v>
      </c>
      <c r="F5" s="17">
        <f>SUM(F6:F15)</f>
        <v>1833.3878432701667</v>
      </c>
      <c r="G5" s="18"/>
      <c r="H5" s="17"/>
      <c r="I5" s="17"/>
      <c r="J5" s="17">
        <f>SUM(J6:J15)</f>
        <v>21.523142491767956</v>
      </c>
      <c r="K5" s="17"/>
      <c r="L5" s="17"/>
      <c r="M5" s="17"/>
      <c r="N5" s="17">
        <f>SUM(N6:N15)</f>
        <v>393.27896362574342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13.05794</v>
      </c>
      <c r="C8" s="33"/>
      <c r="D8" s="37">
        <f>IF( ISERROR(IND_metaal_Gas_kWH/1000),0,IND_metaal_Gas_kWH/1000)*0.902</f>
        <v>0</v>
      </c>
      <c r="E8" s="33">
        <f>C30*'E Balans VL '!I18/100/3.6*1000000</f>
        <v>0.32679453638909739</v>
      </c>
      <c r="F8" s="33">
        <f>C30*'E Balans VL '!L18/100/3.6*1000000+C30*'E Balans VL '!N18/100/3.6*1000000</f>
        <v>4.0924233495339877</v>
      </c>
      <c r="G8" s="34"/>
      <c r="H8" s="33"/>
      <c r="I8" s="33"/>
      <c r="J8" s="40">
        <f>C30*'E Balans VL '!D18/100/3.6*1000000+C30*'E Balans VL '!E18/100/3.6*1000000</f>
        <v>0</v>
      </c>
      <c r="K8" s="33"/>
      <c r="L8" s="33"/>
      <c r="M8" s="33"/>
      <c r="N8" s="33">
        <f>C30*'E Balans VL '!Y18/100/3.6*1000000</f>
        <v>0.32804934110938339</v>
      </c>
      <c r="O8" s="33"/>
      <c r="P8" s="33"/>
      <c r="R8" s="32"/>
    </row>
    <row r="9" spans="1:18">
      <c r="A9" s="6" t="s">
        <v>32</v>
      </c>
      <c r="B9" s="37">
        <f t="shared" si="0"/>
        <v>617.18880000000001</v>
      </c>
      <c r="C9" s="33"/>
      <c r="D9" s="37">
        <f>IF( ISERROR(IND_andere_gas_kWh/1000),0,IND_andere_gas_kWh/1000)*0.902</f>
        <v>429.63730257783874</v>
      </c>
      <c r="E9" s="33">
        <f>C31*'E Balans VL '!I19/100/3.6*1000000</f>
        <v>169.70160596705588</v>
      </c>
      <c r="F9" s="33">
        <f>C31*'E Balans VL '!L19/100/3.6*1000000+C31*'E Balans VL '!N19/100/3.6*1000000</f>
        <v>486.45217296219766</v>
      </c>
      <c r="G9" s="34"/>
      <c r="H9" s="33"/>
      <c r="I9" s="33"/>
      <c r="J9" s="40">
        <f>C31*'E Balans VL '!D19/100/3.6*1000000+C31*'E Balans VL '!E19/100/3.6*1000000</f>
        <v>0</v>
      </c>
      <c r="K9" s="33"/>
      <c r="L9" s="33"/>
      <c r="M9" s="33"/>
      <c r="N9" s="33">
        <f>C31*'E Balans VL '!Y19/100/3.6*1000000</f>
        <v>49.721118652900259</v>
      </c>
      <c r="O9" s="33"/>
      <c r="P9" s="33"/>
      <c r="R9" s="32"/>
    </row>
    <row r="10" spans="1:18">
      <c r="A10" s="6" t="s">
        <v>40</v>
      </c>
      <c r="B10" s="37">
        <f t="shared" si="0"/>
        <v>294.67099999999999</v>
      </c>
      <c r="C10" s="33"/>
      <c r="D10" s="37">
        <f>IF( ISERROR(IND_voed_gas_kWh/1000),0,IND_voed_gas_kWh/1000)*0.902</f>
        <v>86.632482749012425</v>
      </c>
      <c r="E10" s="33">
        <f>C32*'E Balans VL '!I20/100/3.6*1000000</f>
        <v>3.004008509819811</v>
      </c>
      <c r="F10" s="33">
        <f>C32*'E Balans VL '!L20/100/3.6*1000000+C32*'E Balans VL '!N20/100/3.6*1000000</f>
        <v>556.63167601080056</v>
      </c>
      <c r="G10" s="34"/>
      <c r="H10" s="33"/>
      <c r="I10" s="33"/>
      <c r="J10" s="40">
        <f>C32*'E Balans VL '!D20/100/3.6*1000000+C32*'E Balans VL '!E20/100/3.6*1000000</f>
        <v>7.0524411978771706</v>
      </c>
      <c r="K10" s="33"/>
      <c r="L10" s="33"/>
      <c r="M10" s="33"/>
      <c r="N10" s="33">
        <f>C32*'E Balans VL '!Y20/100/3.6*1000000</f>
        <v>155.32555893711861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3449.24</v>
      </c>
      <c r="C15" s="33"/>
      <c r="D15" s="37">
        <f>IF( ISERROR(IND_rest_gas_kWh/1000),0,IND_rest_gas_kWh/1000)*0.902</f>
        <v>1190.288859932929</v>
      </c>
      <c r="E15" s="33">
        <f>C37*'E Balans VL '!I15/100/3.6*1000000</f>
        <v>175.4735671387171</v>
      </c>
      <c r="F15" s="33">
        <f>C37*'E Balans VL '!L15/100/3.6*1000000+C37*'E Balans VL '!N15/100/3.6*1000000</f>
        <v>786.21157094763453</v>
      </c>
      <c r="G15" s="34"/>
      <c r="H15" s="33"/>
      <c r="I15" s="33"/>
      <c r="J15" s="40">
        <f>C37*'E Balans VL '!D15/100/3.6*1000000+C37*'E Balans VL '!E15/100/3.6*1000000</f>
        <v>14.470701293890784</v>
      </c>
      <c r="K15" s="33"/>
      <c r="L15" s="33"/>
      <c r="M15" s="33"/>
      <c r="N15" s="33">
        <f>C37*'E Balans VL '!Y15/100/3.6*1000000</f>
        <v>187.90423669461515</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4374.1577399999996</v>
      </c>
      <c r="C18" s="21">
        <f>C5+C16</f>
        <v>0</v>
      </c>
      <c r="D18" s="21">
        <f>MAX((D5+D16),0)</f>
        <v>1706.5586452597802</v>
      </c>
      <c r="E18" s="21">
        <f>MAX((E5+E16),0)</f>
        <v>348.50597615198188</v>
      </c>
      <c r="F18" s="21">
        <f>MAX((F5+F16),0)</f>
        <v>1833.3878432701667</v>
      </c>
      <c r="G18" s="21"/>
      <c r="H18" s="21"/>
      <c r="I18" s="21"/>
      <c r="J18" s="21">
        <f>MAX((J5+J16),0)</f>
        <v>21.523142491767956</v>
      </c>
      <c r="K18" s="21"/>
      <c r="L18" s="21">
        <f>MAX((L5+L16),0)</f>
        <v>0</v>
      </c>
      <c r="M18" s="21"/>
      <c r="N18" s="21">
        <f>MAX((N5+N16),0)</f>
        <v>393.27896362574342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0.21066569159885695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921.48496545959301</v>
      </c>
      <c r="C22" s="23">
        <f ca="1">C18*C20</f>
        <v>0</v>
      </c>
      <c r="D22" s="23">
        <f>D18*D20</f>
        <v>344.72484634247564</v>
      </c>
      <c r="E22" s="23">
        <f>E18*E20</f>
        <v>79.110856586499892</v>
      </c>
      <c r="F22" s="23">
        <f>F18*F20</f>
        <v>489.51455415313455</v>
      </c>
      <c r="G22" s="23"/>
      <c r="H22" s="23"/>
      <c r="I22" s="23"/>
      <c r="J22" s="23">
        <f>J18*J20</f>
        <v>7.6191924420858559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13.05794</v>
      </c>
      <c r="C30" s="39">
        <f>IF(ISERROR(B30*3.6/1000000/'E Balans VL '!Z18*100),0,B30*3.6/1000000/'E Balans VL '!Z18*100)</f>
        <v>1.8276764393421474E-3</v>
      </c>
      <c r="D30" s="232" t="s">
        <v>651</v>
      </c>
    </row>
    <row r="31" spans="1:18">
      <c r="A31" s="6" t="s">
        <v>32</v>
      </c>
      <c r="B31" s="37">
        <f>IF( ISERROR(IND_ander_ele_kWh/1000),0,IND_ander_ele_kWh/1000)</f>
        <v>617.18880000000001</v>
      </c>
      <c r="C31" s="39">
        <f>IF(ISERROR(B31*3.6/1000000/'E Balans VL '!Z19*100),0,B31*3.6/1000000/'E Balans VL '!Z19*100)</f>
        <v>2.7014253653751836E-2</v>
      </c>
      <c r="D31" s="232" t="s">
        <v>651</v>
      </c>
    </row>
    <row r="32" spans="1:18">
      <c r="A32" s="167" t="s">
        <v>40</v>
      </c>
      <c r="B32" s="37">
        <f>IF( ISERROR(IND_voed_ele_kWh/1000),0,IND_voed_ele_kWh/1000)</f>
        <v>294.67099999999999</v>
      </c>
      <c r="C32" s="39">
        <f>IF(ISERROR(B32*3.6/1000000/'E Balans VL '!Z20*100),0,B32*3.6/1000000/'E Balans VL '!Z20*100)</f>
        <v>7.2950754058766512E-2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3449.24</v>
      </c>
      <c r="C37" s="39">
        <f>IF(ISERROR(B37*3.6/1000000/'E Balans VL '!Z15*100),0,B37*3.6/1000000/'E Balans VL '!Z15*100)</f>
        <v>2.5575524065122663E-2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975.46069999999997</v>
      </c>
      <c r="C5" s="17">
        <f>'Eigen informatie GS &amp; warmtenet'!B60</f>
        <v>0</v>
      </c>
      <c r="D5" s="30">
        <f>IF(ISERROR(SUM(LB_lb_gas_kWh,LB_rest_gas_kWh)/1000),0,SUM(LB_lb_gas_kWh,LB_rest_gas_kWh)/1000)*0.902</f>
        <v>26434.297868827813</v>
      </c>
      <c r="E5" s="17">
        <f>B17*'E Balans VL '!I25/3.6*1000000/100</f>
        <v>20.917329949509913</v>
      </c>
      <c r="F5" s="17">
        <f>B17*('E Balans VL '!L25/3.6*1000000+'E Balans VL '!N25/3.6*1000000)/100</f>
        <v>3164.0819400991959</v>
      </c>
      <c r="G5" s="18"/>
      <c r="H5" s="17"/>
      <c r="I5" s="17"/>
      <c r="J5" s="17">
        <f>('E Balans VL '!D25+'E Balans VL '!E25)/3.6*1000000*landbouw!B17/100</f>
        <v>93.986153956863546</v>
      </c>
      <c r="K5" s="17"/>
      <c r="L5" s="17">
        <f>L6*(-1)</f>
        <v>0</v>
      </c>
      <c r="M5" s="17"/>
      <c r="N5" s="17">
        <f>N6*(-1)</f>
        <v>0</v>
      </c>
      <c r="O5" s="17"/>
      <c r="P5" s="17"/>
      <c r="R5" s="32"/>
    </row>
    <row r="6" spans="1:18">
      <c r="A6" s="16" t="s">
        <v>480</v>
      </c>
      <c r="B6" s="17" t="s">
        <v>204</v>
      </c>
      <c r="C6" s="17">
        <f>'lokale energieproductie'!O40+'lokale energieproductie'!O33</f>
        <v>12947.142857142855</v>
      </c>
      <c r="D6" s="300">
        <f>('lokale energieproductie'!P33+'lokale energieproductie'!P40)*(-1)</f>
        <v>-25894.28571428571</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975.46069999999997</v>
      </c>
      <c r="C8" s="21">
        <f>C5+C6</f>
        <v>12947.142857142855</v>
      </c>
      <c r="D8" s="21">
        <f>MAX((D5+D6),0)</f>
        <v>540.01215454210251</v>
      </c>
      <c r="E8" s="21">
        <f>MAX((E5+E6),0)</f>
        <v>20.917329949509913</v>
      </c>
      <c r="F8" s="21">
        <f>MAX((F5+F6),0)</f>
        <v>3164.0819400991959</v>
      </c>
      <c r="G8" s="21"/>
      <c r="H8" s="21"/>
      <c r="I8" s="21"/>
      <c r="J8" s="21">
        <f>MAX((J5+J6),0)</f>
        <v>93.986153956863546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0.21066569159885695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205.49610299300511</v>
      </c>
      <c r="C12" s="23">
        <f ca="1">C8*C10</f>
        <v>3076.8504201680671</v>
      </c>
      <c r="D12" s="23">
        <f>D8*D10</f>
        <v>109.08245521750472</v>
      </c>
      <c r="E12" s="23">
        <f>E8*E10</f>
        <v>4.74823389853875</v>
      </c>
      <c r="F12" s="23">
        <f>F8*F10</f>
        <v>844.80987800648541</v>
      </c>
      <c r="G12" s="23"/>
      <c r="H12" s="23"/>
      <c r="I12" s="23"/>
      <c r="J12" s="23">
        <f>J8*J10</f>
        <v>33.271098500729693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0.13868982819806358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198.29484059915001</v>
      </c>
      <c r="C26" s="242">
        <f>B26*'GWP N2O_CH4'!B5</f>
        <v>4164.1916525821498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85.764306163209937</v>
      </c>
      <c r="C27" s="242">
        <f>B27*'GWP N2O_CH4'!B5</f>
        <v>1801.0504294274087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2.5853243063319655</v>
      </c>
      <c r="C28" s="242">
        <f>B28*'GWP N2O_CH4'!B4</f>
        <v>801.45053496290927</v>
      </c>
      <c r="D28" s="50"/>
    </row>
    <row r="29" spans="1:4">
      <c r="A29" s="41" t="s">
        <v>266</v>
      </c>
      <c r="B29" s="242">
        <f>B34*'ha_N2O bodem landbouw'!B4</f>
        <v>7.9636039385500217</v>
      </c>
      <c r="C29" s="242">
        <f>B29*'GWP N2O_CH4'!B4</f>
        <v>2468.7172209505065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1.7860960661345497E-3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2.5793625729202602E-5</v>
      </c>
      <c r="C5" s="428" t="s">
        <v>204</v>
      </c>
      <c r="D5" s="413">
        <f>SUM(D6:D11)</f>
        <v>4.158240883694414E-5</v>
      </c>
      <c r="E5" s="413">
        <f>SUM(E6:E11)</f>
        <v>4.0157515951951304E-4</v>
      </c>
      <c r="F5" s="426" t="s">
        <v>204</v>
      </c>
      <c r="G5" s="413">
        <f>SUM(G6:G11)</f>
        <v>0.11531010234939129</v>
      </c>
      <c r="H5" s="413">
        <f>SUM(H6:H11)</f>
        <v>2.546291198510647E-2</v>
      </c>
      <c r="I5" s="428" t="s">
        <v>204</v>
      </c>
      <c r="J5" s="428" t="s">
        <v>204</v>
      </c>
      <c r="K5" s="428" t="s">
        <v>204</v>
      </c>
      <c r="L5" s="428" t="s">
        <v>204</v>
      </c>
      <c r="M5" s="413">
        <f>SUM(M6:M11)</f>
        <v>7.4620431209136287E-3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2.0562141865654949E-5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3.1098733652134899E-5</v>
      </c>
      <c r="E6" s="819">
        <f>vkm_GW_PW*SUMIFS(TableVerdeelsleutelVkm[LPG],TableVerdeelsleutelVkm[Voertuigtype],"Lichte voertuigen")*SUMIFS(TableECFTransport[EnergieConsumptieFactor (PJ per km)],TableECFTransport[Index],CONCATENATE($A6,"_LPG_LPG"))</f>
        <v>3.0379698044669649E-4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7.0537509064896003E-2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1.9213081562705018E-2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4.6756180062380859E-3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4.809675742910179E-7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1.8459637792304355E-2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4.1363465896420369E-7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1.0702497637055744E-3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4.5415989500999673E-6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1.0344082773110812E-5</v>
      </c>
      <c r="E8" s="416">
        <f>vkm_NGW_PW*SUMIFS(TableVerdeelsleutelVkm[LPG],TableVerdeelsleutelVkm[Voertuigtype],"Lichte voertuigen")*SUMIFS(TableECFTransport[EnergieConsumptieFactor (PJ per km)],TableECFTransport[Index],CONCATENATE($A8,"_LPG_LPG"))</f>
        <v>9.6095575041643013E-5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2.0797063825307563E-2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6.1587909936759609E-3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1.3936153369256943E-3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9.5623329785777402E-8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4.7153245122713511E-3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9.9261636784304541E-8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2.7338409343758704E-4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1.0111271436721155E-7</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1.3959241169842616E-7</v>
      </c>
      <c r="E10" s="416">
        <f>vkm_SW_PW*SUMIFS(TableVerdeelsleutelVkm[LPG],TableVerdeelsleutelVkm[Voertuigtype],"Lichte voertuigen")*SUMIFS(TableECFTransport[EnergieConsumptieFactor (PJ per km)],TableECFTransport[Index],CONCATENATE($A10,"_LPG_LPG"))</f>
        <v>1.6826040311734983E-6</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3.5491462266289857E-4</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9.0515749791773519E-5</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2.3337929040273501E-5</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1.2181295003675866E-8</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4.4565253194909685E-4</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1.0782637966578466E-8</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2.5837991566414246E-5</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7.1648960358896119</v>
      </c>
      <c r="C14" s="21"/>
      <c r="D14" s="21">
        <f t="shared" ref="D14:M14" si="0">((D5)*10^9/3600)+D12</f>
        <v>11.550669121373371</v>
      </c>
      <c r="E14" s="21">
        <f t="shared" si="0"/>
        <v>111.54865542208695</v>
      </c>
      <c r="F14" s="21"/>
      <c r="G14" s="21">
        <f t="shared" si="0"/>
        <v>32030.583985942027</v>
      </c>
      <c r="H14" s="21">
        <f t="shared" si="0"/>
        <v>7073.0311069740192</v>
      </c>
      <c r="I14" s="21"/>
      <c r="J14" s="21"/>
      <c r="K14" s="21"/>
      <c r="L14" s="21"/>
      <c r="M14" s="21">
        <f t="shared" si="0"/>
        <v>2072.7897558093414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0.21066569159885695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1.5093977786345938</v>
      </c>
      <c r="C18" s="23"/>
      <c r="D18" s="23">
        <f t="shared" ref="D18:M18" si="1">D14*D16</f>
        <v>2.333235162517421</v>
      </c>
      <c r="E18" s="23">
        <f t="shared" si="1"/>
        <v>25.321544780813738</v>
      </c>
      <c r="F18" s="23"/>
      <c r="G18" s="23">
        <f t="shared" si="1"/>
        <v>8552.1659242465212</v>
      </c>
      <c r="H18" s="23">
        <f t="shared" si="1"/>
        <v>1761.1847456365308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8.3785151821364008E-6</v>
      </c>
      <c r="C50" s="311">
        <f t="shared" ref="C50:P50" si="2">SUM(C51:C52)</f>
        <v>0</v>
      </c>
      <c r="D50" s="311">
        <f t="shared" si="2"/>
        <v>0</v>
      </c>
      <c r="E50" s="311">
        <f t="shared" si="2"/>
        <v>0</v>
      </c>
      <c r="F50" s="311">
        <f t="shared" si="2"/>
        <v>0</v>
      </c>
      <c r="G50" s="311">
        <f t="shared" si="2"/>
        <v>1.5876181047048249E-3</v>
      </c>
      <c r="H50" s="311">
        <f t="shared" si="2"/>
        <v>0</v>
      </c>
      <c r="I50" s="311">
        <f t="shared" si="2"/>
        <v>0</v>
      </c>
      <c r="J50" s="311">
        <f t="shared" si="2"/>
        <v>0</v>
      </c>
      <c r="K50" s="311">
        <f t="shared" si="2"/>
        <v>0</v>
      </c>
      <c r="L50" s="311">
        <f t="shared" si="2"/>
        <v>0</v>
      </c>
      <c r="M50" s="311">
        <f t="shared" si="2"/>
        <v>9.1396056261918929E-5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8.3785151821364008E-6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1.5876181047048249E-3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9.1396056261918929E-5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2.3273653283712226</v>
      </c>
      <c r="C54" s="21">
        <f t="shared" ref="C54:P54" si="3">(C50)*10^9/3600</f>
        <v>0</v>
      </c>
      <c r="D54" s="21">
        <f t="shared" si="3"/>
        <v>0</v>
      </c>
      <c r="E54" s="21">
        <f t="shared" si="3"/>
        <v>0</v>
      </c>
      <c r="F54" s="21">
        <f t="shared" si="3"/>
        <v>0</v>
      </c>
      <c r="G54" s="21">
        <f t="shared" si="3"/>
        <v>441.00502908467359</v>
      </c>
      <c r="H54" s="21">
        <f t="shared" si="3"/>
        <v>0</v>
      </c>
      <c r="I54" s="21">
        <f t="shared" si="3"/>
        <v>0</v>
      </c>
      <c r="J54" s="21">
        <f t="shared" si="3"/>
        <v>0</v>
      </c>
      <c r="K54" s="21">
        <f t="shared" si="3"/>
        <v>0</v>
      </c>
      <c r="L54" s="21">
        <f t="shared" si="3"/>
        <v>0</v>
      </c>
      <c r="M54" s="21">
        <f t="shared" si="3"/>
        <v>25.387793406088591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0.21066569159885695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0.49029602650452442</v>
      </c>
      <c r="C58" s="23">
        <f t="shared" ref="C58:P58" ca="1" si="4">C54*C56</f>
        <v>0</v>
      </c>
      <c r="D58" s="23">
        <f t="shared" si="4"/>
        <v>0</v>
      </c>
      <c r="E58" s="23">
        <f t="shared" si="4"/>
        <v>0</v>
      </c>
      <c r="F58" s="23">
        <f t="shared" si="4"/>
        <v>0</v>
      </c>
      <c r="G58" s="23">
        <f t="shared" si="4"/>
        <v>117.74834276560786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2079.3261944443775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9087.7499999999982</v>
      </c>
      <c r="C8" s="535">
        <f>B49</f>
        <v>10691.470588235292</v>
      </c>
      <c r="D8" s="974"/>
      <c r="E8" s="974">
        <f>E49</f>
        <v>0</v>
      </c>
      <c r="F8" s="975"/>
      <c r="G8" s="536"/>
      <c r="H8" s="974">
        <f>I49</f>
        <v>0</v>
      </c>
      <c r="I8" s="974">
        <f>G49+F49</f>
        <v>0</v>
      </c>
      <c r="J8" s="974">
        <f>H49+D49+C49</f>
        <v>0</v>
      </c>
      <c r="K8" s="974"/>
      <c r="L8" s="974"/>
      <c r="M8" s="974"/>
      <c r="N8" s="537"/>
      <c r="O8" s="538">
        <f>C8*$C$12+D8*$D$12+E8*$E$12+F8*$F$12+G8*$G$12+H8*$H$12+I8*$I$12+J8*$J$12</f>
        <v>2159.677058823529</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11167.076194444377</v>
      </c>
      <c r="C10" s="548">
        <f t="shared" ref="C10:L10" si="0">SUM(C8:C9)</f>
        <v>10691.470588235292</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2159.677058823529</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12982.499999999998</v>
      </c>
      <c r="C17" s="560">
        <f>B50</f>
        <v>15273.529411764704</v>
      </c>
      <c r="D17" s="561"/>
      <c r="E17" s="561">
        <f>E50</f>
        <v>0</v>
      </c>
      <c r="F17" s="980"/>
      <c r="G17" s="562"/>
      <c r="H17" s="560">
        <f>I50</f>
        <v>0</v>
      </c>
      <c r="I17" s="561">
        <f>G50+F50</f>
        <v>0</v>
      </c>
      <c r="J17" s="561">
        <f>H50+D50+C50</f>
        <v>0</v>
      </c>
      <c r="K17" s="561"/>
      <c r="L17" s="561"/>
      <c r="M17" s="561"/>
      <c r="N17" s="981"/>
      <c r="O17" s="563">
        <f>C17*$C$22+E17*$E$22+H17*$H$22+I17*$I$22+J17*$J$22+D17*$D$22+F17*$F$22+G17*$G$22+K17*$K$22+L17*$L$22</f>
        <v>3085.2529411764704</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12982.499999999998</v>
      </c>
      <c r="C20" s="547">
        <f>SUM(C17:C19)</f>
        <v>15273.529411764704</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3085.2529411764704</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13012</v>
      </c>
      <c r="C28" s="725">
        <v>2270</v>
      </c>
      <c r="D28" s="618"/>
      <c r="E28" s="617"/>
      <c r="F28" s="617"/>
      <c r="G28" s="617" t="s">
        <v>904</v>
      </c>
      <c r="H28" s="617" t="s">
        <v>905</v>
      </c>
      <c r="I28" s="617"/>
      <c r="J28" s="724"/>
      <c r="K28" s="724"/>
      <c r="L28" s="617" t="s">
        <v>906</v>
      </c>
      <c r="M28" s="617">
        <v>5.5</v>
      </c>
      <c r="N28" s="617">
        <v>24.75</v>
      </c>
      <c r="O28" s="617">
        <v>35.357142857142861</v>
      </c>
      <c r="P28" s="617">
        <v>70.714285714285722</v>
      </c>
      <c r="Q28" s="617">
        <v>0</v>
      </c>
      <c r="R28" s="617">
        <v>0</v>
      </c>
      <c r="S28" s="617">
        <v>0</v>
      </c>
      <c r="T28" s="617">
        <v>0</v>
      </c>
      <c r="U28" s="617">
        <v>0</v>
      </c>
      <c r="V28" s="617">
        <v>0</v>
      </c>
      <c r="W28" s="617">
        <v>0</v>
      </c>
      <c r="X28" s="617"/>
      <c r="Y28" s="617">
        <v>1600</v>
      </c>
      <c r="Z28" s="617" t="s">
        <v>49</v>
      </c>
      <c r="AA28" s="619" t="s">
        <v>149</v>
      </c>
    </row>
    <row r="29" spans="1:27" s="571" customFormat="1" ht="25.5" hidden="1">
      <c r="A29" s="570"/>
      <c r="B29" s="725">
        <v>13012</v>
      </c>
      <c r="C29" s="725">
        <v>2270</v>
      </c>
      <c r="D29" s="618"/>
      <c r="E29" s="617"/>
      <c r="F29" s="617"/>
      <c r="G29" s="617" t="s">
        <v>904</v>
      </c>
      <c r="H29" s="617" t="s">
        <v>905</v>
      </c>
      <c r="I29" s="617"/>
      <c r="J29" s="724"/>
      <c r="K29" s="724"/>
      <c r="L29" s="617" t="s">
        <v>906</v>
      </c>
      <c r="M29" s="617">
        <v>2014</v>
      </c>
      <c r="N29" s="617">
        <v>9062.9999999999982</v>
      </c>
      <c r="O29" s="617">
        <v>12947.142857142855</v>
      </c>
      <c r="P29" s="617">
        <v>25894.28571428571</v>
      </c>
      <c r="Q29" s="617">
        <v>0</v>
      </c>
      <c r="R29" s="617">
        <v>0</v>
      </c>
      <c r="S29" s="617">
        <v>0</v>
      </c>
      <c r="T29" s="617">
        <v>0</v>
      </c>
      <c r="U29" s="617">
        <v>0</v>
      </c>
      <c r="V29" s="617">
        <v>0</v>
      </c>
      <c r="W29" s="617">
        <v>0</v>
      </c>
      <c r="X29" s="617"/>
      <c r="Y29" s="617">
        <v>10</v>
      </c>
      <c r="Z29" s="617" t="s">
        <v>105</v>
      </c>
      <c r="AA29" s="619" t="s">
        <v>105</v>
      </c>
    </row>
    <row r="30" spans="1:27" s="555" customFormat="1" hidden="1">
      <c r="A30" s="573" t="s">
        <v>269</v>
      </c>
      <c r="B30" s="574"/>
      <c r="C30" s="574"/>
      <c r="D30" s="574"/>
      <c r="E30" s="574"/>
      <c r="F30" s="574"/>
      <c r="G30" s="574"/>
      <c r="H30" s="574"/>
      <c r="I30" s="574"/>
      <c r="J30" s="574"/>
      <c r="K30" s="574"/>
      <c r="L30" s="575"/>
      <c r="M30" s="575">
        <f>SUM(M28:M29)</f>
        <v>2019.5</v>
      </c>
      <c r="N30" s="575">
        <f>SUM(N28:N29)</f>
        <v>9087.7499999999982</v>
      </c>
      <c r="O30" s="575">
        <f>SUM(O28:O29)</f>
        <v>12982.499999999998</v>
      </c>
      <c r="P30" s="575">
        <f>SUM(P28:P29)</f>
        <v>25964.999999999996</v>
      </c>
      <c r="Q30" s="575">
        <f>SUM(Q28:Q29)</f>
        <v>0</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5.5</v>
      </c>
      <c r="N32" s="575">
        <f ca="1">SUMIF($AA$28:AE29,"tertiair",N28:N29)</f>
        <v>24.75</v>
      </c>
      <c r="O32" s="575">
        <f ca="1">SUMIF($AA$28:AF29,"tertiair",O28:O29)</f>
        <v>35.357142857142861</v>
      </c>
      <c r="P32" s="575">
        <f ca="1">SUMIF($AA$28:AG29,"tertiair",P28:P29)</f>
        <v>70.714285714285722</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2014</v>
      </c>
      <c r="N33" s="580">
        <f>SUMIF($AA$28:$AA$29,"landbouw",N28:N29)</f>
        <v>9062.9999999999982</v>
      </c>
      <c r="O33" s="580">
        <f>SUMIF($AA$28:$AA$29,"landbouw",O28:O29)</f>
        <v>12947.142857142855</v>
      </c>
      <c r="P33" s="580">
        <f>SUMIF($AA$28:$AA$29,"landbouw",P28:P29)</f>
        <v>25894.28571428571</v>
      </c>
      <c r="Q33" s="580">
        <f>SUMIF($AA$28:$AA$29,"landbouw",Q28:Q29)</f>
        <v>0</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0.58823529411764708</v>
      </c>
      <c r="C46" s="600">
        <f>IF(ISERROR(N30/(O30+N30)),0,N30/(N30+O30))</f>
        <v>0.41176470588235292</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10691.470588235292</v>
      </c>
      <c r="C49" s="609">
        <f t="shared" si="2"/>
        <v>0</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15273.529411764704</v>
      </c>
      <c r="C50" s="612">
        <f t="shared" si="3"/>
        <v>0</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9202.8641100000004</v>
      </c>
      <c r="D10" s="943">
        <f ca="1">tertiair!C16</f>
        <v>35.357142857142861</v>
      </c>
      <c r="E10" s="943">
        <f ca="1">tertiair!D16</f>
        <v>10409.683684454209</v>
      </c>
      <c r="F10" s="943">
        <f>tertiair!E16</f>
        <v>152.31427885073441</v>
      </c>
      <c r="G10" s="943">
        <f ca="1">tertiair!F16</f>
        <v>1944.5864447069475</v>
      </c>
      <c r="H10" s="943">
        <f>tertiair!G16</f>
        <v>0</v>
      </c>
      <c r="I10" s="943">
        <f>tertiair!H16</f>
        <v>0</v>
      </c>
      <c r="J10" s="943">
        <f>tertiair!I16</f>
        <v>0</v>
      </c>
      <c r="K10" s="943">
        <f>tertiair!J16</f>
        <v>0</v>
      </c>
      <c r="L10" s="943">
        <f>tertiair!K16</f>
        <v>0</v>
      </c>
      <c r="M10" s="943">
        <f ca="1">tertiair!L16</f>
        <v>0</v>
      </c>
      <c r="N10" s="943">
        <f>tertiair!M16</f>
        <v>0</v>
      </c>
      <c r="O10" s="943">
        <f ca="1">tertiair!N16</f>
        <v>585.59937071553668</v>
      </c>
      <c r="P10" s="943">
        <f>tertiair!O16</f>
        <v>3.1266666666666669</v>
      </c>
      <c r="Q10" s="944">
        <f>tertiair!P16</f>
        <v>19.066666666666666</v>
      </c>
      <c r="R10" s="629">
        <f ca="1">SUM(C10:Q10)</f>
        <v>22352.598364917903</v>
      </c>
      <c r="S10" s="67"/>
    </row>
    <row r="11" spans="1:19" s="438" customFormat="1">
      <c r="A11" s="737" t="s">
        <v>214</v>
      </c>
      <c r="B11" s="742"/>
      <c r="C11" s="943">
        <f>huishoudens!B8</f>
        <v>14800.781884931937</v>
      </c>
      <c r="D11" s="943">
        <f>huishoudens!C8</f>
        <v>0</v>
      </c>
      <c r="E11" s="943">
        <f>huishoudens!D8</f>
        <v>39670.409282809203</v>
      </c>
      <c r="F11" s="943">
        <f>huishoudens!E8</f>
        <v>498.57293289147322</v>
      </c>
      <c r="G11" s="943">
        <f>huishoudens!F8</f>
        <v>15728.420582254777</v>
      </c>
      <c r="H11" s="943">
        <f>huishoudens!G8</f>
        <v>0</v>
      </c>
      <c r="I11" s="943">
        <f>huishoudens!H8</f>
        <v>0</v>
      </c>
      <c r="J11" s="943">
        <f>huishoudens!I8</f>
        <v>0</v>
      </c>
      <c r="K11" s="943">
        <f>huishoudens!J8</f>
        <v>366.78617381487641</v>
      </c>
      <c r="L11" s="943">
        <f>huishoudens!K8</f>
        <v>0</v>
      </c>
      <c r="M11" s="943">
        <f>huishoudens!L8</f>
        <v>0</v>
      </c>
      <c r="N11" s="943">
        <f>huishoudens!M8</f>
        <v>0</v>
      </c>
      <c r="O11" s="943">
        <f>huishoudens!N8</f>
        <v>4045.5914654762864</v>
      </c>
      <c r="P11" s="943">
        <f>huishoudens!O8</f>
        <v>103.17999999999999</v>
      </c>
      <c r="Q11" s="944">
        <f>huishoudens!P8</f>
        <v>305.06666666666666</v>
      </c>
      <c r="R11" s="629">
        <f>SUM(C11:Q11)</f>
        <v>75518.808988845223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4374.1577399999996</v>
      </c>
      <c r="D13" s="943">
        <f>industrie!C18</f>
        <v>0</v>
      </c>
      <c r="E13" s="943">
        <f>industrie!D18</f>
        <v>1706.5586452597802</v>
      </c>
      <c r="F13" s="943">
        <f>industrie!E18</f>
        <v>348.50597615198188</v>
      </c>
      <c r="G13" s="943">
        <f>industrie!F18</f>
        <v>1833.3878432701667</v>
      </c>
      <c r="H13" s="943">
        <f>industrie!G18</f>
        <v>0</v>
      </c>
      <c r="I13" s="943">
        <f>industrie!H18</f>
        <v>0</v>
      </c>
      <c r="J13" s="943">
        <f>industrie!I18</f>
        <v>0</v>
      </c>
      <c r="K13" s="943">
        <f>industrie!J18</f>
        <v>21.523142491767956</v>
      </c>
      <c r="L13" s="943">
        <f>industrie!K18</f>
        <v>0</v>
      </c>
      <c r="M13" s="943">
        <f>industrie!L18</f>
        <v>0</v>
      </c>
      <c r="N13" s="943">
        <f>industrie!M18</f>
        <v>0</v>
      </c>
      <c r="O13" s="943">
        <f>industrie!N18</f>
        <v>393.27896362574342</v>
      </c>
      <c r="P13" s="943">
        <f>industrie!O18</f>
        <v>0</v>
      </c>
      <c r="Q13" s="944">
        <f>industrie!P18</f>
        <v>0</v>
      </c>
      <c r="R13" s="629">
        <f>SUM(C13:Q13)</f>
        <v>8677.4123107994401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28377.803734931938</v>
      </c>
      <c r="D16" s="661">
        <f t="shared" ref="D16:R16" ca="1" si="0">SUM(D9:D15)</f>
        <v>35.357142857142861</v>
      </c>
      <c r="E16" s="661">
        <f t="shared" ca="1" si="0"/>
        <v>51786.651612523186</v>
      </c>
      <c r="F16" s="661">
        <f t="shared" si="0"/>
        <v>999.39318789418962</v>
      </c>
      <c r="G16" s="661">
        <f t="shared" ca="1" si="0"/>
        <v>19506.394870231892</v>
      </c>
      <c r="H16" s="661">
        <f t="shared" si="0"/>
        <v>0</v>
      </c>
      <c r="I16" s="661">
        <f t="shared" si="0"/>
        <v>0</v>
      </c>
      <c r="J16" s="661">
        <f t="shared" si="0"/>
        <v>0</v>
      </c>
      <c r="K16" s="661">
        <f t="shared" si="0"/>
        <v>388.30931630664435</v>
      </c>
      <c r="L16" s="661">
        <f t="shared" si="0"/>
        <v>0</v>
      </c>
      <c r="M16" s="661">
        <f t="shared" ca="1" si="0"/>
        <v>0</v>
      </c>
      <c r="N16" s="661">
        <f t="shared" si="0"/>
        <v>0</v>
      </c>
      <c r="O16" s="661">
        <f t="shared" ca="1" si="0"/>
        <v>5024.4697998175661</v>
      </c>
      <c r="P16" s="661">
        <f t="shared" si="0"/>
        <v>106.30666666666666</v>
      </c>
      <c r="Q16" s="661">
        <f t="shared" si="0"/>
        <v>324.13333333333333</v>
      </c>
      <c r="R16" s="661">
        <f t="shared" ca="1" si="0"/>
        <v>106548.81966456256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2.3273653283712226</v>
      </c>
      <c r="D19" s="943">
        <f>transport!C54</f>
        <v>0</v>
      </c>
      <c r="E19" s="943">
        <f>transport!D54</f>
        <v>0</v>
      </c>
      <c r="F19" s="943">
        <f>transport!E54</f>
        <v>0</v>
      </c>
      <c r="G19" s="943">
        <f>transport!F54</f>
        <v>0</v>
      </c>
      <c r="H19" s="943">
        <f>transport!G54</f>
        <v>441.00502908467359</v>
      </c>
      <c r="I19" s="943">
        <f>transport!H54</f>
        <v>0</v>
      </c>
      <c r="J19" s="943">
        <f>transport!I54</f>
        <v>0</v>
      </c>
      <c r="K19" s="943">
        <f>transport!J54</f>
        <v>0</v>
      </c>
      <c r="L19" s="943">
        <f>transport!K54</f>
        <v>0</v>
      </c>
      <c r="M19" s="943">
        <f>transport!L54</f>
        <v>0</v>
      </c>
      <c r="N19" s="943">
        <f>transport!M54</f>
        <v>25.387793406088591</v>
      </c>
      <c r="O19" s="943">
        <f>transport!N54</f>
        <v>0</v>
      </c>
      <c r="P19" s="943">
        <f>transport!O54</f>
        <v>0</v>
      </c>
      <c r="Q19" s="944">
        <f>transport!P54</f>
        <v>0</v>
      </c>
      <c r="R19" s="629">
        <f>SUM(C19:Q19)</f>
        <v>468.7201878191334</v>
      </c>
      <c r="S19" s="67"/>
    </row>
    <row r="20" spans="1:19" s="438" customFormat="1">
      <c r="A20" s="737" t="s">
        <v>296</v>
      </c>
      <c r="B20" s="742"/>
      <c r="C20" s="943">
        <f>transport!B14</f>
        <v>7.1648960358896119</v>
      </c>
      <c r="D20" s="943">
        <f>transport!C14</f>
        <v>0</v>
      </c>
      <c r="E20" s="943">
        <f>transport!D14</f>
        <v>11.550669121373371</v>
      </c>
      <c r="F20" s="943">
        <f>transport!E14</f>
        <v>111.54865542208695</v>
      </c>
      <c r="G20" s="943">
        <f>transport!F14</f>
        <v>0</v>
      </c>
      <c r="H20" s="943">
        <f>transport!G14</f>
        <v>32030.583985942027</v>
      </c>
      <c r="I20" s="943">
        <f>transport!H14</f>
        <v>7073.0311069740192</v>
      </c>
      <c r="J20" s="943">
        <f>transport!I14</f>
        <v>0</v>
      </c>
      <c r="K20" s="943">
        <f>transport!J14</f>
        <v>0</v>
      </c>
      <c r="L20" s="943">
        <f>transport!K14</f>
        <v>0</v>
      </c>
      <c r="M20" s="943">
        <f>transport!L14</f>
        <v>0</v>
      </c>
      <c r="N20" s="943">
        <f>transport!M14</f>
        <v>2072.7897558093414</v>
      </c>
      <c r="O20" s="943">
        <f>transport!N14</f>
        <v>0</v>
      </c>
      <c r="P20" s="943">
        <f>transport!O14</f>
        <v>0</v>
      </c>
      <c r="Q20" s="944">
        <f>transport!P14</f>
        <v>0</v>
      </c>
      <c r="R20" s="629">
        <f>SUM(C20:Q20)</f>
        <v>41306.669069304735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9.492261364260834</v>
      </c>
      <c r="D22" s="740">
        <f t="shared" ref="D22:R22" si="1">SUM(D18:D21)</f>
        <v>0</v>
      </c>
      <c r="E22" s="740">
        <f t="shared" si="1"/>
        <v>11.550669121373371</v>
      </c>
      <c r="F22" s="740">
        <f t="shared" si="1"/>
        <v>111.54865542208695</v>
      </c>
      <c r="G22" s="740">
        <f t="shared" si="1"/>
        <v>0</v>
      </c>
      <c r="H22" s="740">
        <f t="shared" si="1"/>
        <v>32471.589015026701</v>
      </c>
      <c r="I22" s="740">
        <f t="shared" si="1"/>
        <v>7073.0311069740192</v>
      </c>
      <c r="J22" s="740">
        <f t="shared" si="1"/>
        <v>0</v>
      </c>
      <c r="K22" s="740">
        <f t="shared" si="1"/>
        <v>0</v>
      </c>
      <c r="L22" s="740">
        <f t="shared" si="1"/>
        <v>0</v>
      </c>
      <c r="M22" s="740">
        <f t="shared" si="1"/>
        <v>0</v>
      </c>
      <c r="N22" s="740">
        <f t="shared" si="1"/>
        <v>2098.1775492154302</v>
      </c>
      <c r="O22" s="740">
        <f t="shared" si="1"/>
        <v>0</v>
      </c>
      <c r="P22" s="740">
        <f t="shared" si="1"/>
        <v>0</v>
      </c>
      <c r="Q22" s="740">
        <f t="shared" si="1"/>
        <v>0</v>
      </c>
      <c r="R22" s="740">
        <f t="shared" si="1"/>
        <v>41775.389257123868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975.46069999999997</v>
      </c>
      <c r="D24" s="943">
        <f>+landbouw!C8</f>
        <v>12947.142857142855</v>
      </c>
      <c r="E24" s="943">
        <f>+landbouw!D8</f>
        <v>540.01215454210251</v>
      </c>
      <c r="F24" s="943">
        <f>+landbouw!E8</f>
        <v>20.917329949509913</v>
      </c>
      <c r="G24" s="943">
        <f>+landbouw!F8</f>
        <v>3164.0819400991959</v>
      </c>
      <c r="H24" s="943">
        <f>+landbouw!G8</f>
        <v>0</v>
      </c>
      <c r="I24" s="943">
        <f>+landbouw!H8</f>
        <v>0</v>
      </c>
      <c r="J24" s="943">
        <f>+landbouw!I8</f>
        <v>0</v>
      </c>
      <c r="K24" s="943">
        <f>+landbouw!J8</f>
        <v>93.986153956863546</v>
      </c>
      <c r="L24" s="943">
        <f>+landbouw!K8</f>
        <v>0</v>
      </c>
      <c r="M24" s="943">
        <f>+landbouw!L8</f>
        <v>0</v>
      </c>
      <c r="N24" s="943">
        <f>+landbouw!M8</f>
        <v>0</v>
      </c>
      <c r="O24" s="943">
        <f>+landbouw!N8</f>
        <v>0</v>
      </c>
      <c r="P24" s="943">
        <f>+landbouw!O8</f>
        <v>0</v>
      </c>
      <c r="Q24" s="944">
        <f>+landbouw!P8</f>
        <v>0</v>
      </c>
      <c r="R24" s="629">
        <f>SUM(C24:Q24)</f>
        <v>17741.601135690526</v>
      </c>
      <c r="S24" s="67"/>
    </row>
    <row r="25" spans="1:19" s="438" customFormat="1" ht="15" thickBot="1">
      <c r="A25" s="759" t="s">
        <v>802</v>
      </c>
      <c r="B25" s="946"/>
      <c r="C25" s="947">
        <f>IF(Onbekend_ele_kWh="---",0,Onbekend_ele_kWh)/1000+IF(REST_rest_ele_kWh="---",0,REST_rest_ele_kWh)/1000</f>
        <v>464.76229999999998</v>
      </c>
      <c r="D25" s="947"/>
      <c r="E25" s="947">
        <f>IF(onbekend_gas_kWh="---",0,onbekend_gas_kWh)/1000+IF(REST_rest_gas_kWh="---",0,REST_rest_gas_kWh)/1000</f>
        <v>889.36579366950502</v>
      </c>
      <c r="F25" s="947"/>
      <c r="G25" s="947"/>
      <c r="H25" s="947"/>
      <c r="I25" s="947"/>
      <c r="J25" s="947"/>
      <c r="K25" s="947"/>
      <c r="L25" s="947"/>
      <c r="M25" s="947"/>
      <c r="N25" s="947"/>
      <c r="O25" s="947"/>
      <c r="P25" s="947"/>
      <c r="Q25" s="948"/>
      <c r="R25" s="629">
        <f>SUM(C25:Q25)</f>
        <v>1354.128093669505</v>
      </c>
      <c r="S25" s="67"/>
    </row>
    <row r="26" spans="1:19" s="438" customFormat="1" ht="15.75" thickBot="1">
      <c r="A26" s="634" t="s">
        <v>803</v>
      </c>
      <c r="B26" s="745"/>
      <c r="C26" s="740">
        <f>SUM(C24:C25)</f>
        <v>1440.223</v>
      </c>
      <c r="D26" s="740">
        <f t="shared" ref="D26:R26" si="2">SUM(D24:D25)</f>
        <v>12947.142857142855</v>
      </c>
      <c r="E26" s="740">
        <f t="shared" si="2"/>
        <v>1429.3779482116074</v>
      </c>
      <c r="F26" s="740">
        <f t="shared" si="2"/>
        <v>20.917329949509913</v>
      </c>
      <c r="G26" s="740">
        <f t="shared" si="2"/>
        <v>3164.0819400991959</v>
      </c>
      <c r="H26" s="740">
        <f t="shared" si="2"/>
        <v>0</v>
      </c>
      <c r="I26" s="740">
        <f t="shared" si="2"/>
        <v>0</v>
      </c>
      <c r="J26" s="740">
        <f t="shared" si="2"/>
        <v>0</v>
      </c>
      <c r="K26" s="740">
        <f t="shared" si="2"/>
        <v>93.986153956863546</v>
      </c>
      <c r="L26" s="740">
        <f t="shared" si="2"/>
        <v>0</v>
      </c>
      <c r="M26" s="740">
        <f t="shared" si="2"/>
        <v>0</v>
      </c>
      <c r="N26" s="740">
        <f t="shared" si="2"/>
        <v>0</v>
      </c>
      <c r="O26" s="740">
        <f t="shared" si="2"/>
        <v>0</v>
      </c>
      <c r="P26" s="740">
        <f t="shared" si="2"/>
        <v>0</v>
      </c>
      <c r="Q26" s="740">
        <f t="shared" si="2"/>
        <v>0</v>
      </c>
      <c r="R26" s="740">
        <f t="shared" si="2"/>
        <v>19095.729229360029</v>
      </c>
      <c r="S26" s="67"/>
    </row>
    <row r="27" spans="1:19" s="438" customFormat="1" ht="17.25" thickTop="1" thickBot="1">
      <c r="A27" s="635" t="s">
        <v>109</v>
      </c>
      <c r="B27" s="733"/>
      <c r="C27" s="636">
        <f ca="1">C22+C16+C26</f>
        <v>29827.518996296196</v>
      </c>
      <c r="D27" s="636">
        <f t="shared" ref="D27:R27" ca="1" si="3">D22+D16+D26</f>
        <v>12982.499999999998</v>
      </c>
      <c r="E27" s="636">
        <f t="shared" ca="1" si="3"/>
        <v>53227.580229856168</v>
      </c>
      <c r="F27" s="636">
        <f t="shared" si="3"/>
        <v>1131.8591732657865</v>
      </c>
      <c r="G27" s="636">
        <f t="shared" ca="1" si="3"/>
        <v>22670.476810331089</v>
      </c>
      <c r="H27" s="636">
        <f t="shared" si="3"/>
        <v>32471.589015026701</v>
      </c>
      <c r="I27" s="636">
        <f t="shared" si="3"/>
        <v>7073.0311069740192</v>
      </c>
      <c r="J27" s="636">
        <f t="shared" si="3"/>
        <v>0</v>
      </c>
      <c r="K27" s="636">
        <f t="shared" si="3"/>
        <v>482.29547026350792</v>
      </c>
      <c r="L27" s="636">
        <f t="shared" si="3"/>
        <v>0</v>
      </c>
      <c r="M27" s="636">
        <f t="shared" ca="1" si="3"/>
        <v>0</v>
      </c>
      <c r="N27" s="636">
        <f t="shared" si="3"/>
        <v>2098.1775492154302</v>
      </c>
      <c r="O27" s="636">
        <f t="shared" ca="1" si="3"/>
        <v>5024.4697998175661</v>
      </c>
      <c r="P27" s="636">
        <f t="shared" si="3"/>
        <v>106.30666666666666</v>
      </c>
      <c r="Q27" s="636">
        <f t="shared" si="3"/>
        <v>324.13333333333333</v>
      </c>
      <c r="R27" s="636">
        <f t="shared" ca="1" si="3"/>
        <v>167419.93815104646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1938.7277324234494</v>
      </c>
      <c r="D40" s="943">
        <f ca="1">tertiair!C20</f>
        <v>8.4025210084033635</v>
      </c>
      <c r="E40" s="943">
        <f ca="1">tertiair!D20</f>
        <v>2102.7561042597504</v>
      </c>
      <c r="F40" s="943">
        <f>tertiair!E20</f>
        <v>34.575341299116715</v>
      </c>
      <c r="G40" s="943">
        <f ca="1">tertiair!F20</f>
        <v>519.20458073675502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4603.6662797274748</v>
      </c>
    </row>
    <row r="41" spans="1:18">
      <c r="A41" s="750" t="s">
        <v>214</v>
      </c>
      <c r="B41" s="757"/>
      <c r="C41" s="943">
        <f ca="1">huishoudens!B12</f>
        <v>3118.01695199302</v>
      </c>
      <c r="D41" s="943">
        <f ca="1">huishoudens!C12</f>
        <v>0</v>
      </c>
      <c r="E41" s="943">
        <f>huishoudens!D12</f>
        <v>8013.42267512746</v>
      </c>
      <c r="F41" s="943">
        <f>huishoudens!E12</f>
        <v>113.17605576636443</v>
      </c>
      <c r="G41" s="943">
        <f>huishoudens!F12</f>
        <v>4199.4882954620261</v>
      </c>
      <c r="H41" s="943">
        <f>huishoudens!G12</f>
        <v>0</v>
      </c>
      <c r="I41" s="943">
        <f>huishoudens!H12</f>
        <v>0</v>
      </c>
      <c r="J41" s="943">
        <f>huishoudens!I12</f>
        <v>0</v>
      </c>
      <c r="K41" s="943">
        <f>huishoudens!J12</f>
        <v>129.84230553046623</v>
      </c>
      <c r="L41" s="943">
        <f>huishoudens!K12</f>
        <v>0</v>
      </c>
      <c r="M41" s="943">
        <f>huishoudens!L12</f>
        <v>0</v>
      </c>
      <c r="N41" s="943">
        <f>huishoudens!M12</f>
        <v>0</v>
      </c>
      <c r="O41" s="943">
        <f>huishoudens!N12</f>
        <v>0</v>
      </c>
      <c r="P41" s="943">
        <f>huishoudens!O12</f>
        <v>0</v>
      </c>
      <c r="Q41" s="703">
        <f>huishoudens!P12</f>
        <v>0</v>
      </c>
      <c r="R41" s="778">
        <f t="shared" ca="1" si="4"/>
        <v>15573.946283879337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921.48496545959301</v>
      </c>
      <c r="D43" s="943">
        <f ca="1">industrie!C22</f>
        <v>0</v>
      </c>
      <c r="E43" s="943">
        <f>industrie!D22</f>
        <v>344.72484634247564</v>
      </c>
      <c r="F43" s="943">
        <f>industrie!E22</f>
        <v>79.110856586499892</v>
      </c>
      <c r="G43" s="943">
        <f>industrie!F22</f>
        <v>489.51455415313455</v>
      </c>
      <c r="H43" s="943">
        <f>industrie!G22</f>
        <v>0</v>
      </c>
      <c r="I43" s="943">
        <f>industrie!H22</f>
        <v>0</v>
      </c>
      <c r="J43" s="943">
        <f>industrie!I22</f>
        <v>0</v>
      </c>
      <c r="K43" s="943">
        <f>industrie!J22</f>
        <v>7.6191924420858559</v>
      </c>
      <c r="L43" s="943">
        <f>industrie!K22</f>
        <v>0</v>
      </c>
      <c r="M43" s="943">
        <f>industrie!L22</f>
        <v>0</v>
      </c>
      <c r="N43" s="943">
        <f>industrie!M22</f>
        <v>0</v>
      </c>
      <c r="O43" s="943">
        <f>industrie!N22</f>
        <v>0</v>
      </c>
      <c r="P43" s="943">
        <f>industrie!O22</f>
        <v>0</v>
      </c>
      <c r="Q43" s="703">
        <f>industrie!P22</f>
        <v>0</v>
      </c>
      <c r="R43" s="777">
        <f t="shared" ca="1" si="4"/>
        <v>1842.4544149837889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5978.2296498760625</v>
      </c>
      <c r="D46" s="661">
        <f t="shared" ref="D46:Q46" ca="1" si="5">SUM(D39:D45)</f>
        <v>8.4025210084033635</v>
      </c>
      <c r="E46" s="661">
        <f t="shared" ca="1" si="5"/>
        <v>10460.903625729685</v>
      </c>
      <c r="F46" s="661">
        <f t="shared" si="5"/>
        <v>226.86225365198104</v>
      </c>
      <c r="G46" s="661">
        <f t="shared" ca="1" si="5"/>
        <v>5208.2074303519157</v>
      </c>
      <c r="H46" s="661">
        <f t="shared" si="5"/>
        <v>0</v>
      </c>
      <c r="I46" s="661">
        <f t="shared" si="5"/>
        <v>0</v>
      </c>
      <c r="J46" s="661">
        <f t="shared" si="5"/>
        <v>0</v>
      </c>
      <c r="K46" s="661">
        <f t="shared" si="5"/>
        <v>137.46149797255208</v>
      </c>
      <c r="L46" s="661">
        <f t="shared" si="5"/>
        <v>0</v>
      </c>
      <c r="M46" s="661">
        <f t="shared" ca="1" si="5"/>
        <v>0</v>
      </c>
      <c r="N46" s="661">
        <f t="shared" si="5"/>
        <v>0</v>
      </c>
      <c r="O46" s="661">
        <f t="shared" ca="1" si="5"/>
        <v>0</v>
      </c>
      <c r="P46" s="661">
        <f t="shared" si="5"/>
        <v>0</v>
      </c>
      <c r="Q46" s="661">
        <f t="shared" si="5"/>
        <v>0</v>
      </c>
      <c r="R46" s="661">
        <f ca="1">SUM(R39:R45)</f>
        <v>22020.066978590599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0.49029602650452442</v>
      </c>
      <c r="D49" s="943">
        <f ca="1">transport!C58</f>
        <v>0</v>
      </c>
      <c r="E49" s="943">
        <f>transport!D58</f>
        <v>0</v>
      </c>
      <c r="F49" s="943">
        <f>transport!E58</f>
        <v>0</v>
      </c>
      <c r="G49" s="943">
        <f>transport!F58</f>
        <v>0</v>
      </c>
      <c r="H49" s="943">
        <f>transport!G58</f>
        <v>117.74834276560786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118.23863879211238</v>
      </c>
    </row>
    <row r="50" spans="1:18">
      <c r="A50" s="753" t="s">
        <v>296</v>
      </c>
      <c r="B50" s="763"/>
      <c r="C50" s="632">
        <f ca="1">transport!B18</f>
        <v>1.5093977786345938</v>
      </c>
      <c r="D50" s="632">
        <f>transport!C18</f>
        <v>0</v>
      </c>
      <c r="E50" s="632">
        <f>transport!D18</f>
        <v>2.333235162517421</v>
      </c>
      <c r="F50" s="632">
        <f>transport!E18</f>
        <v>25.321544780813738</v>
      </c>
      <c r="G50" s="632">
        <f>transport!F18</f>
        <v>0</v>
      </c>
      <c r="H50" s="632">
        <f>transport!G18</f>
        <v>8552.1659242465212</v>
      </c>
      <c r="I50" s="632">
        <f>transport!H18</f>
        <v>1761.1847456365308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10342.514847605018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1.9996938051391182</v>
      </c>
      <c r="D52" s="661">
        <f t="shared" ref="D52:Q52" ca="1" si="6">SUM(D48:D51)</f>
        <v>0</v>
      </c>
      <c r="E52" s="661">
        <f t="shared" si="6"/>
        <v>2.333235162517421</v>
      </c>
      <c r="F52" s="661">
        <f t="shared" si="6"/>
        <v>25.321544780813738</v>
      </c>
      <c r="G52" s="661">
        <f t="shared" si="6"/>
        <v>0</v>
      </c>
      <c r="H52" s="661">
        <f t="shared" si="6"/>
        <v>8669.9142670121291</v>
      </c>
      <c r="I52" s="661">
        <f t="shared" si="6"/>
        <v>1761.1847456365308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10460.75348639713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205.49610299300511</v>
      </c>
      <c r="D54" s="632">
        <f ca="1">+landbouw!C12</f>
        <v>3076.8504201680671</v>
      </c>
      <c r="E54" s="632">
        <f>+landbouw!D12</f>
        <v>109.08245521750472</v>
      </c>
      <c r="F54" s="632">
        <f>+landbouw!E12</f>
        <v>4.74823389853875</v>
      </c>
      <c r="G54" s="632">
        <f>+landbouw!F12</f>
        <v>844.80987800648541</v>
      </c>
      <c r="H54" s="632">
        <f>+landbouw!G12</f>
        <v>0</v>
      </c>
      <c r="I54" s="632">
        <f>+landbouw!H12</f>
        <v>0</v>
      </c>
      <c r="J54" s="632">
        <f>+landbouw!I12</f>
        <v>0</v>
      </c>
      <c r="K54" s="632">
        <f>+landbouw!J12</f>
        <v>33.271098500729693</v>
      </c>
      <c r="L54" s="632">
        <f>+landbouw!K12</f>
        <v>0</v>
      </c>
      <c r="M54" s="632">
        <f>+landbouw!L12</f>
        <v>0</v>
      </c>
      <c r="N54" s="632">
        <f>+landbouw!M12</f>
        <v>0</v>
      </c>
      <c r="O54" s="632">
        <f>+landbouw!N12</f>
        <v>0</v>
      </c>
      <c r="P54" s="632">
        <f>+landbouw!O12</f>
        <v>0</v>
      </c>
      <c r="Q54" s="633">
        <f>+landbouw!P12</f>
        <v>0</v>
      </c>
      <c r="R54" s="660">
        <f ca="1">SUM(C54:Q54)</f>
        <v>4274.2581887843307</v>
      </c>
    </row>
    <row r="55" spans="1:18" ht="15" thickBot="1">
      <c r="A55" s="753" t="s">
        <v>802</v>
      </c>
      <c r="B55" s="763"/>
      <c r="C55" s="632">
        <f ca="1">C25*'EF ele_warmte'!B12</f>
        <v>97.909471358575431</v>
      </c>
      <c r="D55" s="632"/>
      <c r="E55" s="632">
        <f>E25*EF_CO2_aardgas</f>
        <v>179.65189032124002</v>
      </c>
      <c r="F55" s="632"/>
      <c r="G55" s="632"/>
      <c r="H55" s="632"/>
      <c r="I55" s="632"/>
      <c r="J55" s="632"/>
      <c r="K55" s="632"/>
      <c r="L55" s="632"/>
      <c r="M55" s="632"/>
      <c r="N55" s="632"/>
      <c r="O55" s="632"/>
      <c r="P55" s="632"/>
      <c r="Q55" s="633"/>
      <c r="R55" s="660">
        <f ca="1">SUM(C55:Q55)</f>
        <v>277.56136167981543</v>
      </c>
    </row>
    <row r="56" spans="1:18" ht="15.75" thickBot="1">
      <c r="A56" s="751" t="s">
        <v>803</v>
      </c>
      <c r="B56" s="764"/>
      <c r="C56" s="661">
        <f ca="1">SUM(C54:C55)</f>
        <v>303.40557435158053</v>
      </c>
      <c r="D56" s="661">
        <f t="shared" ref="D56:Q56" ca="1" si="7">SUM(D54:D55)</f>
        <v>3076.8504201680671</v>
      </c>
      <c r="E56" s="661">
        <f t="shared" si="7"/>
        <v>288.73434553874472</v>
      </c>
      <c r="F56" s="661">
        <f t="shared" si="7"/>
        <v>4.74823389853875</v>
      </c>
      <c r="G56" s="661">
        <f t="shared" si="7"/>
        <v>844.80987800648541</v>
      </c>
      <c r="H56" s="661">
        <f t="shared" si="7"/>
        <v>0</v>
      </c>
      <c r="I56" s="661">
        <f t="shared" si="7"/>
        <v>0</v>
      </c>
      <c r="J56" s="661">
        <f t="shared" si="7"/>
        <v>0</v>
      </c>
      <c r="K56" s="661">
        <f t="shared" si="7"/>
        <v>33.271098500729693</v>
      </c>
      <c r="L56" s="661">
        <f t="shared" si="7"/>
        <v>0</v>
      </c>
      <c r="M56" s="661">
        <f t="shared" si="7"/>
        <v>0</v>
      </c>
      <c r="N56" s="661">
        <f t="shared" si="7"/>
        <v>0</v>
      </c>
      <c r="O56" s="661">
        <f t="shared" si="7"/>
        <v>0</v>
      </c>
      <c r="P56" s="661">
        <f t="shared" si="7"/>
        <v>0</v>
      </c>
      <c r="Q56" s="662">
        <f t="shared" si="7"/>
        <v>0</v>
      </c>
      <c r="R56" s="663">
        <f ca="1">SUM(R54:R55)</f>
        <v>4551.8195504641462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6283.6349180327816</v>
      </c>
      <c r="D61" s="669">
        <f t="shared" ref="D61:Q61" ca="1" si="8">D46+D52+D56</f>
        <v>3085.2529411764704</v>
      </c>
      <c r="E61" s="669">
        <f t="shared" ca="1" si="8"/>
        <v>10751.971206430948</v>
      </c>
      <c r="F61" s="669">
        <f t="shared" si="8"/>
        <v>256.93203233133352</v>
      </c>
      <c r="G61" s="669">
        <f t="shared" ca="1" si="8"/>
        <v>6053.0173083584014</v>
      </c>
      <c r="H61" s="669">
        <f t="shared" si="8"/>
        <v>8669.9142670121291</v>
      </c>
      <c r="I61" s="669">
        <f t="shared" si="8"/>
        <v>1761.1847456365308</v>
      </c>
      <c r="J61" s="669">
        <f t="shared" si="8"/>
        <v>0</v>
      </c>
      <c r="K61" s="669">
        <f t="shared" si="8"/>
        <v>170.73259647328177</v>
      </c>
      <c r="L61" s="669">
        <f t="shared" si="8"/>
        <v>0</v>
      </c>
      <c r="M61" s="669">
        <f t="shared" ca="1" si="8"/>
        <v>0</v>
      </c>
      <c r="N61" s="669">
        <f t="shared" si="8"/>
        <v>0</v>
      </c>
      <c r="O61" s="669">
        <f t="shared" ca="1" si="8"/>
        <v>0</v>
      </c>
      <c r="P61" s="669">
        <f t="shared" si="8"/>
        <v>0</v>
      </c>
      <c r="Q61" s="669">
        <f t="shared" si="8"/>
        <v>0</v>
      </c>
      <c r="R61" s="669">
        <f ca="1">R46+R52+R56</f>
        <v>37032.640015451878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0.21066569159885695</v>
      </c>
      <c r="D63" s="710">
        <f t="shared" ca="1" si="9"/>
        <v>0.23764705882352943</v>
      </c>
      <c r="E63" s="954">
        <f t="shared" ca="1" si="9"/>
        <v>0.20200000000000004</v>
      </c>
      <c r="F63" s="710">
        <f t="shared" si="9"/>
        <v>0.22699999999999998</v>
      </c>
      <c r="G63" s="710">
        <f t="shared" ca="1" si="9"/>
        <v>0.26700000000000002</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2079.3261944443775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9087.7499999999982</v>
      </c>
      <c r="D76" s="964">
        <f>'lokale energieproductie'!C8</f>
        <v>10691.470588235292</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2159.677058823529</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2079.3261944443775</v>
      </c>
      <c r="C78" s="684">
        <f>SUM(C72:C77)</f>
        <v>9087.7499999999982</v>
      </c>
      <c r="D78" s="685">
        <f t="shared" ref="D78:H78" si="10">SUM(D76:D77)</f>
        <v>10691.470588235292</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2159.677058823529</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12982.499999999998</v>
      </c>
      <c r="D87" s="706">
        <f>'lokale energieproductie'!C17</f>
        <v>15273.529411764704</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3085.2529411764704</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12982.499999999998</v>
      </c>
      <c r="D90" s="684">
        <f t="shared" ref="D90:H90" si="12">SUM(D87:D89)</f>
        <v>15273.529411764704</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3085.2529411764704</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14800.781884931937</v>
      </c>
      <c r="C4" s="442">
        <f>huishoudens!C8</f>
        <v>0</v>
      </c>
      <c r="D4" s="442">
        <f>huishoudens!D8</f>
        <v>39670.409282809203</v>
      </c>
      <c r="E4" s="442">
        <f>huishoudens!E8</f>
        <v>498.57293289147322</v>
      </c>
      <c r="F4" s="442">
        <f>huishoudens!F8</f>
        <v>15728.420582254777</v>
      </c>
      <c r="G4" s="442">
        <f>huishoudens!G8</f>
        <v>0</v>
      </c>
      <c r="H4" s="442">
        <f>huishoudens!H8</f>
        <v>0</v>
      </c>
      <c r="I4" s="442">
        <f>huishoudens!I8</f>
        <v>0</v>
      </c>
      <c r="J4" s="442">
        <f>huishoudens!J8</f>
        <v>366.78617381487641</v>
      </c>
      <c r="K4" s="442">
        <f>huishoudens!K8</f>
        <v>0</v>
      </c>
      <c r="L4" s="442">
        <f>huishoudens!L8</f>
        <v>0</v>
      </c>
      <c r="M4" s="442">
        <f>huishoudens!M8</f>
        <v>0</v>
      </c>
      <c r="N4" s="442">
        <f>huishoudens!N8</f>
        <v>4045.5914654762864</v>
      </c>
      <c r="O4" s="442">
        <f>huishoudens!O8</f>
        <v>103.17999999999999</v>
      </c>
      <c r="P4" s="443">
        <f>huishoudens!P8</f>
        <v>305.06666666666666</v>
      </c>
      <c r="Q4" s="444">
        <f>SUM(B4:P4)</f>
        <v>75518.808988845223</v>
      </c>
    </row>
    <row r="5" spans="1:17">
      <c r="A5" s="441" t="s">
        <v>149</v>
      </c>
      <c r="B5" s="442">
        <f ca="1">tertiair!B16</f>
        <v>8763.5371100000011</v>
      </c>
      <c r="C5" s="442">
        <f ca="1">tertiair!C16</f>
        <v>35.357142857142861</v>
      </c>
      <c r="D5" s="442">
        <f ca="1">tertiair!D16</f>
        <v>10409.683684454209</v>
      </c>
      <c r="E5" s="442">
        <f>tertiair!E16</f>
        <v>152.31427885073441</v>
      </c>
      <c r="F5" s="442">
        <f ca="1">tertiair!F16</f>
        <v>1944.5864447069475</v>
      </c>
      <c r="G5" s="442">
        <f>tertiair!G16</f>
        <v>0</v>
      </c>
      <c r="H5" s="442">
        <f>tertiair!H16</f>
        <v>0</v>
      </c>
      <c r="I5" s="442">
        <f>tertiair!I16</f>
        <v>0</v>
      </c>
      <c r="J5" s="442">
        <f>tertiair!J16</f>
        <v>0</v>
      </c>
      <c r="K5" s="442">
        <f>tertiair!K16</f>
        <v>0</v>
      </c>
      <c r="L5" s="442">
        <f ca="1">tertiair!L16</f>
        <v>0</v>
      </c>
      <c r="M5" s="442">
        <f>tertiair!M16</f>
        <v>0</v>
      </c>
      <c r="N5" s="442">
        <f ca="1">tertiair!N16</f>
        <v>585.59937071553668</v>
      </c>
      <c r="O5" s="442">
        <f>tertiair!O16</f>
        <v>3.1266666666666669</v>
      </c>
      <c r="P5" s="443">
        <f>tertiair!P16</f>
        <v>19.066666666666666</v>
      </c>
      <c r="Q5" s="441">
        <f t="shared" ref="Q5:Q14" ca="1" si="0">SUM(B5:P5)</f>
        <v>21913.271364917906</v>
      </c>
    </row>
    <row r="6" spans="1:17">
      <c r="A6" s="441" t="s">
        <v>187</v>
      </c>
      <c r="B6" s="442">
        <f>'openbare verlichting'!B8</f>
        <v>439.327</v>
      </c>
      <c r="C6" s="442"/>
      <c r="D6" s="442"/>
      <c r="E6" s="442"/>
      <c r="F6" s="442"/>
      <c r="G6" s="442"/>
      <c r="H6" s="442"/>
      <c r="I6" s="442"/>
      <c r="J6" s="442"/>
      <c r="K6" s="442"/>
      <c r="L6" s="442"/>
      <c r="M6" s="442"/>
      <c r="N6" s="442"/>
      <c r="O6" s="442"/>
      <c r="P6" s="443"/>
      <c r="Q6" s="441">
        <f t="shared" si="0"/>
        <v>439.327</v>
      </c>
    </row>
    <row r="7" spans="1:17">
      <c r="A7" s="441" t="s">
        <v>105</v>
      </c>
      <c r="B7" s="442">
        <f>landbouw!B8</f>
        <v>975.46069999999997</v>
      </c>
      <c r="C7" s="442">
        <f>landbouw!C8</f>
        <v>12947.142857142855</v>
      </c>
      <c r="D7" s="442">
        <f>landbouw!D8</f>
        <v>540.01215454210251</v>
      </c>
      <c r="E7" s="442">
        <f>landbouw!E8</f>
        <v>20.917329949509913</v>
      </c>
      <c r="F7" s="442">
        <f>landbouw!F8</f>
        <v>3164.0819400991959</v>
      </c>
      <c r="G7" s="442">
        <f>landbouw!G8</f>
        <v>0</v>
      </c>
      <c r="H7" s="442">
        <f>landbouw!H8</f>
        <v>0</v>
      </c>
      <c r="I7" s="442">
        <f>landbouw!I8</f>
        <v>0</v>
      </c>
      <c r="J7" s="442">
        <f>landbouw!J8</f>
        <v>93.986153956863546</v>
      </c>
      <c r="K7" s="442">
        <f>landbouw!K8</f>
        <v>0</v>
      </c>
      <c r="L7" s="442">
        <f>landbouw!L8</f>
        <v>0</v>
      </c>
      <c r="M7" s="442">
        <f>landbouw!M8</f>
        <v>0</v>
      </c>
      <c r="N7" s="442">
        <f>landbouw!N8</f>
        <v>0</v>
      </c>
      <c r="O7" s="442">
        <f>landbouw!O8</f>
        <v>0</v>
      </c>
      <c r="P7" s="443">
        <f>landbouw!P8</f>
        <v>0</v>
      </c>
      <c r="Q7" s="441">
        <f t="shared" si="0"/>
        <v>17741.601135690526</v>
      </c>
    </row>
    <row r="8" spans="1:17">
      <c r="A8" s="441" t="s">
        <v>612</v>
      </c>
      <c r="B8" s="442">
        <f>industrie!B18</f>
        <v>4374.1577399999996</v>
      </c>
      <c r="C8" s="442">
        <f>industrie!C18</f>
        <v>0</v>
      </c>
      <c r="D8" s="442">
        <f>industrie!D18</f>
        <v>1706.5586452597802</v>
      </c>
      <c r="E8" s="442">
        <f>industrie!E18</f>
        <v>348.50597615198188</v>
      </c>
      <c r="F8" s="442">
        <f>industrie!F18</f>
        <v>1833.3878432701667</v>
      </c>
      <c r="G8" s="442">
        <f>industrie!G18</f>
        <v>0</v>
      </c>
      <c r="H8" s="442">
        <f>industrie!H18</f>
        <v>0</v>
      </c>
      <c r="I8" s="442">
        <f>industrie!I18</f>
        <v>0</v>
      </c>
      <c r="J8" s="442">
        <f>industrie!J18</f>
        <v>21.523142491767956</v>
      </c>
      <c r="K8" s="442">
        <f>industrie!K18</f>
        <v>0</v>
      </c>
      <c r="L8" s="442">
        <f>industrie!L18</f>
        <v>0</v>
      </c>
      <c r="M8" s="442">
        <f>industrie!M18</f>
        <v>0</v>
      </c>
      <c r="N8" s="442">
        <f>industrie!N18</f>
        <v>393.27896362574342</v>
      </c>
      <c r="O8" s="442">
        <f>industrie!O18</f>
        <v>0</v>
      </c>
      <c r="P8" s="443">
        <f>industrie!P18</f>
        <v>0</v>
      </c>
      <c r="Q8" s="441">
        <f t="shared" si="0"/>
        <v>8677.4123107994401</v>
      </c>
    </row>
    <row r="9" spans="1:17" s="447" customFormat="1">
      <c r="A9" s="445" t="s">
        <v>556</v>
      </c>
      <c r="B9" s="446">
        <f>transport!B14</f>
        <v>7.1648960358896119</v>
      </c>
      <c r="C9" s="446">
        <f>transport!C14</f>
        <v>0</v>
      </c>
      <c r="D9" s="446">
        <f>transport!D14</f>
        <v>11.550669121373371</v>
      </c>
      <c r="E9" s="446">
        <f>transport!E14</f>
        <v>111.54865542208695</v>
      </c>
      <c r="F9" s="446">
        <f>transport!F14</f>
        <v>0</v>
      </c>
      <c r="G9" s="446">
        <f>transport!G14</f>
        <v>32030.583985942027</v>
      </c>
      <c r="H9" s="446">
        <f>transport!H14</f>
        <v>7073.0311069740192</v>
      </c>
      <c r="I9" s="446">
        <f>transport!I14</f>
        <v>0</v>
      </c>
      <c r="J9" s="446">
        <f>transport!J14</f>
        <v>0</v>
      </c>
      <c r="K9" s="446">
        <f>transport!K14</f>
        <v>0</v>
      </c>
      <c r="L9" s="446">
        <f>transport!L14</f>
        <v>0</v>
      </c>
      <c r="M9" s="446">
        <f>transport!M14</f>
        <v>2072.7897558093414</v>
      </c>
      <c r="N9" s="446">
        <f>transport!N14</f>
        <v>0</v>
      </c>
      <c r="O9" s="446">
        <f>transport!O14</f>
        <v>0</v>
      </c>
      <c r="P9" s="446">
        <f>transport!P14</f>
        <v>0</v>
      </c>
      <c r="Q9" s="445">
        <f>SUM(B9:P9)</f>
        <v>41306.669069304735</v>
      </c>
    </row>
    <row r="10" spans="1:17">
      <c r="A10" s="441" t="s">
        <v>546</v>
      </c>
      <c r="B10" s="442">
        <f>transport!B54</f>
        <v>2.3273653283712226</v>
      </c>
      <c r="C10" s="442">
        <f>transport!C54</f>
        <v>0</v>
      </c>
      <c r="D10" s="442">
        <f>transport!D54</f>
        <v>0</v>
      </c>
      <c r="E10" s="442">
        <f>transport!E54</f>
        <v>0</v>
      </c>
      <c r="F10" s="442">
        <f>transport!F54</f>
        <v>0</v>
      </c>
      <c r="G10" s="442">
        <f>transport!G54</f>
        <v>441.00502908467359</v>
      </c>
      <c r="H10" s="442">
        <f>transport!H54</f>
        <v>0</v>
      </c>
      <c r="I10" s="442">
        <f>transport!I54</f>
        <v>0</v>
      </c>
      <c r="J10" s="442">
        <f>transport!J54</f>
        <v>0</v>
      </c>
      <c r="K10" s="442">
        <f>transport!K54</f>
        <v>0</v>
      </c>
      <c r="L10" s="442">
        <f>transport!L54</f>
        <v>0</v>
      </c>
      <c r="M10" s="442">
        <f>transport!M54</f>
        <v>25.387793406088591</v>
      </c>
      <c r="N10" s="442">
        <f>transport!N54</f>
        <v>0</v>
      </c>
      <c r="O10" s="442">
        <f>transport!O54</f>
        <v>0</v>
      </c>
      <c r="P10" s="443">
        <f>transport!P54</f>
        <v>0</v>
      </c>
      <c r="Q10" s="441">
        <f t="shared" si="0"/>
        <v>468.7201878191334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464.76229999999998</v>
      </c>
      <c r="C14" s="449"/>
      <c r="D14" s="449">
        <f>'SEAP template'!E25</f>
        <v>889.36579366950502</v>
      </c>
      <c r="E14" s="449"/>
      <c r="F14" s="449"/>
      <c r="G14" s="449"/>
      <c r="H14" s="449"/>
      <c r="I14" s="449"/>
      <c r="J14" s="449"/>
      <c r="K14" s="449"/>
      <c r="L14" s="449"/>
      <c r="M14" s="449"/>
      <c r="N14" s="449"/>
      <c r="O14" s="449"/>
      <c r="P14" s="450"/>
      <c r="Q14" s="441">
        <f t="shared" si="0"/>
        <v>1354.128093669505</v>
      </c>
    </row>
    <row r="15" spans="1:17" s="451" customFormat="1">
      <c r="A15" s="969" t="s">
        <v>550</v>
      </c>
      <c r="B15" s="909">
        <f ca="1">SUM(B4:B14)</f>
        <v>29827.518996296199</v>
      </c>
      <c r="C15" s="909">
        <f t="shared" ref="C15:Q15" ca="1" si="1">SUM(C4:C14)</f>
        <v>12982.499999999998</v>
      </c>
      <c r="D15" s="909">
        <f t="shared" ca="1" si="1"/>
        <v>53227.580229856161</v>
      </c>
      <c r="E15" s="909">
        <f t="shared" si="1"/>
        <v>1131.8591732657865</v>
      </c>
      <c r="F15" s="909">
        <f t="shared" ca="1" si="1"/>
        <v>22670.476810331089</v>
      </c>
      <c r="G15" s="909">
        <f t="shared" si="1"/>
        <v>32471.589015026701</v>
      </c>
      <c r="H15" s="909">
        <f t="shared" si="1"/>
        <v>7073.0311069740192</v>
      </c>
      <c r="I15" s="909">
        <f t="shared" si="1"/>
        <v>0</v>
      </c>
      <c r="J15" s="909">
        <f t="shared" si="1"/>
        <v>482.29547026350787</v>
      </c>
      <c r="K15" s="909">
        <f t="shared" si="1"/>
        <v>0</v>
      </c>
      <c r="L15" s="909">
        <f t="shared" ca="1" si="1"/>
        <v>0</v>
      </c>
      <c r="M15" s="909">
        <f t="shared" si="1"/>
        <v>2098.1775492154302</v>
      </c>
      <c r="N15" s="909">
        <f t="shared" ca="1" si="1"/>
        <v>5024.4697998175661</v>
      </c>
      <c r="O15" s="909">
        <f t="shared" si="1"/>
        <v>106.30666666666666</v>
      </c>
      <c r="P15" s="909">
        <f t="shared" si="1"/>
        <v>324.13333333333333</v>
      </c>
      <c r="Q15" s="909">
        <f t="shared" ca="1" si="1"/>
        <v>167419.93815104646</v>
      </c>
    </row>
    <row r="17" spans="1:17">
      <c r="A17" s="452" t="s">
        <v>551</v>
      </c>
      <c r="B17" s="715">
        <f ca="1">huishoudens!B10</f>
        <v>0.21066569159885695</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3118.01695199302</v>
      </c>
      <c r="C22" s="442">
        <f t="shared" ref="C22:C32" ca="1" si="3">C4*$C$17</f>
        <v>0</v>
      </c>
      <c r="D22" s="442">
        <f t="shared" ref="D22:D32" si="4">D4*$D$17</f>
        <v>8013.42267512746</v>
      </c>
      <c r="E22" s="442">
        <f t="shared" ref="E22:E32" si="5">E4*$E$17</f>
        <v>113.17605576636443</v>
      </c>
      <c r="F22" s="442">
        <f t="shared" ref="F22:F32" si="6">F4*$F$17</f>
        <v>4199.4882954620261</v>
      </c>
      <c r="G22" s="442">
        <f t="shared" ref="G22:G32" si="7">G4*$G$17</f>
        <v>0</v>
      </c>
      <c r="H22" s="442">
        <f t="shared" ref="H22:H32" si="8">H4*$H$17</f>
        <v>0</v>
      </c>
      <c r="I22" s="442">
        <f t="shared" ref="I22:I32" si="9">I4*$I$17</f>
        <v>0</v>
      </c>
      <c r="J22" s="442">
        <f t="shared" ref="J22:J32" si="10">J4*$J$17</f>
        <v>129.84230553046623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15573.946283879337</v>
      </c>
    </row>
    <row r="23" spans="1:17">
      <c r="A23" s="441" t="s">
        <v>149</v>
      </c>
      <c r="B23" s="442">
        <f t="shared" ca="1" si="2"/>
        <v>1846.1766061303983</v>
      </c>
      <c r="C23" s="442">
        <f t="shared" ca="1" si="3"/>
        <v>8.4025210084033635</v>
      </c>
      <c r="D23" s="442">
        <f t="shared" ca="1" si="4"/>
        <v>2102.7561042597504</v>
      </c>
      <c r="E23" s="442">
        <f t="shared" si="5"/>
        <v>34.575341299116715</v>
      </c>
      <c r="F23" s="442">
        <f t="shared" ca="1" si="6"/>
        <v>519.20458073675502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4511.1151534344235</v>
      </c>
    </row>
    <row r="24" spans="1:17">
      <c r="A24" s="441" t="s">
        <v>187</v>
      </c>
      <c r="B24" s="442">
        <f t="shared" ca="1" si="2"/>
        <v>92.551126293051027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92.551126293051027</v>
      </c>
    </row>
    <row r="25" spans="1:17">
      <c r="A25" s="441" t="s">
        <v>105</v>
      </c>
      <c r="B25" s="442">
        <f t="shared" ca="1" si="2"/>
        <v>205.49610299300511</v>
      </c>
      <c r="C25" s="442">
        <f t="shared" ca="1" si="3"/>
        <v>3076.8504201680671</v>
      </c>
      <c r="D25" s="442">
        <f t="shared" si="4"/>
        <v>109.08245521750472</v>
      </c>
      <c r="E25" s="442">
        <f t="shared" si="5"/>
        <v>4.74823389853875</v>
      </c>
      <c r="F25" s="442">
        <f t="shared" si="6"/>
        <v>844.80987800648541</v>
      </c>
      <c r="G25" s="442">
        <f t="shared" si="7"/>
        <v>0</v>
      </c>
      <c r="H25" s="442">
        <f t="shared" si="8"/>
        <v>0</v>
      </c>
      <c r="I25" s="442">
        <f t="shared" si="9"/>
        <v>0</v>
      </c>
      <c r="J25" s="442">
        <f t="shared" si="10"/>
        <v>33.271098500729693</v>
      </c>
      <c r="K25" s="442">
        <f t="shared" si="11"/>
        <v>0</v>
      </c>
      <c r="L25" s="442">
        <f t="shared" si="12"/>
        <v>0</v>
      </c>
      <c r="M25" s="442">
        <f t="shared" si="13"/>
        <v>0</v>
      </c>
      <c r="N25" s="442">
        <f t="shared" si="14"/>
        <v>0</v>
      </c>
      <c r="O25" s="442">
        <f t="shared" si="15"/>
        <v>0</v>
      </c>
      <c r="P25" s="443">
        <f t="shared" si="16"/>
        <v>0</v>
      </c>
      <c r="Q25" s="441">
        <f t="shared" ca="1" si="17"/>
        <v>4274.2581887843307</v>
      </c>
    </row>
    <row r="26" spans="1:17">
      <c r="A26" s="441" t="s">
        <v>612</v>
      </c>
      <c r="B26" s="442">
        <f t="shared" ca="1" si="2"/>
        <v>921.48496545959301</v>
      </c>
      <c r="C26" s="442">
        <f t="shared" ca="1" si="3"/>
        <v>0</v>
      </c>
      <c r="D26" s="442">
        <f t="shared" si="4"/>
        <v>344.72484634247564</v>
      </c>
      <c r="E26" s="442">
        <f t="shared" si="5"/>
        <v>79.110856586499892</v>
      </c>
      <c r="F26" s="442">
        <f t="shared" si="6"/>
        <v>489.51455415313455</v>
      </c>
      <c r="G26" s="442">
        <f t="shared" si="7"/>
        <v>0</v>
      </c>
      <c r="H26" s="442">
        <f t="shared" si="8"/>
        <v>0</v>
      </c>
      <c r="I26" s="442">
        <f t="shared" si="9"/>
        <v>0</v>
      </c>
      <c r="J26" s="442">
        <f t="shared" si="10"/>
        <v>7.6191924420858559</v>
      </c>
      <c r="K26" s="442">
        <f t="shared" si="11"/>
        <v>0</v>
      </c>
      <c r="L26" s="442">
        <f t="shared" si="12"/>
        <v>0</v>
      </c>
      <c r="M26" s="442">
        <f t="shared" si="13"/>
        <v>0</v>
      </c>
      <c r="N26" s="442">
        <f t="shared" si="14"/>
        <v>0</v>
      </c>
      <c r="O26" s="442">
        <f t="shared" si="15"/>
        <v>0</v>
      </c>
      <c r="P26" s="443">
        <f t="shared" si="16"/>
        <v>0</v>
      </c>
      <c r="Q26" s="441">
        <f t="shared" ca="1" si="17"/>
        <v>1842.4544149837889</v>
      </c>
    </row>
    <row r="27" spans="1:17" s="447" customFormat="1">
      <c r="A27" s="445" t="s">
        <v>556</v>
      </c>
      <c r="B27" s="709">
        <f t="shared" ca="1" si="2"/>
        <v>1.5093977786345938</v>
      </c>
      <c r="C27" s="446">
        <f t="shared" ca="1" si="3"/>
        <v>0</v>
      </c>
      <c r="D27" s="446">
        <f t="shared" si="4"/>
        <v>2.333235162517421</v>
      </c>
      <c r="E27" s="446">
        <f t="shared" si="5"/>
        <v>25.321544780813738</v>
      </c>
      <c r="F27" s="446">
        <f t="shared" si="6"/>
        <v>0</v>
      </c>
      <c r="G27" s="446">
        <f t="shared" si="7"/>
        <v>8552.1659242465212</v>
      </c>
      <c r="H27" s="446">
        <f t="shared" si="8"/>
        <v>1761.1847456365308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10342.514847605018</v>
      </c>
    </row>
    <row r="28" spans="1:17">
      <c r="A28" s="441" t="s">
        <v>546</v>
      </c>
      <c r="B28" s="442">
        <f t="shared" ca="1" si="2"/>
        <v>0.49029602650452442</v>
      </c>
      <c r="C28" s="442">
        <f t="shared" ca="1" si="3"/>
        <v>0</v>
      </c>
      <c r="D28" s="442">
        <f t="shared" si="4"/>
        <v>0</v>
      </c>
      <c r="E28" s="442">
        <f t="shared" si="5"/>
        <v>0</v>
      </c>
      <c r="F28" s="442">
        <f t="shared" si="6"/>
        <v>0</v>
      </c>
      <c r="G28" s="442">
        <f t="shared" si="7"/>
        <v>117.74834276560786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118.23863879211238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97.909471358575431</v>
      </c>
      <c r="C32" s="442">
        <f t="shared" ca="1" si="3"/>
        <v>0</v>
      </c>
      <c r="D32" s="442">
        <f t="shared" si="4"/>
        <v>179.65189032124002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277.56136167981543</v>
      </c>
    </row>
    <row r="33" spans="1:17" s="451" customFormat="1">
      <c r="A33" s="969" t="s">
        <v>550</v>
      </c>
      <c r="B33" s="909">
        <f ca="1">SUM(B22:B32)</f>
        <v>6283.6349180327825</v>
      </c>
      <c r="C33" s="909">
        <f t="shared" ref="C33:Q33" ca="1" si="18">SUM(C22:C32)</f>
        <v>3085.2529411764704</v>
      </c>
      <c r="D33" s="909">
        <f t="shared" ca="1" si="18"/>
        <v>10751.971206430948</v>
      </c>
      <c r="E33" s="909">
        <f t="shared" si="18"/>
        <v>256.93203233133352</v>
      </c>
      <c r="F33" s="909">
        <f t="shared" ca="1" si="18"/>
        <v>6053.0173083584014</v>
      </c>
      <c r="G33" s="909">
        <f t="shared" si="18"/>
        <v>8669.9142670121291</v>
      </c>
      <c r="H33" s="909">
        <f t="shared" si="18"/>
        <v>1761.1847456365308</v>
      </c>
      <c r="I33" s="909">
        <f t="shared" si="18"/>
        <v>0</v>
      </c>
      <c r="J33" s="909">
        <f t="shared" si="18"/>
        <v>170.73259647328177</v>
      </c>
      <c r="K33" s="909">
        <f t="shared" si="18"/>
        <v>0</v>
      </c>
      <c r="L33" s="909">
        <f t="shared" ca="1" si="18"/>
        <v>0</v>
      </c>
      <c r="M33" s="909">
        <f t="shared" si="18"/>
        <v>0</v>
      </c>
      <c r="N33" s="909">
        <f t="shared" ca="1" si="18"/>
        <v>0</v>
      </c>
      <c r="O33" s="909">
        <f t="shared" si="18"/>
        <v>0</v>
      </c>
      <c r="P33" s="909">
        <f t="shared" si="18"/>
        <v>0</v>
      </c>
      <c r="Q33" s="909">
        <f t="shared" ca="1" si="18"/>
        <v>37032.640015451878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2079.3261944443775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9087.7499999999982</v>
      </c>
      <c r="D8" s="986">
        <f>'SEAP template'!D76</f>
        <v>10691.470588235292</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2159.677058823529</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2079.3261944443775</v>
      </c>
      <c r="C10" s="990">
        <f>SUM(C4:C9)</f>
        <v>9087.7499999999982</v>
      </c>
      <c r="D10" s="990">
        <f t="shared" ref="D10:H10" si="0">SUM(D8:D9)</f>
        <v>10691.470588235292</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2159.677058823529</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0.21066569159885695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12982.499999999998</v>
      </c>
      <c r="D17" s="987">
        <f>'SEAP template'!D87</f>
        <v>15273.529411764704</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3085.2529411764704</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12982.499999999998</v>
      </c>
      <c r="D20" s="990">
        <f t="shared" ref="D20:H20" si="2">SUM(D17:D19)</f>
        <v>15273.529411764704</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3085.2529411764704</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0.21066569159885695</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2022-07-26T11:26:49Z</dcterms:modified>
</cp:coreProperties>
</file>