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A696AAD-F9C4-43FB-BFE0-598AAC0CF8D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<sst xmlns="http://schemas.openxmlformats.org/spreadsheetml/2006/main" count="2446" uniqueCount="910">
  <si>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</si>
  <si>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</si>
  <si>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</si>
  <si>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</si>
  <si>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</si>
  <si>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</si>
  <si>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</si>
  <si>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</si>
  <si>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</si>
  <si>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</si>
  <si>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</si>
  <si>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</si>
  <si>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</si>
  <si>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</si>
  <si>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</si>
  <si>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</si>
  <si>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</si>
  <si>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</si>
  <si>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</si>
  <si>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</si>
  <si>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</si>
  <si>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</si>
  <si>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</si>
  <si>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</si>
  <si>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</si>
  <si>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</si>
  <si>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</si>
  <si>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</si>
  <si>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</si>
  <si>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</si>
  <si>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</si>
  <si>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</si>
  <si>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</si>
  <si>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</si>
  <si>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</si>
  <si>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</si>
  <si>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</si>
  <si>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</si>
  <si>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</si>
  <si>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</si>
  <si>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</si>
  <si>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</si>
  <si>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</si>
  <si>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</si>
  <si>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</si>
  <si>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</si>
  <si>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</si>
  <si>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</si>
  <si>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</si>
  <si>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</si>
  <si>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</si>
  <si>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</si>
  <si>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</si>
  <si>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</si>
  <si>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</si>
  <si>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</si>
  <si>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</si>
  <si>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</si>
  <si>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</si>
  <si>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</si>
  <si>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</si>
  <si>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</si>
  <si>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</si>
  <si>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</si>
  <si>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</si>
  <si>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</si>
  <si>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</si>
  <si>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</si>
  <si>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</si>
  <si>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</si>
  <si>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</si>
  <si>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</si>
  <si>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</si>
  <si>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</si>
  <si>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</si>
  <si>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</si>
  <si>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</si>
  <si>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</si>
  <si>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</si>
  <si>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</si>
  <si>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</si>
  <si>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</si>
  <si>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</si>
  <si>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</si>
  <si>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</si>
  <si>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</si>
  <si>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</si>
  <si>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</si>
  <si>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</si>
  <si>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</si>
  <si>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</si>
  <si>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</si>
  <si>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</si>
  <si>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</si>
  <si>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</si>
  <si>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</si>
  <si>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</si>
  <si>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</si>
  <si>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</si>
  <si>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</si>
  <si>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</si>
  <si>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</si>
  <si>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</si>
  <si>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</si>
  <si>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</si>
  <si>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</si>
  <si>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</si>
  <si>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</si>
  <si>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</si>
  <si>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</si>
  <si>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</si>
  <si>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</si>
  <si>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</si>
  <si>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</si>
  <si>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</si>
  <si>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</si>
  <si>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</si>
  <si>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</si>
  <si>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</si>
  <si>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</si>
  <si>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</si>
  <si>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</si>
  <si>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</si>
  <si>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</si>
  <si>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</si>
  <si>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</si>
  <si>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</si>
  <si>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</si>
  <si>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</si>
  <si>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</si>
  <si>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</si>
  <si>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</si>
  <si>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</si>
  <si>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</si>
  <si>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</si>
  <si>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</si>
  <si>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</si>
  <si>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</si>
  <si>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</si>
  <si>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</si>
  <si>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</si>
  <si>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</si>
  <si>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</si>
  <si>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</si>
  <si>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</si>
  <si>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</si>
  <si>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</si>
  <si>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</si>
  <si>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</si>
  <si>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</si>
  <si>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</si>
  <si>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</si>
  <si>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</si>
  <si>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</si>
  <si>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</si>
  <si>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</si>
  <si>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</si>
  <si>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</si>
  <si>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</si>
  <si>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</si>
  <si>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</si>
  <si>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</si>
  <si>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</si>
  <si>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</si>
  <si>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</si>
  <si>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</si>
  <si>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</si>
  <si>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</si>
  <si>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</si>
  <si>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</si>
  <si>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</si>
  <si>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</si>
  <si>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</si>
  <si>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</si>
  <si>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</si>
  <si>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</si>
  <si>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</si>
  <si>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</si>
  <si>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</si>
  <si>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</si>
  <si>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</si>
  <si>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</si>
  <si>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</si>
  <si>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</si>
  <si>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</si>
  <si>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</si>
  <si>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</si>
  <si>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</si>
  <si>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</si>
  <si>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</si>
  <si>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</si>
  <si>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</si>
  <si>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</si>
  <si>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</si>
  <si>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</si>
  <si>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</si>
  <si>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</si>
  <si>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</si>
  <si>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</si>
  <si>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</si>
  <si>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</si>
  <si>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</si>
  <si>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</si>
  <si>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</si>
  <si>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</si>
  <si>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</si>
  <si>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</si>
  <si>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</si>
  <si>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</si>
  <si>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</si>
  <si>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</si>
  <si>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</si>
  <si>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</si>
  <si>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</si>
  <si>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</si>
  <si>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</si>
  <si>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</si>
  <si>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</si>
  <si>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</si>
  <si>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</si>
  <si>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</si>
  <si>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</si>
  <si>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</si>
  <si>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</si>
  <si>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</si>
  <si>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</si>
  <si>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</si>
  <si>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</si>
  <si>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</si>
  <si>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</si>
  <si>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</si>
  <si>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</si>
  <si>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</si>
  <si>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</si>
  <si>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</si>
  <si>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</si>
  <si>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</si>
  <si>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</si>
  <si>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</si>
  <si>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</si>
  <si>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</si>
  <si>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</si>
  <si>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</si>
  <si>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</si>
  <si>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</si>
  <si>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</si>
  <si>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</si>
  <si>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</si>
  <si>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</si>
  <si>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</si>
  <si>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</si>
  <si>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</si>
  <si>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</si>
  <si>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</si>
  <si>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</si>
  <si>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</si>
  <si>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</si>
  <si>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</si>
  <si>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</si>
  <si>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</si>
  <si>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</si>
  <si>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</si>
  <si>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</si>
  <si>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</si>
  <si>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</si>
  <si>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</si>
  <si>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</si>
  <si>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</si>
  <si>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</si>
  <si>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</si>
  <si>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</si>
  <si>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</si>
  <si>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</si>
  <si>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</si>
  <si>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</si>
  <si>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</si>
  <si>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</si>
  <si>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</si>
  <si>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</si>
  <si>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</si>
  <si>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</si>
  <si>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</si>
  <si>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</si>
  <si>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</si>
  <si>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</si>
  <si>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</si>
  <si>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</si>
  <si>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</si>
  <si>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</si>
  <si>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</si>
  <si>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</si>
  <si>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</si>
  <si>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</si>
  <si>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</si>
  <si>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</si>
  <si>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</si>
  <si>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</si>
  <si>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</si>
  <si>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</si>
  <si>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</si>
  <si>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</si>
  <si>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</si>
  <si>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</si>
  <si>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</si>
  <si>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</si>
  <si>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</si>
  <si>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</si>
  <si>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</si>
  <si>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</si>
  <si>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</si>
  <si>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</si>
  <si>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</si>
  <si>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</si>
  <si>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</si>
  <si>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</si>
  <si>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</si>
  <si>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</si>
  <si>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</si>
  <si>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</si>
  <si>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</si>
  <si>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</si>
  <si>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</si>
  <si>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</si>
  <si>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</si>
  <si>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</si>
  <si>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</si>
  <si>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</si>
  <si>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</si>
  <si>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</si>
  <si>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</si>
  <si>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</si>
  <si>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</si>
  <si>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</si>
  <si>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</si>
  <si>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</si>
  <si>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</si>
  <si>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</si>
  <si>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</si>
  <si>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</si>
  <si>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</si>
  <si>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</si>
  <si>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</si>
  <si>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</si>
  <si>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</si>
  <si>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</si>
  <si>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</si>
  <si>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</si>
  <si>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</si>
  <si>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</si>
  <si>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</si>
  <si>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</si>
  <si>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</si>
  <si>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</si>
  <si>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</si>
  <si>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</si>
  <si>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</si>
  <si>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</si>
  <si>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</si>
  <si>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</si>
  <si>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</si>
  <si>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</si>
  <si>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</si>
  <si>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</si>
  <si>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</si>
  <si>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</si>
  <si>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</si>
  <si>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</si>
  <si>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</si>
  <si>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</si>
  <si>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</si>
  <si>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</si>
  <si>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</si>
  <si>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</si>
  <si>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</si>
  <si>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</si>
  <si>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</si>
  <si>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</si>
  <si>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</si>
  <si>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</si>
  <si>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</si>
  <si>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</si>
  <si>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</si>
  <si>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</si>
  <si>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</si>
  <si>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</si>
  <si>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</si>
  <si>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</si>
  <si>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</si>
  <si>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</si>
  <si>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</si>
  <si>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</si>
  <si>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</si>
  <si>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</si>
  <si>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</si>
  <si>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</si>
  <si>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</si>
  <si>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</si>
  <si>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</si>
  <si>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</si>
  <si>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</si>
  <si>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</si>
  <si>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</si>
  <si>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</si>
  <si>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</si>
  <si>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</si>
  <si>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</si>
  <si>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</si>
  <si>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</si>
  <si>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</si>
  <si>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</si>
  <si>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</si>
  <si>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</si>
  <si>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</si>
  <si>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</si>
  <si>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</si>
  <si>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</si>
  <si>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</si>
  <si>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</si>
  <si>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</si>
  <si>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</si>
  <si>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</si>
  <si>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</si>
  <si>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</si>
  <si>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</si>
  <si>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</si>
  <si>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</si>
  <si>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</si>
  <si>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</si>
  <si>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</si>
  <si>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</si>
  <si>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</si>
  <si>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</si>
  <si>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</si>
  <si>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</si>
  <si>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</si>
  <si>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</si>
  <si>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</si>
  <si>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</si>
  <si>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</si>
  <si>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</si>
  <si>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</si>
  <si>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</si>
  <si>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</si>
  <si>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</si>
  <si>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</si>
  <si>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</si>
  <si>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</si>
  <si>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</si>
  <si>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</si>
  <si>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</si>
  <si>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</si>
  <si>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</si>
  <si>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</si>
  <si>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</si>
  <si>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</si>
  <si>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</si>
  <si>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</si>
  <si>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</si>
  <si>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</si>
  <si>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</si>
  <si>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</si>
  <si>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</si>
  <si>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</si>
  <si>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</si>
  <si>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</si>
  <si>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</si>
  <si>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</si>
  <si>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</si>
  <si>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</si>
  <si>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</si>
  <si>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</si>
  <si>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</si>
  <si>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</si>
  <si>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</si>
  <si>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</si>
  <si>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</si>
  <si>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</si>
  <si>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</si>
  <si>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</si>
  <si>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</si>
  <si>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</si>
  <si>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</si>
  <si>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</si>
  <si>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</si>
  <si>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</si>
  <si>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</si>
  <si>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</si>
  <si>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</si>
  <si>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</si>
  <si>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</si>
  <si>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</si>
  <si>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</si>
  <si>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</si>
  <si>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</si>
  <si>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</si>
  <si>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</si>
  <si>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</si>
  <si>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</si>
  <si>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</si>
  <si>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</si>
  <si>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</si>
  <si>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</si>
  <si>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</si>
  <si>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</si>
  <si>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</si>
  <si>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</si>
  <si>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</si>
  <si>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</si>
  <si>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</si>
  <si>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</si>
  <si>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</si>
  <si>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</si>
  <si>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</si>
  <si>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</si>
  <si>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</si>
  <si>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</si>
  <si>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</si>
  <si>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</si>
  <si>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</si>
  <si>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</si>
  <si>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</si>
  <si>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</si>
  <si>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</si>
  <si>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</si>
  <si>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</si>
  <si>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</si>
  <si>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</si>
  <si>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</si>
  <si>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</si>
  <si>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</si>
  <si>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</si>
  <si>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</si>
  <si>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</si>
  <si>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</si>
  <si>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</si>
  <si>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</si>
  <si>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</si>
  <si>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</si>
  <si>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</si>
  <si>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</si>
  <si>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</si>
  <si>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</si>
  <si>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</si>
  <si>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</si>
  <si>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</si>
  <si>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</si>
  <si>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</si>
  <si>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</si>
  <si>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</si>
  <si>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</si>
  <si>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</si>
  <si>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</si>
  <si>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</si>
  <si>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</si>
  <si>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</si>
  <si>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</si>
  <si>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</si>
  <si>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</si>
  <si>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</si>
  <si>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</si>
  <si>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</si>
  <si>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</si>
  <si>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</si>
  <si>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</si>
  <si>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</si>
  <si>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</si>
  <si>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</si>
  <si>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</si>
  <si>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</si>
  <si>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</si>
  <si>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</si>
  <si>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</si>
  <si>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</si>
  <si>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</si>
  <si>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</si>
  <si>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</si>
  <si>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</si>
  <si>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</si>
  <si>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</si>
  <si>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</si>
  <si>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</si>
  <si>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</si>
  <si>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</si>
  <si>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</si>
  <si>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</si>
  <si>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</si>
  <si>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</si>
  <si>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</si>
  <si>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</si>
  <si>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</si>
  <si>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</si>
  <si>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</si>
  <si>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</si>
  <si>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</si>
  <si>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</si>
  <si>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</si>
  <si>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</si>
  <si>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</si>
  <si>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</si>
  <si>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</si>
  <si>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</si>
  <si>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</si>
  <si>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</si>
  <si>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</si>
  <si>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</si>
  <si>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</si>
  <si>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</si>
  <si>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</si>
  <si>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</si>
  <si>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</si>
  <si>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</si>
  <si>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</si>
  <si>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</si>
  <si>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</si>
  <si>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</si>
  <si>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</si>
  <si>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</si>
  <si>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</si>
  <si>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</si>
  <si>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</si>
  <si>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</si>
  <si>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</si>
  <si>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</si>
  <si>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</si>
  <si>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</si>
  <si>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</si>
  <si>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</si>
  <si>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</si>
  <si>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</si>
  <si>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</si>
  <si>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</si>
  <si>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</si>
  <si>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</si>
  <si>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</si>
  <si>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</si>
  <si>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</si>
  <si>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</si>
  <si>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</si>
  <si>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</si>
  <si>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</si>
  <si>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</si>
  <si>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</si>
  <si>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</si>
  <si>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</si>
  <si>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</si>
  <si>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</si>
  <si>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</si>
  <si>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</si>
  <si>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</si>
  <si>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</si>
  <si>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</si>
  <si>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</si>
  <si>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</si>
  <si>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</si>
  <si>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</si>
  <si>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</si>
  <si>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</si>
  <si>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</si>
  <si>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</si>
  <si>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</si>
  <si>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</si>
  <si>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</si>
  <si>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</si>
  <si>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</si>
  <si>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</si>
  <si>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</si>
  <si>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</si>
  <si>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</si>
  <si>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</si>
  <si>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</si>
  <si>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</si>
  <si>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</si>
  <si>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</si>
  <si>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</si>
  <si>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</si>
  <si>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</si>
  <si>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</si>
  <si>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</si>
  <si>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</si>
  <si>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</si>
  <si>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</si>
  <si>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</si>
  <si>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</si>
  <si>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</si>
  <si>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</si>
  <si>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</si>
  <si>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</si>
  <si>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</si>
  <si>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</si>
  <si>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</si>
  <si>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</si>
  <si>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</si>
  <si>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</si>
  <si>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</si>
  <si>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</si>
  <si>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</si>
  <si>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</si>
  <si>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</si>
  <si>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</si>
  <si>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</si>
  <si>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</si>
  <si>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</si>
  <si>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</si>
  <si>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</si>
  <si>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</si>
  <si>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</si>
  <si>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</si>
  <si>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</si>
  <si>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</si>
  <si>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</si>
  <si>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</si>
  <si>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</si>
  <si>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</si>
  <si>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</si>
  <si>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</si>
  <si>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</si>
  <si>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</si>
  <si>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</si>
  <si>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</si>
  <si>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</si>
  <si>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</si>
  <si>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</si>
  <si>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</si>
  <si>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</si>
  <si>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</si>
  <si>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</si>
  <si>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</si>
  <si>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</si>
  <si>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</si>
  <si>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</si>
  <si>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</si>
  <si>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</si>
  <si>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</si>
  <si>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</si>
  <si>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</si>
  <si>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</si>
  <si>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</si>
  <si>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</si>
  <si>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</si>
  <si>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</si>
  <si>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</si>
  <si>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</si>
  <si>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</si>
  <si>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</si>
  <si>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</si>
  <si>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</si>
  <si>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</si>
  <si>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</si>
  <si>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</si>
  <si>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</si>
  <si>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</si>
  <si>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</si>
  <si>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</si>
  <si>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</si>
  <si>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</si>
  <si>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</si>
  <si>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</si>
  <si>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</si>
  <si>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</si>
  <si>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</si>
  <si>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</si>
  <si>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</si>
  <si>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</si>
  <si>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</si>
  <si>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</si>
  <si>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</si>
  <si>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</si>
  <si>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</si>
  <si>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</si>
  <si>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</si>
  <si>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</si>
  <si>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</si>
  <si>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</si>
  <si>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</si>
  <si>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</si>
  <si>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</si>
  <si>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</si>
  <si>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</si>
  <si>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</si>
  <si>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</si>
  <si>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</si>
  <si>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</si>
  <si>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</si>
  <si>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</si>
  <si>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</si>
  <si>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</si>
  <si>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</si>
  <si>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</si>
  <si>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</si>
  <si>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</si>
  <si>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</si>
  <si>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</si>
  <si>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</si>
  <si>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</si>
  <si>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</si>
  <si>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</si>
  <si>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</si>
  <si>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</si>
  <si>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</si>
  <si>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</si>
  <si>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</si>
  <si>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</si>
  <si>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</si>
  <si>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</si>
  <si>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</si>
  <si>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</si>
  <si>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</si>
  <si>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</si>
  <si>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</si>
  <si>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</si>
  <si>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</si>
  <si>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</si>
  <si>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</si>
  <si>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</si>
  <si>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</si>
  <si>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</si>
  <si>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</si>
  <si>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</si>
  <si>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</si>
  <si>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</si>
  <si>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</si>
  <si>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</si>
  <si>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</si>
  <si>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</si>
  <si>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</si>
  <si>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</si>
  <si>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</si>
  <si>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</si>
  <si>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</si>
  <si>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</si>
  <si>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</si>
  <si>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</si>
  <si>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</si>
  <si>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</si>
  <si>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</si>
  <si>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</si>
  <si>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</si>
  <si>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</si>
  <si>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</si>
  <si>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</si>
  <si>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</si>
  <si>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</si>
  <si>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</si>
  <si>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</si>
  <si>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</si>
  <si>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</si>
  <si>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</si>
  <si>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</si>
  <si>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</si>
  <si>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</si>
  <si>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</si>
  <si>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</si>
  <si>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</si>
  <si>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</si>
  <si>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</si>
  <si>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</si>
  <si>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</si>
  <si>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</si>
  <si>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</si>
  <si>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</si>
  <si>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</si>
  <si>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</si>
  <si>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</si>
  <si>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</si>
  <si>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</si>
  <si>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</si>
  <si>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</si>
  <si>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</si>
  <si>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</si>
  <si>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</si>
  <si>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</si>
  <si>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</si>
  <si>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</si>
  <si>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</si>
  <si>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</si>
  <si>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</si>
  <si>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</si>
  <si>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</si>
  <si>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</si>
  <si>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</si>
  <si>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</si>
  <si>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</si>
  <si>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</si>
  <si>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</si>
  <si>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</si>
  <si>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</si>
  <si>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</si>
  <si>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</si>
  <si>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</si>
  <si>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</si>
  <si>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</si>
  <si>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</si>
  <si>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</si>
  <si>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</si>
  <si>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</si>
  <si>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</si>
  <si>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</si>
  <si>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</si>
  <si>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</si>
  <si>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13011</t>
  </si>
  <si>
    <t>HERENTALS</t>
  </si>
  <si>
    <t>Paarden&amp;pony's 200 - 600 kg</t>
  </si>
  <si>
    <t>Paarden&amp;pony's &lt; 200 kg</t>
  </si>
  <si>
    <t>vloeibaar gas (MWh)</t>
  </si>
  <si>
    <t>interne verbrandingsmotor</t>
  </si>
  <si>
    <t>WKK interne verbrandinsgmotor (gas)</t>
  </si>
  <si>
    <t>IVEKA</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</si>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</sst>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94149EA8-423F-453C-9036-BFC43F4974A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229170.16890796938</c:v>
                </c:pt>
                <c:pt idx="1">
                  <c:v>151388.26326543983</c:v>
                </c:pt>
                <c:pt idx="2">
                  <c:v>1354.28</c:v>
                </c:pt>
                <c:pt idx="3">
                  <c:v>44216.369175145417</c:v>
                </c:pt>
                <c:pt idx="4">
                  <c:v>215073.01857810453</c:v>
                </c:pt>
                <c:pt idx="5">
                  <c:v>220839.6956522883</c:v>
                </c:pt>
                <c:pt idx="6">
                  <c:v>2399.2985479138633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229170.16890796938</c:v>
                </c:pt>
                <c:pt idx="1">
                  <c:v>151388.26326543983</c:v>
                </c:pt>
                <c:pt idx="2">
                  <c:v>1354.28</c:v>
                </c:pt>
                <c:pt idx="3">
                  <c:v>44216.369175145417</c:v>
                </c:pt>
                <c:pt idx="4">
                  <c:v>215073.01857810453</c:v>
                </c:pt>
                <c:pt idx="5">
                  <c:v>220839.6956522883</c:v>
                </c:pt>
                <c:pt idx="6">
                  <c:v>2399.2985479138633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47001.204098671675</c:v>
                </c:pt>
                <c:pt idx="2">
                  <c:v>31946.715854254555</c:v>
                </c:pt>
                <c:pt idx="3">
                  <c:v>287.19876021796114</c:v>
                </c:pt>
                <c:pt idx="4">
                  <c:v>10726.176484485033</c:v>
                </c:pt>
                <c:pt idx="5">
                  <c:v>45955.029607212084</c:v>
                </c:pt>
                <c:pt idx="6">
                  <c:v>55368.191746931756</c:v>
                </c:pt>
                <c:pt idx="7">
                  <c:v>605.26008786809462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47001.204098671675</c:v>
                </c:pt>
                <c:pt idx="2">
                  <c:v>31946.715854254555</c:v>
                </c:pt>
                <c:pt idx="3">
                  <c:v>287.19876021796114</c:v>
                </c:pt>
                <c:pt idx="4">
                  <c:v>10726.176484485033</c:v>
                </c:pt>
                <c:pt idx="5">
                  <c:v>45955.029607212084</c:v>
                </c:pt>
                <c:pt idx="6">
                  <c:v>55368.191746931756</c:v>
                </c:pt>
                <c:pt idx="7">
                  <c:v>605.26008786809462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13011</v>
      </c>
      <c r="B6" s="381"/>
      <c r="C6" s="382"/>
    </row>
    <row r="7" spans="1:7" s="379" customFormat="1" ht="15.75" customHeight="1">
      <c r="A7" s="383" t="str">
        <f>txtMunicipality</f>
        <v>HERENTALS</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0.21206748989718605</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0.21206748989718605</v>
      </c>
      <c r="C29" s="490">
        <f ca="1">'EF ele_warmte'!B22</f>
        <v>0.23764705882352946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12103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1552</v>
      </c>
      <c r="C14" s="322"/>
      <c r="D14" s="322"/>
      <c r="E14" s="322"/>
      <c r="F14" s="322"/>
    </row>
    <row r="15" spans="1:6">
      <c r="A15" s="1261" t="s">
        <v>177</v>
      </c>
      <c r="B15" s="1262">
        <v>1710</v>
      </c>
      <c r="C15" s="322"/>
      <c r="D15" s="322"/>
      <c r="E15" s="322"/>
      <c r="F15" s="322"/>
    </row>
    <row r="16" spans="1:6">
      <c r="A16" s="1261" t="s">
        <v>6</v>
      </c>
      <c r="B16" s="1262">
        <v>561</v>
      </c>
      <c r="C16" s="322"/>
      <c r="D16" s="322"/>
      <c r="E16" s="322"/>
      <c r="F16" s="322"/>
    </row>
    <row r="17" spans="1:6">
      <c r="A17" s="1261" t="s">
        <v>7</v>
      </c>
      <c r="B17" s="1262">
        <v>115</v>
      </c>
      <c r="C17" s="322"/>
      <c r="D17" s="322"/>
      <c r="E17" s="322"/>
      <c r="F17" s="322"/>
    </row>
    <row r="18" spans="1:6">
      <c r="A18" s="1261" t="s">
        <v>8</v>
      </c>
      <c r="B18" s="1262">
        <v>333</v>
      </c>
      <c r="C18" s="322"/>
      <c r="D18" s="322"/>
      <c r="E18" s="322"/>
      <c r="F18" s="322"/>
    </row>
    <row r="19" spans="1:6">
      <c r="A19" s="1261" t="s">
        <v>9</v>
      </c>
      <c r="B19" s="1262">
        <v>338</v>
      </c>
      <c r="C19" s="322"/>
      <c r="D19" s="322"/>
      <c r="E19" s="322"/>
      <c r="F19" s="322"/>
    </row>
    <row r="20" spans="1:6">
      <c r="A20" s="1261" t="s">
        <v>10</v>
      </c>
      <c r="B20" s="1262">
        <v>182</v>
      </c>
      <c r="C20" s="322"/>
      <c r="D20" s="322"/>
      <c r="E20" s="322"/>
      <c r="F20" s="322"/>
    </row>
    <row r="21" spans="1:6">
      <c r="A21" s="1261" t="s">
        <v>11</v>
      </c>
      <c r="B21" s="1262">
        <v>1301</v>
      </c>
      <c r="C21" s="322"/>
      <c r="D21" s="322"/>
      <c r="E21" s="322"/>
      <c r="F21" s="322"/>
    </row>
    <row r="22" spans="1:6">
      <c r="A22" s="1261" t="s">
        <v>12</v>
      </c>
      <c r="B22" s="1262">
        <v>4784</v>
      </c>
      <c r="C22" s="322"/>
      <c r="D22" s="322"/>
      <c r="E22" s="322"/>
      <c r="F22" s="322"/>
    </row>
    <row r="23" spans="1:6">
      <c r="A23" s="1261" t="s">
        <v>13</v>
      </c>
      <c r="B23" s="1262">
        <v>63</v>
      </c>
      <c r="C23" s="322"/>
      <c r="D23" s="322"/>
      <c r="E23" s="322"/>
      <c r="F23" s="322"/>
    </row>
    <row r="24" spans="1:6">
      <c r="A24" s="1261" t="s">
        <v>14</v>
      </c>
      <c r="B24" s="1262">
        <v>1</v>
      </c>
      <c r="C24" s="322"/>
      <c r="D24" s="322"/>
      <c r="E24" s="322"/>
      <c r="F24" s="322"/>
    </row>
    <row r="25" spans="1:6">
      <c r="A25" s="1261" t="s">
        <v>15</v>
      </c>
      <c r="B25" s="1262">
        <v>294</v>
      </c>
      <c r="C25" s="322"/>
      <c r="D25" s="322"/>
      <c r="E25" s="322"/>
      <c r="F25" s="322"/>
    </row>
    <row r="26" spans="1:6">
      <c r="A26" s="1261" t="s">
        <v>16</v>
      </c>
      <c r="B26" s="1262">
        <v>111</v>
      </c>
      <c r="C26" s="322"/>
      <c r="D26" s="322"/>
      <c r="E26" s="322"/>
      <c r="F26" s="322"/>
    </row>
    <row r="27" spans="1:6">
      <c r="A27" s="1261" t="s">
        <v>17</v>
      </c>
      <c r="B27" s="1262">
        <v>0</v>
      </c>
      <c r="C27" s="322"/>
      <c r="D27" s="322"/>
      <c r="E27" s="322"/>
      <c r="F27" s="322"/>
    </row>
    <row r="28" spans="1:6">
      <c r="A28" s="1261" t="s">
        <v>18</v>
      </c>
      <c r="B28" s="1263">
        <v>119545</v>
      </c>
      <c r="C28" s="322"/>
      <c r="D28" s="322"/>
      <c r="E28" s="322"/>
      <c r="F28" s="322"/>
    </row>
    <row r="29" spans="1:6">
      <c r="A29" s="1261" t="s">
        <v>901</v>
      </c>
      <c r="B29" s="1263">
        <v>201</v>
      </c>
      <c r="C29" s="322"/>
      <c r="D29" s="322"/>
      <c r="E29" s="322"/>
      <c r="F29" s="322"/>
    </row>
    <row r="30" spans="1:6">
      <c r="A30" s="1256" t="s">
        <v>902</v>
      </c>
      <c r="B30" s="1264">
        <v>12</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6</v>
      </c>
      <c r="F35" s="1262">
        <v>24982.639999999999</v>
      </c>
    </row>
    <row r="36" spans="1:6">
      <c r="A36" s="1261" t="s">
        <v>24</v>
      </c>
      <c r="B36" s="1261" t="s">
        <v>26</v>
      </c>
      <c r="C36" s="1262">
        <v>5</v>
      </c>
      <c r="D36" s="1262">
        <v>694489.50488563697</v>
      </c>
      <c r="E36" s="1262">
        <v>8</v>
      </c>
      <c r="F36" s="1262">
        <v>129857.3</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9684</v>
      </c>
      <c r="D39" s="1262">
        <v>135426903.51999</v>
      </c>
      <c r="E39" s="1262">
        <v>12143</v>
      </c>
      <c r="F39" s="1262">
        <v>40454680</v>
      </c>
    </row>
    <row r="40" spans="1:6">
      <c r="A40" s="1261" t="s">
        <v>29</v>
      </c>
      <c r="B40" s="1261" t="s">
        <v>28</v>
      </c>
      <c r="C40" s="1262">
        <v>0</v>
      </c>
      <c r="D40" s="1262">
        <v>0</v>
      </c>
      <c r="E40" s="1262">
        <v>0</v>
      </c>
      <c r="F40" s="1262">
        <v>0</v>
      </c>
    </row>
    <row r="41" spans="1:6">
      <c r="A41" s="1261" t="s">
        <v>31</v>
      </c>
      <c r="B41" s="1261" t="s">
        <v>32</v>
      </c>
      <c r="C41" s="1262">
        <v>116</v>
      </c>
      <c r="D41" s="1262">
        <v>3649401.2928267401</v>
      </c>
      <c r="E41" s="1262">
        <v>233</v>
      </c>
      <c r="F41" s="1262">
        <v>11832980</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14</v>
      </c>
      <c r="D44" s="1262">
        <v>1162637.33411983</v>
      </c>
      <c r="E44" s="1262">
        <v>33</v>
      </c>
      <c r="F44" s="1262">
        <v>29999274</v>
      </c>
    </row>
    <row r="45" spans="1:6">
      <c r="A45" s="1261" t="s">
        <v>31</v>
      </c>
      <c r="B45" s="1261" t="s">
        <v>36</v>
      </c>
      <c r="C45" s="1262">
        <v>0</v>
      </c>
      <c r="D45" s="1262">
        <v>0</v>
      </c>
      <c r="E45" s="1262">
        <v>3</v>
      </c>
      <c r="F45" s="1262">
        <v>203786.9</v>
      </c>
    </row>
    <row r="46" spans="1:6">
      <c r="A46" s="1261" t="s">
        <v>31</v>
      </c>
      <c r="B46" s="1261" t="s">
        <v>37</v>
      </c>
      <c r="C46" s="1262">
        <v>0</v>
      </c>
      <c r="D46" s="1262">
        <v>0</v>
      </c>
      <c r="E46" s="1262">
        <v>0</v>
      </c>
      <c r="F46" s="1262">
        <v>0</v>
      </c>
    </row>
    <row r="47" spans="1:6">
      <c r="A47" s="1261" t="s">
        <v>31</v>
      </c>
      <c r="B47" s="1261" t="s">
        <v>38</v>
      </c>
      <c r="C47" s="1262">
        <v>10</v>
      </c>
      <c r="D47" s="1262">
        <v>608566.714935489</v>
      </c>
      <c r="E47" s="1262">
        <v>14</v>
      </c>
      <c r="F47" s="1262">
        <v>2063106</v>
      </c>
    </row>
    <row r="48" spans="1:6">
      <c r="A48" s="1261" t="s">
        <v>31</v>
      </c>
      <c r="B48" s="1261" t="s">
        <v>28</v>
      </c>
      <c r="C48" s="1262">
        <v>45</v>
      </c>
      <c r="D48" s="1262">
        <v>40533109.911849201</v>
      </c>
      <c r="E48" s="1262">
        <v>57</v>
      </c>
      <c r="F48" s="1262">
        <v>57094416</v>
      </c>
    </row>
    <row r="49" spans="1:6">
      <c r="A49" s="1261" t="s">
        <v>31</v>
      </c>
      <c r="B49" s="1261" t="s">
        <v>39</v>
      </c>
      <c r="C49" s="1262">
        <v>0</v>
      </c>
      <c r="D49" s="1262">
        <v>0</v>
      </c>
      <c r="E49" s="1262">
        <v>0</v>
      </c>
      <c r="F49" s="1262">
        <v>0</v>
      </c>
    </row>
    <row r="50" spans="1:6">
      <c r="A50" s="1261" t="s">
        <v>31</v>
      </c>
      <c r="B50" s="1261" t="s">
        <v>40</v>
      </c>
      <c r="C50" s="1262">
        <v>20</v>
      </c>
      <c r="D50" s="1262">
        <v>9245244.5452365205</v>
      </c>
      <c r="E50" s="1262">
        <v>25</v>
      </c>
      <c r="F50" s="1262">
        <v>5928976</v>
      </c>
    </row>
    <row r="51" spans="1:6">
      <c r="A51" s="1261" t="s">
        <v>41</v>
      </c>
      <c r="B51" s="1261" t="s">
        <v>42</v>
      </c>
      <c r="C51" s="1262">
        <v>3</v>
      </c>
      <c r="D51" s="1262">
        <v>29608.3508536845</v>
      </c>
      <c r="E51" s="1262">
        <v>74</v>
      </c>
      <c r="F51" s="1262">
        <v>2618805</v>
      </c>
    </row>
    <row r="52" spans="1:6">
      <c r="A52" s="1261" t="s">
        <v>41</v>
      </c>
      <c r="B52" s="1261" t="s">
        <v>28</v>
      </c>
      <c r="C52" s="1262">
        <v>13</v>
      </c>
      <c r="D52" s="1262">
        <v>66365927.017569102</v>
      </c>
      <c r="E52" s="1262">
        <v>4</v>
      </c>
      <c r="F52" s="1262">
        <v>88981.77</v>
      </c>
    </row>
    <row r="53" spans="1:6">
      <c r="A53" s="1261" t="s">
        <v>43</v>
      </c>
      <c r="B53" s="1261" t="s">
        <v>44</v>
      </c>
      <c r="C53" s="1262">
        <v>240</v>
      </c>
      <c r="D53" s="1262">
        <v>4427837.6750019696</v>
      </c>
      <c r="E53" s="1262">
        <v>619</v>
      </c>
      <c r="F53" s="1262">
        <v>2147389</v>
      </c>
    </row>
    <row r="54" spans="1:6">
      <c r="A54" s="1261" t="s">
        <v>45</v>
      </c>
      <c r="B54" s="1261" t="s">
        <v>46</v>
      </c>
      <c r="C54" s="1262">
        <v>0</v>
      </c>
      <c r="D54" s="1262">
        <v>0</v>
      </c>
      <c r="E54" s="1262">
        <v>1</v>
      </c>
      <c r="F54" s="1262">
        <v>1354280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71</v>
      </c>
      <c r="D57" s="1262">
        <v>8684593.0898930002</v>
      </c>
      <c r="E57" s="1262">
        <v>120</v>
      </c>
      <c r="F57" s="1262">
        <v>7917929</v>
      </c>
    </row>
    <row r="58" spans="1:6">
      <c r="A58" s="1261" t="s">
        <v>48</v>
      </c>
      <c r="B58" s="1261" t="s">
        <v>50</v>
      </c>
      <c r="C58" s="1262">
        <v>57</v>
      </c>
      <c r="D58" s="1262">
        <v>3082865.8016753602</v>
      </c>
      <c r="E58" s="1262">
        <v>84</v>
      </c>
      <c r="F58" s="1262">
        <v>8795451</v>
      </c>
    </row>
    <row r="59" spans="1:6">
      <c r="A59" s="1261" t="s">
        <v>48</v>
      </c>
      <c r="B59" s="1261" t="s">
        <v>51</v>
      </c>
      <c r="C59" s="1262">
        <v>253</v>
      </c>
      <c r="D59" s="1262">
        <v>19260783.719896398</v>
      </c>
      <c r="E59" s="1262">
        <v>462</v>
      </c>
      <c r="F59" s="1262">
        <v>23531402</v>
      </c>
    </row>
    <row r="60" spans="1:6">
      <c r="A60" s="1261" t="s">
        <v>48</v>
      </c>
      <c r="B60" s="1261" t="s">
        <v>52</v>
      </c>
      <c r="C60" s="1262">
        <v>119</v>
      </c>
      <c r="D60" s="1262">
        <v>5489530.5469244001</v>
      </c>
      <c r="E60" s="1262">
        <v>141</v>
      </c>
      <c r="F60" s="1262">
        <v>4094108</v>
      </c>
    </row>
    <row r="61" spans="1:6">
      <c r="A61" s="1261" t="s">
        <v>48</v>
      </c>
      <c r="B61" s="1261" t="s">
        <v>53</v>
      </c>
      <c r="C61" s="1262">
        <v>336</v>
      </c>
      <c r="D61" s="1262">
        <v>13683337.2359835</v>
      </c>
      <c r="E61" s="1262">
        <v>546</v>
      </c>
      <c r="F61" s="1262">
        <v>13325637</v>
      </c>
    </row>
    <row r="62" spans="1:6">
      <c r="A62" s="1261" t="s">
        <v>48</v>
      </c>
      <c r="B62" s="1261" t="s">
        <v>54</v>
      </c>
      <c r="C62" s="1262">
        <v>28</v>
      </c>
      <c r="D62" s="1262">
        <v>4941789.05190273</v>
      </c>
      <c r="E62" s="1262">
        <v>31</v>
      </c>
      <c r="F62" s="1262">
        <v>2937734</v>
      </c>
    </row>
    <row r="63" spans="1:6">
      <c r="A63" s="1261" t="s">
        <v>48</v>
      </c>
      <c r="B63" s="1261" t="s">
        <v>28</v>
      </c>
      <c r="C63" s="1262">
        <v>99</v>
      </c>
      <c r="D63" s="1262">
        <v>11030613.045369299</v>
      </c>
      <c r="E63" s="1262">
        <v>100</v>
      </c>
      <c r="F63" s="1262">
        <v>10919233</v>
      </c>
    </row>
    <row r="64" spans="1:6">
      <c r="A64" s="1261" t="s">
        <v>55</v>
      </c>
      <c r="B64" s="1261" t="s">
        <v>56</v>
      </c>
      <c r="C64" s="1262">
        <v>0</v>
      </c>
      <c r="D64" s="1262">
        <v>0</v>
      </c>
      <c r="E64" s="1262">
        <v>0</v>
      </c>
      <c r="F64" s="1262">
        <v>0</v>
      </c>
    </row>
    <row r="65" spans="1:6">
      <c r="A65" s="1261" t="s">
        <v>55</v>
      </c>
      <c r="B65" s="1261" t="s">
        <v>28</v>
      </c>
      <c r="C65" s="1262">
        <v>2</v>
      </c>
      <c r="D65" s="1262">
        <v>141452.55676221201</v>
      </c>
      <c r="E65" s="1262">
        <v>1</v>
      </c>
      <c r="F65" s="1262">
        <v>7635.308</v>
      </c>
    </row>
    <row r="66" spans="1:6">
      <c r="A66" s="1261" t="s">
        <v>55</v>
      </c>
      <c r="B66" s="1261" t="s">
        <v>57</v>
      </c>
      <c r="C66" s="1262">
        <v>0</v>
      </c>
      <c r="D66" s="1262">
        <v>0</v>
      </c>
      <c r="E66" s="1262">
        <v>11</v>
      </c>
      <c r="F66" s="1262">
        <v>610133.30000000005</v>
      </c>
    </row>
    <row r="67" spans="1:6">
      <c r="A67" s="1261" t="s">
        <v>55</v>
      </c>
      <c r="B67" s="1261" t="s">
        <v>58</v>
      </c>
      <c r="C67" s="1262">
        <v>0</v>
      </c>
      <c r="D67" s="1262">
        <v>0</v>
      </c>
      <c r="E67" s="1262">
        <v>0</v>
      </c>
      <c r="F67" s="1262">
        <v>0</v>
      </c>
    </row>
    <row r="68" spans="1:6">
      <c r="A68" s="1256" t="s">
        <v>55</v>
      </c>
      <c r="B68" s="1256" t="s">
        <v>59</v>
      </c>
      <c r="C68" s="1264">
        <v>11</v>
      </c>
      <c r="D68" s="1264">
        <v>375389.17947790702</v>
      </c>
      <c r="E68" s="1264">
        <v>33</v>
      </c>
      <c r="F68" s="1264">
        <v>674078.6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115361416</v>
      </c>
      <c r="E73" s="440"/>
      <c r="F73" s="322"/>
    </row>
    <row r="74" spans="1:6">
      <c r="A74" s="1261" t="s">
        <v>63</v>
      </c>
      <c r="B74" s="1261" t="s">
        <v>670</v>
      </c>
      <c r="C74" s="1274" t="s">
        <v>672</v>
      </c>
      <c r="D74" s="1262">
        <v>7775291.6498171575</v>
      </c>
      <c r="E74" s="440"/>
      <c r="F74" s="322"/>
    </row>
    <row r="75" spans="1:6">
      <c r="A75" s="1261" t="s">
        <v>64</v>
      </c>
      <c r="B75" s="1261" t="s">
        <v>669</v>
      </c>
      <c r="C75" s="1274" t="s">
        <v>673</v>
      </c>
      <c r="D75" s="1262">
        <v>31404093</v>
      </c>
      <c r="E75" s="440"/>
      <c r="F75" s="322"/>
    </row>
    <row r="76" spans="1:6">
      <c r="A76" s="1261" t="s">
        <v>64</v>
      </c>
      <c r="B76" s="1261" t="s">
        <v>670</v>
      </c>
      <c r="C76" s="1274" t="s">
        <v>674</v>
      </c>
      <c r="D76" s="1262">
        <v>1478050.6498171578</v>
      </c>
      <c r="E76" s="440"/>
      <c r="F76" s="322"/>
    </row>
    <row r="77" spans="1:6">
      <c r="A77" s="1261" t="s">
        <v>65</v>
      </c>
      <c r="B77" s="1261" t="s">
        <v>669</v>
      </c>
      <c r="C77" s="1274" t="s">
        <v>675</v>
      </c>
      <c r="D77" s="1262">
        <v>85355775</v>
      </c>
      <c r="E77" s="440"/>
      <c r="F77" s="322"/>
    </row>
    <row r="78" spans="1:6">
      <c r="A78" s="1256" t="s">
        <v>65</v>
      </c>
      <c r="B78" s="1256" t="s">
        <v>670</v>
      </c>
      <c r="C78" s="1256" t="s">
        <v>676</v>
      </c>
      <c r="D78" s="1264">
        <v>14631154</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644410.70036568446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4249.30509295711</v>
      </c>
      <c r="C91" s="322"/>
      <c r="D91" s="322"/>
      <c r="E91" s="322"/>
      <c r="F91" s="322"/>
    </row>
    <row r="92" spans="1:6">
      <c r="A92" s="1256" t="s">
        <v>68</v>
      </c>
      <c r="B92" s="1257">
        <v>5948.9570939568766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6292</v>
      </c>
      <c r="C97" s="322"/>
      <c r="D97" s="322"/>
      <c r="E97" s="322"/>
      <c r="F97" s="322"/>
    </row>
    <row r="98" spans="1:6">
      <c r="A98" s="1261" t="s">
        <v>71</v>
      </c>
      <c r="B98" s="1262">
        <v>7</v>
      </c>
      <c r="C98" s="322"/>
      <c r="D98" s="322"/>
      <c r="E98" s="322"/>
      <c r="F98" s="322"/>
    </row>
    <row r="99" spans="1:6">
      <c r="A99" s="1261" t="s">
        <v>72</v>
      </c>
      <c r="B99" s="1262">
        <v>107</v>
      </c>
      <c r="C99" s="322"/>
      <c r="D99" s="322"/>
      <c r="E99" s="322"/>
      <c r="F99" s="322"/>
    </row>
    <row r="100" spans="1:6">
      <c r="A100" s="1261" t="s">
        <v>73</v>
      </c>
      <c r="B100" s="1262">
        <v>383</v>
      </c>
      <c r="C100" s="322"/>
      <c r="D100" s="322"/>
      <c r="E100" s="322"/>
      <c r="F100" s="322"/>
    </row>
    <row r="101" spans="1:6">
      <c r="A101" s="1261" t="s">
        <v>74</v>
      </c>
      <c r="B101" s="1262">
        <v>115</v>
      </c>
      <c r="C101" s="322"/>
      <c r="D101" s="322"/>
      <c r="E101" s="322"/>
      <c r="F101" s="322"/>
    </row>
    <row r="102" spans="1:6">
      <c r="A102" s="1261" t="s">
        <v>75</v>
      </c>
      <c r="B102" s="1262">
        <v>106</v>
      </c>
      <c r="C102" s="322"/>
      <c r="D102" s="322"/>
      <c r="E102" s="322"/>
      <c r="F102" s="322"/>
    </row>
    <row r="103" spans="1:6">
      <c r="A103" s="1261" t="s">
        <v>76</v>
      </c>
      <c r="B103" s="1262">
        <v>207</v>
      </c>
      <c r="C103" s="322"/>
      <c r="D103" s="322"/>
      <c r="E103" s="322"/>
      <c r="F103" s="322"/>
    </row>
    <row r="104" spans="1:6">
      <c r="A104" s="1261" t="s">
        <v>77</v>
      </c>
      <c r="B104" s="1262">
        <v>2932</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2</v>
      </c>
      <c r="C110" s="322"/>
      <c r="D110" s="322"/>
      <c r="E110" s="322"/>
      <c r="F110" s="322"/>
    </row>
    <row r="111" spans="1:6">
      <c r="A111" s="1279" t="s">
        <v>625</v>
      </c>
      <c r="B111" s="1280">
        <v>2</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21</v>
      </c>
      <c r="C123" s="1262">
        <v>24</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200</v>
      </c>
      <c r="C129" s="322"/>
      <c r="D129" s="322"/>
      <c r="E129" s="322"/>
      <c r="F129" s="322"/>
    </row>
    <row r="130" spans="1:6">
      <c r="A130" s="1261" t="s">
        <v>284</v>
      </c>
      <c r="B130" s="1262">
        <v>1</v>
      </c>
      <c r="C130" s="322"/>
      <c r="D130" s="322"/>
      <c r="E130" s="322"/>
      <c r="F130" s="322"/>
    </row>
    <row r="131" spans="1:6">
      <c r="A131" s="1261" t="s">
        <v>285</v>
      </c>
      <c r="B131" s="1262">
        <v>10</v>
      </c>
      <c r="C131" s="322"/>
      <c r="D131" s="322"/>
      <c r="E131" s="322"/>
      <c r="F131" s="322"/>
    </row>
    <row r="132" spans="1:6">
      <c r="A132" s="1256" t="s">
        <v>286</v>
      </c>
      <c r="B132" s="1257">
        <v>17</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231133.02605909324</v>
      </c>
      <c r="C3" s="43" t="s">
        <v>163</v>
      </c>
      <c r="D3" s="43"/>
      <c r="E3" s="153"/>
      <c r="F3" s="43"/>
      <c r="G3" s="43"/>
      <c r="H3" s="43"/>
      <c r="I3" s="43"/>
      <c r="J3" s="43"/>
      <c r="K3" s="96"/>
    </row>
    <row r="4" spans="1:11">
      <c r="A4" s="349" t="s">
        <v>164</v>
      </c>
      <c r="B4" s="49">
        <f>IF(ISERROR('SEAP template'!B78+'SEAP template'!C78),0,'SEAP template'!B78+'SEAP template'!C78)</f>
        <v>34412.762186913984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5540.6223529411773</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0.21206748989718605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7915.1747899159682</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33306.428571428572</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1354.28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1354.28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0.21206748989718605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287.19876021796114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40454.68</v>
      </c>
      <c r="C5" s="17">
        <f>IF(ISERROR('Eigen informatie GS &amp; warmtenet'!B57),0,'Eigen informatie GS &amp; warmtenet'!B57)</f>
        <v>0</v>
      </c>
      <c r="D5" s="30">
        <f>(SUM(HH_hh_gas_kWh,HH_rest_gas_kWh)/1000)*0.902</f>
        <v>122155.06697503099</v>
      </c>
      <c r="E5" s="17">
        <f>B32*B41</f>
        <v>1441.6360551085334</v>
      </c>
      <c r="F5" s="17">
        <f>B36*B45</f>
        <v>45479.119914889845</v>
      </c>
      <c r="G5" s="18"/>
      <c r="H5" s="17"/>
      <c r="I5" s="17"/>
      <c r="J5" s="17">
        <f>B35*B44+C35*C44</f>
        <v>1060.571358377234</v>
      </c>
      <c r="K5" s="17"/>
      <c r="L5" s="17"/>
      <c r="M5" s="17"/>
      <c r="N5" s="17">
        <f>B34*B43+C34*C43</f>
        <v>13236.002844939007</v>
      </c>
      <c r="O5" s="17">
        <f>B52*B53*B54</f>
        <v>350.18666666666672</v>
      </c>
      <c r="P5" s="17">
        <f>B60*B61*B62/1000-B60*B61*B62/1000/B63</f>
        <v>743.6</v>
      </c>
    </row>
    <row r="6" spans="1:16">
      <c r="A6" s="16" t="s">
        <v>593</v>
      </c>
      <c r="B6" s="717">
        <f>kWh_PV_kleiner_dan_10kW</f>
        <v>4249.30509295711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44703.985092957111</v>
      </c>
      <c r="C8" s="21">
        <f>C5</f>
        <v>0</v>
      </c>
      <c r="D8" s="21">
        <f>D5</f>
        <v>122155.06697503099</v>
      </c>
      <c r="E8" s="21">
        <f>E5</f>
        <v>1441.6360551085334</v>
      </c>
      <c r="F8" s="21">
        <f>F5</f>
        <v>45479.119914889845</v>
      </c>
      <c r="G8" s="21"/>
      <c r="H8" s="21"/>
      <c r="I8" s="21"/>
      <c r="J8" s="21">
        <f>J5</f>
        <v>1060.571358377234</v>
      </c>
      <c r="K8" s="21"/>
      <c r="L8" s="21">
        <f>L5</f>
        <v>0</v>
      </c>
      <c r="M8" s="21">
        <f>M5</f>
        <v>0</v>
      </c>
      <c r="N8" s="21">
        <f>N5</f>
        <v>13236.002844939007</v>
      </c>
      <c r="O8" s="21">
        <f>O5</f>
        <v>350.18666666666672</v>
      </c>
      <c r="P8" s="21">
        <f>P5</f>
        <v>743.6</v>
      </c>
    </row>
    <row r="9" spans="1:16">
      <c r="B9" s="19"/>
      <c r="C9" s="19"/>
      <c r="D9" s="253"/>
      <c r="E9" s="19"/>
      <c r="F9" s="19"/>
      <c r="G9" s="19"/>
      <c r="H9" s="19"/>
      <c r="I9" s="19"/>
      <c r="J9" s="19"/>
      <c r="K9" s="19"/>
      <c r="L9" s="19"/>
      <c r="M9" s="19"/>
      <c r="N9" s="19"/>
      <c r="O9" s="19"/>
      <c r="P9" s="19"/>
    </row>
    <row r="10" spans="1:16">
      <c r="A10" s="24" t="s">
        <v>207</v>
      </c>
      <c r="B10" s="25">
        <f ca="1">'EF ele_warmte'!B12</f>
        <v>0.21206748989718605</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9480.2619070646379</v>
      </c>
      <c r="C12" s="23">
        <f ca="1">C10*C8</f>
        <v>0</v>
      </c>
      <c r="D12" s="23">
        <f>D8*D10</f>
        <v>24675.323528956262</v>
      </c>
      <c r="E12" s="23">
        <f>E10*E8</f>
        <v>327.25138450963709</v>
      </c>
      <c r="F12" s="23">
        <f>F10*F8</f>
        <v>12142.925017275589</v>
      </c>
      <c r="G12" s="23"/>
      <c r="H12" s="23"/>
      <c r="I12" s="23"/>
      <c r="J12" s="23">
        <f>J10*J8</f>
        <v>375.44226086554079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12103</v>
      </c>
      <c r="C26" s="36"/>
      <c r="D26" s="224"/>
    </row>
    <row r="27" spans="1:5" s="15" customFormat="1">
      <c r="A27" s="226" t="s">
        <v>696</v>
      </c>
      <c r="B27" s="37">
        <f>SUM(HH_hh_gas_aantal,HH_rest_gas_aantal)</f>
        <v>9684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9199.7999999999993</v>
      </c>
      <c r="C31" s="34" t="s">
        <v>104</v>
      </c>
      <c r="D31" s="170"/>
    </row>
    <row r="32" spans="1:5">
      <c r="A32" s="167" t="s">
        <v>72</v>
      </c>
      <c r="B32" s="33">
        <f>IF((B21*($B$26-($B$27-0.05*$B$27)-$B$60))&lt;0,0,B21*($B$26-($B$27-0.05*$B$27)-$B$60))</f>
        <v>18.059412411757794</v>
      </c>
      <c r="C32" s="34" t="s">
        <v>104</v>
      </c>
      <c r="D32" s="170"/>
    </row>
    <row r="33" spans="1:6">
      <c r="A33" s="167" t="s">
        <v>73</v>
      </c>
      <c r="B33" s="33">
        <f>IF((B22*($B$26-($B$27-0.05*$B$27)-$B$60))&lt;0,0,B22*($B$26-($B$27-0.05*$B$27)-$B$60))</f>
        <v>628.89434486674975</v>
      </c>
      <c r="C33" s="34" t="s">
        <v>104</v>
      </c>
      <c r="D33" s="170"/>
    </row>
    <row r="34" spans="1:6">
      <c r="A34" s="167" t="s">
        <v>74</v>
      </c>
      <c r="B34" s="33">
        <f>IF((B24*($B$26-($B$27-0.05*$B$27)-$B$60))&lt;0,0,B24*($B$26-($B$27-0.05*$B$27)-$B$60))</f>
        <v>124.83274527420622</v>
      </c>
      <c r="C34" s="33">
        <f>B26*C24</f>
        <v>2476.2699563837109</v>
      </c>
      <c r="D34" s="229"/>
    </row>
    <row r="35" spans="1:6">
      <c r="A35" s="167" t="s">
        <v>76</v>
      </c>
      <c r="B35" s="33">
        <f>IF((B19*($B$26-($B$27-0.05*$B$27)-$B$60))&lt;0,0,B19*($B$26-($B$27-0.05*$B$27)-$B$60))</f>
        <v>60.987895252050095</v>
      </c>
      <c r="C35" s="33">
        <f>B35/2</f>
        <v>30.493947626025047</v>
      </c>
      <c r="D35" s="229"/>
    </row>
    <row r="36" spans="1:6">
      <c r="A36" s="167" t="s">
        <v>77</v>
      </c>
      <c r="B36" s="33">
        <f>IF((B18*($B$26-($B$27-0.05*$B$27)-$B$60))&lt;0,0,B18*($B$26-($B$27-0.05*$B$27)-$B$60))</f>
        <v>2031.4256021952378</v>
      </c>
      <c r="C36" s="34" t="s">
        <v>104</v>
      </c>
      <c r="D36" s="170"/>
    </row>
    <row r="37" spans="1:6">
      <c r="A37" s="167" t="s">
        <v>78</v>
      </c>
      <c r="B37" s="33">
        <f>B60</f>
        <v>39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224</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71521.494000000006</v>
      </c>
      <c r="C5" s="17">
        <f>IF(ISERROR('Eigen informatie GS &amp; warmtenet'!B58),0,'Eigen informatie GS &amp; warmtenet'!B58)</f>
        <v>0</v>
      </c>
      <c r="D5" s="30">
        <f>SUM(D6:D12)</f>
        <v>59688.508267463505</v>
      </c>
      <c r="E5" s="17">
        <f>SUM(E6:E12)</f>
        <v>1101.6650871143461</v>
      </c>
      <c r="F5" s="17">
        <f>SUM(F6:F12)</f>
        <v>16034.886750066848</v>
      </c>
      <c r="G5" s="18"/>
      <c r="H5" s="17"/>
      <c r="I5" s="17"/>
      <c r="J5" s="17">
        <f>SUM(J6:J12)</f>
        <v>0</v>
      </c>
      <c r="K5" s="17"/>
      <c r="L5" s="17"/>
      <c r="M5" s="17"/>
      <c r="N5" s="17">
        <f>SUM(N6:N12)</f>
        <v>4520.9077322237199</v>
      </c>
      <c r="O5" s="17">
        <f>B38*B39*B40</f>
        <v>1.5633333333333335</v>
      </c>
      <c r="P5" s="17">
        <f>B46*B47*B48/1000-B46*B47*B48/1000/B49</f>
        <v>190.66666666666669</v>
      </c>
      <c r="R5" s="32"/>
    </row>
    <row r="6" spans="1:18">
      <c r="A6" s="32" t="s">
        <v>53</v>
      </c>
      <c r="B6" s="37">
        <f>B26</f>
        <v>13325.637000000001</v>
      </c>
      <c r="C6" s="33"/>
      <c r="D6" s="37">
        <f>IF(ISERROR(TER_kantoor_gas_kWh/1000),0,TER_kantoor_gas_kWh/1000)*0.902</f>
        <v>12342.370186857119</v>
      </c>
      <c r="E6" s="33">
        <f>$C$26*'E Balans VL '!I12/100/3.6*1000000</f>
        <v>0.18687860337094775</v>
      </c>
      <c r="F6" s="33">
        <f>$C$26*('E Balans VL '!L12+'E Balans VL '!N12)/100/3.6*1000000</f>
        <v>1852.2416769491795</v>
      </c>
      <c r="G6" s="34"/>
      <c r="H6" s="33"/>
      <c r="I6" s="33"/>
      <c r="J6" s="33">
        <f>$C$26*('E Balans VL '!D12+'E Balans VL '!E12)/100/3.6*1000000</f>
        <v>0</v>
      </c>
      <c r="K6" s="33"/>
      <c r="L6" s="33"/>
      <c r="M6" s="33"/>
      <c r="N6" s="33">
        <f>$C$26*'E Balans VL '!Y12/100/3.6*1000000</f>
        <v>164.92851458004935</v>
      </c>
      <c r="O6" s="33"/>
      <c r="P6" s="33"/>
      <c r="R6" s="32"/>
    </row>
    <row r="7" spans="1:18">
      <c r="A7" s="32" t="s">
        <v>52</v>
      </c>
      <c r="B7" s="37">
        <f t="shared" ref="B7:B12" si="0">B27</f>
        <v>4094.1080000000002</v>
      </c>
      <c r="C7" s="33"/>
      <c r="D7" s="37">
        <f>IF(ISERROR(TER_horeca_gas_kWh/1000),0,TER_horeca_gas_kWh/1000)*0.902</f>
        <v>4951.5565533258095</v>
      </c>
      <c r="E7" s="33">
        <f>$C$27*'E Balans VL '!I9/100/3.6*1000000</f>
        <v>58.440280133628924</v>
      </c>
      <c r="F7" s="33">
        <f>$C$27*('E Balans VL '!L9+'E Balans VL '!N9)/100/3.6*1000000</f>
        <v>636.46916933379373</v>
      </c>
      <c r="G7" s="34"/>
      <c r="H7" s="33"/>
      <c r="I7" s="33"/>
      <c r="J7" s="33">
        <f>$C$27*('E Balans VL '!D9+'E Balans VL '!E9)/100/3.6*1000000</f>
        <v>0</v>
      </c>
      <c r="K7" s="33"/>
      <c r="L7" s="33"/>
      <c r="M7" s="33"/>
      <c r="N7" s="33">
        <f>$C$27*'E Balans VL '!Y9/100/3.6*1000000</f>
        <v>1.0549872142309</v>
      </c>
      <c r="O7" s="33"/>
      <c r="P7" s="33"/>
      <c r="R7" s="32"/>
    </row>
    <row r="8" spans="1:18">
      <c r="A8" s="6" t="s">
        <v>51</v>
      </c>
      <c r="B8" s="37">
        <f t="shared" si="0"/>
        <v>23531.401999999998</v>
      </c>
      <c r="C8" s="33"/>
      <c r="D8" s="37">
        <f>IF(ISERROR(TER_handel_gas_kWh/1000),0,TER_handel_gas_kWh/1000)*0.902</f>
        <v>17373.22691534655</v>
      </c>
      <c r="E8" s="33">
        <f>$C$28*'E Balans VL '!I13/100/3.6*1000000</f>
        <v>636.88285647977114</v>
      </c>
      <c r="F8" s="33">
        <f>$C$28*('E Balans VL '!L13+'E Balans VL '!N13)/100/3.6*1000000</f>
        <v>3653.9882467090792</v>
      </c>
      <c r="G8" s="34"/>
      <c r="H8" s="33"/>
      <c r="I8" s="33"/>
      <c r="J8" s="33">
        <f>$C$28*('E Balans VL '!D13+'E Balans VL '!E13)/100/3.6*1000000</f>
        <v>0</v>
      </c>
      <c r="K8" s="33"/>
      <c r="L8" s="33"/>
      <c r="M8" s="33"/>
      <c r="N8" s="33">
        <f>$C$28*'E Balans VL '!Y13/100/3.6*1000000</f>
        <v>190.66740699876902</v>
      </c>
      <c r="O8" s="33"/>
      <c r="P8" s="33"/>
      <c r="R8" s="32"/>
    </row>
    <row r="9" spans="1:18">
      <c r="A9" s="32" t="s">
        <v>50</v>
      </c>
      <c r="B9" s="37">
        <f t="shared" si="0"/>
        <v>8795.4509999999991</v>
      </c>
      <c r="C9" s="33"/>
      <c r="D9" s="37">
        <f>IF(ISERROR(TER_gezond_gas_kWh/1000),0,TER_gezond_gas_kWh/1000)*0.902</f>
        <v>2780.7449531111752</v>
      </c>
      <c r="E9" s="33">
        <f>$C$29*'E Balans VL '!I10/100/3.6*1000000</f>
        <v>0.54883157030324159</v>
      </c>
      <c r="F9" s="33">
        <f>$C$29*('E Balans VL '!L10+'E Balans VL '!N10)/100/3.6*1000000</f>
        <v>1138.6548765286295</v>
      </c>
      <c r="G9" s="34"/>
      <c r="H9" s="33"/>
      <c r="I9" s="33"/>
      <c r="J9" s="33">
        <f>$C$29*('E Balans VL '!D10+'E Balans VL '!E10)/100/3.6*1000000</f>
        <v>0</v>
      </c>
      <c r="K9" s="33"/>
      <c r="L9" s="33"/>
      <c r="M9" s="33"/>
      <c r="N9" s="33">
        <f>$C$29*'E Balans VL '!Y10/100/3.6*1000000</f>
        <v>72.114103322835916</v>
      </c>
      <c r="O9" s="33"/>
      <c r="P9" s="33"/>
      <c r="R9" s="32"/>
    </row>
    <row r="10" spans="1:18">
      <c r="A10" s="32" t="s">
        <v>49</v>
      </c>
      <c r="B10" s="37">
        <f t="shared" si="0"/>
        <v>7917.9290000000001</v>
      </c>
      <c r="C10" s="33"/>
      <c r="D10" s="37">
        <f>IF(ISERROR(TER_ander_gas_kWh/1000),0,TER_ander_gas_kWh/1000)*0.902</f>
        <v>7833.5029670834865</v>
      </c>
      <c r="E10" s="33">
        <f>$C$30*'E Balans VL '!I14/100/3.6*1000000</f>
        <v>239.03857995460987</v>
      </c>
      <c r="F10" s="33">
        <f>$C$30*('E Balans VL '!L14+'E Balans VL '!N14)/100/3.6*1000000</f>
        <v>5013.2198902058235</v>
      </c>
      <c r="G10" s="34"/>
      <c r="H10" s="33"/>
      <c r="I10" s="33"/>
      <c r="J10" s="33">
        <f>$C$30*('E Balans VL '!D14+'E Balans VL '!E14)/100/3.6*1000000</f>
        <v>0</v>
      </c>
      <c r="K10" s="33"/>
      <c r="L10" s="33"/>
      <c r="M10" s="33"/>
      <c r="N10" s="33">
        <f>$C$30*'E Balans VL '!Y14/100/3.6*1000000</f>
        <v>3204.8825980634556</v>
      </c>
      <c r="O10" s="33"/>
      <c r="P10" s="33"/>
      <c r="R10" s="32"/>
    </row>
    <row r="11" spans="1:18">
      <c r="A11" s="32" t="s">
        <v>54</v>
      </c>
      <c r="B11" s="37">
        <f t="shared" si="0"/>
        <v>2937.7339999999999</v>
      </c>
      <c r="C11" s="33"/>
      <c r="D11" s="37">
        <f>IF(ISERROR(TER_onderwijs_gas_kWh/1000),0,TER_onderwijs_gas_kWh/1000)*0.902</f>
        <v>4457.4937248162623</v>
      </c>
      <c r="E11" s="33">
        <f>$C$31*'E Balans VL '!I11/100/3.6*1000000</f>
        <v>3.6997073433329835</v>
      </c>
      <c r="F11" s="33">
        <f>$C$31*('E Balans VL '!L11+'E Balans VL '!N11)/100/3.6*1000000</f>
        <v>1091.2345768847922</v>
      </c>
      <c r="G11" s="34"/>
      <c r="H11" s="33"/>
      <c r="I11" s="33"/>
      <c r="J11" s="33">
        <f>$C$31*('E Balans VL '!D11+'E Balans VL '!E11)/100/3.6*1000000</f>
        <v>0</v>
      </c>
      <c r="K11" s="33"/>
      <c r="L11" s="33"/>
      <c r="M11" s="33"/>
      <c r="N11" s="33">
        <f>$C$31*'E Balans VL '!Y11/100/3.6*1000000</f>
        <v>3.7200989575926999</v>
      </c>
      <c r="O11" s="33"/>
      <c r="P11" s="33"/>
      <c r="R11" s="32"/>
    </row>
    <row r="12" spans="1:18">
      <c r="A12" s="32" t="s">
        <v>249</v>
      </c>
      <c r="B12" s="37">
        <f t="shared" si="0"/>
        <v>10919.233</v>
      </c>
      <c r="C12" s="33"/>
      <c r="D12" s="37">
        <f>IF(ISERROR(TER_rest_gas_kWh/1000),0,TER_rest_gas_kWh/1000)*0.902</f>
        <v>9949.6129669231068</v>
      </c>
      <c r="E12" s="33">
        <f>$C$32*'E Balans VL '!I8/100/3.6*1000000</f>
        <v>162.86795302932893</v>
      </c>
      <c r="F12" s="33">
        <f>$C$32*('E Balans VL '!L8+'E Balans VL '!N8)/100/3.6*1000000</f>
        <v>2649.0783134555509</v>
      </c>
      <c r="G12" s="34"/>
      <c r="H12" s="33"/>
      <c r="I12" s="33"/>
      <c r="J12" s="33">
        <f>$C$32*('E Balans VL '!D8+'E Balans VL '!E8)/100/3.6*1000000</f>
        <v>0</v>
      </c>
      <c r="K12" s="33"/>
      <c r="L12" s="33"/>
      <c r="M12" s="33"/>
      <c r="N12" s="33">
        <f>$C$32*'E Balans VL '!Y8/100/3.6*1000000</f>
        <v>883.5400230867865</v>
      </c>
      <c r="O12" s="33"/>
      <c r="P12" s="33"/>
      <c r="R12" s="32"/>
    </row>
    <row r="13" spans="1:18">
      <c r="A13" s="16" t="s">
        <v>480</v>
      </c>
      <c r="B13" s="242">
        <f ca="1">'lokale energieproductie'!N39+'lokale energieproductie'!N32</f>
        <v>900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-2571.4285714285716</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72421.494000000006</v>
      </c>
      <c r="C16" s="21">
        <f t="shared" ca="1" si="1"/>
        <v>0</v>
      </c>
      <c r="D16" s="21">
        <f t="shared" ca="1" si="1"/>
        <v>59688.508267463505</v>
      </c>
      <c r="E16" s="21">
        <f t="shared" si="1"/>
        <v>1101.6650871143461</v>
      </c>
      <c r="F16" s="21">
        <f t="shared" ca="1" si="1"/>
        <v>16034.886750066848</v>
      </c>
      <c r="G16" s="21">
        <f t="shared" si="1"/>
        <v>0</v>
      </c>
      <c r="H16" s="21">
        <f t="shared" si="1"/>
        <v>0</v>
      </c>
      <c r="I16" s="21">
        <f t="shared" si="1"/>
        <v>0</v>
      </c>
      <c r="J16" s="21">
        <f t="shared" si="1"/>
        <v>0</v>
      </c>
      <c r="K16" s="21">
        <f t="shared" si="1"/>
        <v>0</v>
      </c>
      <c r="L16" s="21">
        <f t="shared" ca="1" si="1"/>
        <v>0</v>
      </c>
      <c r="M16" s="21">
        <f t="shared" si="1"/>
        <v>0</v>
      </c>
      <c r="N16" s="21">
        <f t="shared" ca="1" si="1"/>
        <v>1949.4791607951483</v>
      </c>
      <c r="O16" s="21">
        <f>O5</f>
        <v>1.5633333333333335</v>
      </c>
      <c r="P16" s="21">
        <f>P5</f>
        <v>190.66666666666669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0.21206748989718605</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15358.244447184121</v>
      </c>
      <c r="C20" s="23">
        <f t="shared" ref="C20:P20" ca="1" si="2">C16*C18</f>
        <v>0</v>
      </c>
      <c r="D20" s="23">
        <f t="shared" ca="1" si="2"/>
        <v>12057.078670027629</v>
      </c>
      <c r="E20" s="23">
        <f t="shared" si="2"/>
        <v>250.07797477495657</v>
      </c>
      <c r="F20" s="23">
        <f t="shared" ca="1" si="2"/>
        <v>4281.3147622678489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13325.637000000001</v>
      </c>
      <c r="C26" s="39">
        <f>IF(ISERROR(B26*3.6/1000000/'E Balans VL '!Z12*100),0,B26*3.6/1000000/'E Balans VL '!Z12*100)</f>
        <v>0.36194927026348028</v>
      </c>
      <c r="D26" s="232" t="s">
        <v>651</v>
      </c>
      <c r="F26" s="6"/>
    </row>
    <row r="27" spans="1:18">
      <c r="A27" s="227" t="s">
        <v>52</v>
      </c>
      <c r="B27" s="33">
        <f>IF(ISERROR(TER_horeca_ele_kWh/1000),0,TER_horeca_ele_kWh/1000)</f>
        <v>4094.1080000000002</v>
      </c>
      <c r="C27" s="39">
        <f>IF(ISERROR(B27*3.6/1000000/'E Balans VL '!Z9*100),0,B27*3.6/1000000/'E Balans VL '!Z9*100)</f>
        <v>0.32899346547319869</v>
      </c>
      <c r="D27" s="232" t="s">
        <v>651</v>
      </c>
      <c r="F27" s="6"/>
    </row>
    <row r="28" spans="1:18">
      <c r="A28" s="167" t="s">
        <v>51</v>
      </c>
      <c r="B28" s="33">
        <f>IF(ISERROR(TER_handel_ele_kWh/1000),0,TER_handel_ele_kWh/1000)</f>
        <v>23531.401999999998</v>
      </c>
      <c r="C28" s="39">
        <f>IF(ISERROR(B28*3.6/1000000/'E Balans VL '!Z13*100),0,B28*3.6/1000000/'E Balans VL '!Z13*100)</f>
        <v>0.69500296759051239</v>
      </c>
      <c r="D28" s="232" t="s">
        <v>651</v>
      </c>
      <c r="F28" s="6"/>
    </row>
    <row r="29" spans="1:18">
      <c r="A29" s="227" t="s">
        <v>50</v>
      </c>
      <c r="B29" s="33">
        <f>IF(ISERROR(TER_gezond_ele_kWh/1000),0,TER_gezond_ele_kWh/1000)</f>
        <v>8795.4509999999991</v>
      </c>
      <c r="C29" s="39">
        <f>IF(ISERROR(B29*3.6/1000000/'E Balans VL '!Z10*100),0,B29*3.6/1000000/'E Balans VL '!Z10*100)</f>
        <v>1.0059004850556563</v>
      </c>
      <c r="D29" s="232" t="s">
        <v>651</v>
      </c>
      <c r="F29" s="6"/>
    </row>
    <row r="30" spans="1:18">
      <c r="A30" s="227" t="s">
        <v>49</v>
      </c>
      <c r="B30" s="33">
        <f>IF(ISERROR(TER_ander_ele_kWh/1000),0,TER_ander_ele_kWh/1000)</f>
        <v>7917.9290000000001</v>
      </c>
      <c r="C30" s="39">
        <f>IF(ISERROR(B30*3.6/1000000/'E Balans VL '!Z14*100),0,B30*3.6/1000000/'E Balans VL '!Z14*100)</f>
        <v>0.37002132006259558</v>
      </c>
      <c r="D30" s="232" t="s">
        <v>651</v>
      </c>
      <c r="F30" s="6"/>
    </row>
    <row r="31" spans="1:18">
      <c r="A31" s="227" t="s">
        <v>54</v>
      </c>
      <c r="B31" s="33">
        <f>IF(ISERROR(TER_onderwijs_ele_kWh/1000),0,TER_onderwijs_ele_kWh/1000)</f>
        <v>2937.7339999999999</v>
      </c>
      <c r="C31" s="39">
        <f>IF(ISERROR(B31*3.6/1000000/'E Balans VL '!Z11*100),0,B31*3.6/1000000/'E Balans VL '!Z11*100)</f>
        <v>0.77576319393356119</v>
      </c>
      <c r="D31" s="232" t="s">
        <v>651</v>
      </c>
    </row>
    <row r="32" spans="1:18">
      <c r="A32" s="227" t="s">
        <v>249</v>
      </c>
      <c r="B32" s="33">
        <f>IF(ISERROR(TER_rest_ele_kWh/1000),0,TER_rest_ele_kWh/1000)</f>
        <v>10919.233</v>
      </c>
      <c r="C32" s="39">
        <f>IF(ISERROR(B32*3.6/1000000/'E Balans VL '!Z8*100),0,B32*3.6/1000000/'E Balans VL '!Z8*100)</f>
        <v>9.3288527966556664E-2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107122.5389</v>
      </c>
      <c r="C5" s="17">
        <f>IF(ISERROR('Eigen informatie GS &amp; warmtenet'!B59),0,'Eigen informatie GS &amp; warmtenet'!B59)</f>
        <v>0</v>
      </c>
      <c r="D5" s="30">
        <f>SUM(D6:D15)</f>
        <v>49789.461738668942</v>
      </c>
      <c r="E5" s="17">
        <f>SUM(E6:E15)</f>
        <v>6974.2641822805317</v>
      </c>
      <c r="F5" s="17">
        <f>SUM(F6:F15)</f>
        <v>42989.417473599395</v>
      </c>
      <c r="G5" s="18"/>
      <c r="H5" s="17"/>
      <c r="I5" s="17"/>
      <c r="J5" s="17">
        <f>SUM(J6:J15)</f>
        <v>381.73190299197989</v>
      </c>
      <c r="K5" s="17"/>
      <c r="L5" s="17"/>
      <c r="M5" s="17"/>
      <c r="N5" s="17">
        <f>SUM(N6:N15)</f>
        <v>8085.6043805636718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29999.274000000001</v>
      </c>
      <c r="C8" s="33"/>
      <c r="D8" s="37">
        <f>IF( ISERROR(IND_metaal_Gas_kWH/1000),0,IND_metaal_Gas_kWH/1000)*0.902</f>
        <v>1048.6988753760868</v>
      </c>
      <c r="E8" s="33">
        <f>C30*'E Balans VL '!I18/100/3.6*1000000</f>
        <v>750.77683301037564</v>
      </c>
      <c r="F8" s="33">
        <f>C30*'E Balans VL '!L18/100/3.6*1000000+C30*'E Balans VL '!N18/100/3.6*1000000</f>
        <v>9401.9216956631681</v>
      </c>
      <c r="G8" s="34"/>
      <c r="H8" s="33"/>
      <c r="I8" s="33"/>
      <c r="J8" s="40">
        <f>C30*'E Balans VL '!D18/100/3.6*1000000+C30*'E Balans VL '!E18/100/3.6*1000000</f>
        <v>0</v>
      </c>
      <c r="K8" s="33"/>
      <c r="L8" s="33"/>
      <c r="M8" s="33"/>
      <c r="N8" s="33">
        <f>C30*'E Balans VL '!Y18/100/3.6*1000000</f>
        <v>753.65961778503015</v>
      </c>
      <c r="O8" s="33"/>
      <c r="P8" s="33"/>
      <c r="R8" s="32"/>
    </row>
    <row r="9" spans="1:18">
      <c r="A9" s="6" t="s">
        <v>32</v>
      </c>
      <c r="B9" s="37">
        <f t="shared" si="0"/>
        <v>11832.98</v>
      </c>
      <c r="C9" s="33"/>
      <c r="D9" s="37">
        <f>IF( ISERROR(IND_andere_gas_kWh/1000),0,IND_andere_gas_kWh/1000)*0.902</f>
        <v>3291.7599661297199</v>
      </c>
      <c r="E9" s="33">
        <f>C31*'E Balans VL '!I19/100/3.6*1000000</f>
        <v>3253.5841696674552</v>
      </c>
      <c r="F9" s="33">
        <f>C31*'E Balans VL '!L19/100/3.6*1000000+C31*'E Balans VL '!N19/100/3.6*1000000</f>
        <v>9326.4473263582004</v>
      </c>
      <c r="G9" s="34"/>
      <c r="H9" s="33"/>
      <c r="I9" s="33"/>
      <c r="J9" s="40">
        <f>C31*'E Balans VL '!D19/100/3.6*1000000+C31*'E Balans VL '!E19/100/3.6*1000000</f>
        <v>0</v>
      </c>
      <c r="K9" s="33"/>
      <c r="L9" s="33"/>
      <c r="M9" s="33"/>
      <c r="N9" s="33">
        <f>C31*'E Balans VL '!Y19/100/3.6*1000000</f>
        <v>953.27232541711021</v>
      </c>
      <c r="O9" s="33"/>
      <c r="P9" s="33"/>
      <c r="R9" s="32"/>
    </row>
    <row r="10" spans="1:18">
      <c r="A10" s="6" t="s">
        <v>40</v>
      </c>
      <c r="B10" s="37">
        <f t="shared" si="0"/>
        <v>5928.9759999999997</v>
      </c>
      <c r="C10" s="33"/>
      <c r="D10" s="37">
        <f>IF( ISERROR(IND_voed_gas_kWh/1000),0,IND_voed_gas_kWh/1000)*0.902</f>
        <v>8339.2105798033426</v>
      </c>
      <c r="E10" s="33">
        <f>C32*'E Balans VL '!I20/100/3.6*1000000</f>
        <v>60.442644028484047</v>
      </c>
      <c r="F10" s="33">
        <f>C32*'E Balans VL '!L20/100/3.6*1000000+C32*'E Balans VL '!N20/100/3.6*1000000</f>
        <v>11199.798581834697</v>
      </c>
      <c r="G10" s="34"/>
      <c r="H10" s="33"/>
      <c r="I10" s="33"/>
      <c r="J10" s="40">
        <f>C32*'E Balans VL '!D20/100/3.6*1000000+C32*'E Balans VL '!E20/100/3.6*1000000</f>
        <v>141.89979537730213</v>
      </c>
      <c r="K10" s="33"/>
      <c r="L10" s="33"/>
      <c r="M10" s="33"/>
      <c r="N10" s="33">
        <f>C32*'E Balans VL '!Y20/100/3.6*1000000</f>
        <v>3125.2532862913608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203.7869</v>
      </c>
      <c r="C12" s="33"/>
      <c r="D12" s="37">
        <f>IF( ISERROR(IND_min_gas_kWh/1000),0,IND_min_gas_kWh/1000)*0.902</f>
        <v>0</v>
      </c>
      <c r="E12" s="33">
        <f>C34*'E Balans VL '!I22/100/3.6*1000000</f>
        <v>0.61717833649810439</v>
      </c>
      <c r="F12" s="33">
        <f>C34*'E Balans VL '!L22/100/3.6*1000000+C34*'E Balans VL '!N22/100/3.6*1000000</f>
        <v>6.3685158279556564</v>
      </c>
      <c r="G12" s="34"/>
      <c r="H12" s="33"/>
      <c r="I12" s="33"/>
      <c r="J12" s="40">
        <f>C34*'E Balans VL '!D22/100/3.6*1000000+C34*'E Balans VL '!E22/100/3.6*1000000</f>
        <v>0.30217073433928898</v>
      </c>
      <c r="K12" s="33"/>
      <c r="L12" s="33"/>
      <c r="M12" s="33"/>
      <c r="N12" s="33">
        <f>C34*'E Balans VL '!Y22/100/3.6*1000000</f>
        <v>0</v>
      </c>
      <c r="O12" s="33"/>
      <c r="P12" s="33"/>
      <c r="R12" s="32"/>
    </row>
    <row r="13" spans="1:18">
      <c r="A13" s="6" t="s">
        <v>38</v>
      </c>
      <c r="B13" s="37">
        <f t="shared" si="0"/>
        <v>2063.1060000000002</v>
      </c>
      <c r="C13" s="33"/>
      <c r="D13" s="37">
        <f>IF( ISERROR(IND_papier_gas_kWh/1000),0,IND_papier_gas_kWh/1000)*0.902</f>
        <v>548.92717687181107</v>
      </c>
      <c r="E13" s="33">
        <f>C35*'E Balans VL '!I23/100/3.6*1000000</f>
        <v>4.2728317823017674</v>
      </c>
      <c r="F13" s="33">
        <f>C35*'E Balans VL '!L23/100/3.6*1000000+C35*'E Balans VL '!N23/100/3.6*1000000</f>
        <v>40.915814927724661</v>
      </c>
      <c r="G13" s="34"/>
      <c r="H13" s="33"/>
      <c r="I13" s="33"/>
      <c r="J13" s="40">
        <f>C35*'E Balans VL '!D23/100/3.6*1000000+C35*'E Balans VL '!E23/100/3.6*1000000</f>
        <v>0</v>
      </c>
      <c r="K13" s="33"/>
      <c r="L13" s="33"/>
      <c r="M13" s="33"/>
      <c r="N13" s="33">
        <f>C35*'E Balans VL '!Y23/100/3.6*1000000</f>
        <v>143.08682916597584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57094.415999999997</v>
      </c>
      <c r="C15" s="33"/>
      <c r="D15" s="37">
        <f>IF( ISERROR(IND_rest_gas_kWh/1000),0,IND_rest_gas_kWh/1000)*0.902</f>
        <v>36560.865140487978</v>
      </c>
      <c r="E15" s="33">
        <f>C37*'E Balans VL '!I15/100/3.6*1000000</f>
        <v>2904.5705254554173</v>
      </c>
      <c r="F15" s="33">
        <f>C37*'E Balans VL '!L15/100/3.6*1000000+C37*'E Balans VL '!N15/100/3.6*1000000</f>
        <v>13013.96553898765</v>
      </c>
      <c r="G15" s="34"/>
      <c r="H15" s="33"/>
      <c r="I15" s="33"/>
      <c r="J15" s="40">
        <f>C37*'E Balans VL '!D15/100/3.6*1000000+C37*'E Balans VL '!E15/100/3.6*1000000</f>
        <v>239.52993688033848</v>
      </c>
      <c r="K15" s="33"/>
      <c r="L15" s="33"/>
      <c r="M15" s="33"/>
      <c r="N15" s="33">
        <f>C37*'E Balans VL '!Y15/100/3.6*1000000</f>
        <v>3110.332321904194</v>
      </c>
      <c r="O15" s="33"/>
      <c r="P15" s="33"/>
      <c r="R15" s="32"/>
    </row>
    <row r="16" spans="1:18">
      <c r="A16" s="16" t="s">
        <v>480</v>
      </c>
      <c r="B16" s="242">
        <f>'lokale energieproductie'!N38+'lokale energieproductie'!N31</f>
        <v>630.00000000000011</v>
      </c>
      <c r="C16" s="242">
        <f>'lokale energieproductie'!O38+'lokale energieproductie'!O31</f>
        <v>900.00000000000023</v>
      </c>
      <c r="D16" s="300">
        <f>('lokale energieproductie'!P31+'lokale energieproductie'!P38)*(-1)</f>
        <v>-1800.0000000000005</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107752.5389</v>
      </c>
      <c r="C18" s="21">
        <f>C5+C16</f>
        <v>900.00000000000023</v>
      </c>
      <c r="D18" s="21">
        <f>MAX((D5+D16),0)</f>
        <v>47989.461738668942</v>
      </c>
      <c r="E18" s="21">
        <f>MAX((E5+E16),0)</f>
        <v>6974.2641822805317</v>
      </c>
      <c r="F18" s="21">
        <f>MAX((F5+F16),0)</f>
        <v>42989.417473599395</v>
      </c>
      <c r="G18" s="21"/>
      <c r="H18" s="21"/>
      <c r="I18" s="21"/>
      <c r="J18" s="21">
        <f>MAX((J5+J16),0)</f>
        <v>381.73190299197989</v>
      </c>
      <c r="K18" s="21"/>
      <c r="L18" s="21">
        <f>MAX((L5+L16),0)</f>
        <v>0</v>
      </c>
      <c r="M18" s="21"/>
      <c r="N18" s="21">
        <f>MAX((N5+N16),0)</f>
        <v>8085.6043805636718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0.21206748989718605</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22850.810454571896</v>
      </c>
      <c r="C22" s="23">
        <f ca="1">C18*C20</f>
        <v>213.88235294117658</v>
      </c>
      <c r="D22" s="23">
        <f>D18*D20</f>
        <v>9693.8712712111264</v>
      </c>
      <c r="E22" s="23">
        <f>E18*E20</f>
        <v>1583.1579693776807</v>
      </c>
      <c r="F22" s="23">
        <f>F18*F20</f>
        <v>11478.174465451038</v>
      </c>
      <c r="G22" s="23"/>
      <c r="H22" s="23"/>
      <c r="I22" s="23"/>
      <c r="J22" s="23">
        <f>J18*J20</f>
        <v>135.13309365916086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29999.274000000001</v>
      </c>
      <c r="C30" s="39">
        <f>IF(ISERROR(B30*3.6/1000000/'E Balans VL '!Z18*100),0,B30*3.6/1000000/'E Balans VL '!Z18*100)</f>
        <v>4.1988986231495522</v>
      </c>
      <c r="D30" s="232" t="s">
        <v>651</v>
      </c>
    </row>
    <row r="31" spans="1:18">
      <c r="A31" s="6" t="s">
        <v>32</v>
      </c>
      <c r="B31" s="37">
        <f>IF( ISERROR(IND_ander_ele_kWh/1000),0,IND_ander_ele_kWh/1000)</f>
        <v>11832.98</v>
      </c>
      <c r="C31" s="39">
        <f>IF(ISERROR(B31*3.6/1000000/'E Balans VL '!Z19*100),0,B31*3.6/1000000/'E Balans VL '!Z19*100)</f>
        <v>0.51792761501792073</v>
      </c>
      <c r="D31" s="232" t="s">
        <v>651</v>
      </c>
    </row>
    <row r="32" spans="1:18">
      <c r="A32" s="167" t="s">
        <v>40</v>
      </c>
      <c r="B32" s="37">
        <f>IF( ISERROR(IND_voed_ele_kWh/1000),0,IND_voed_ele_kWh/1000)</f>
        <v>5928.9759999999997</v>
      </c>
      <c r="C32" s="39">
        <f>IF(ISERROR(B32*3.6/1000000/'E Balans VL '!Z20*100),0,B32*3.6/1000000/'E Balans VL '!Z20*100)</f>
        <v>1.4678175660188115</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203.7869</v>
      </c>
      <c r="C34" s="39">
        <f>IF(ISERROR(B34*3.6/1000000/'E Balans VL '!Z22*100),0,B34*3.6/1000000/'E Balans VL '!Z22*100)</f>
        <v>5.7826408161314553E-3</v>
      </c>
      <c r="D34" s="232" t="s">
        <v>651</v>
      </c>
    </row>
    <row r="35" spans="1:5">
      <c r="A35" s="167" t="s">
        <v>38</v>
      </c>
      <c r="B35" s="37">
        <f>IF( ISERROR(IND_papier_ele_kWh/1000),0,IND_papier_ele_kWh/1000)</f>
        <v>2063.1060000000002</v>
      </c>
      <c r="C35" s="39">
        <f>IF(ISERROR(B35*3.6/1000000/'E Balans VL '!Z22*100),0,B35*3.6/1000000/'E Balans VL '!Z22*100)</f>
        <v>5.8542531259888168E-2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57094.415999999997</v>
      </c>
      <c r="C37" s="39">
        <f>IF(ISERROR(B37*3.6/1000000/'E Balans VL '!Z15*100),0,B37*3.6/1000000/'E Balans VL '!Z15*100)</f>
        <v>0.42334531966233852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2707.7867700000002</v>
      </c>
      <c r="C5" s="17">
        <f>'Eigen informatie GS &amp; warmtenet'!B60</f>
        <v>0</v>
      </c>
      <c r="D5" s="30">
        <f>IF(ISERROR(SUM(LB_lb_gas_kWh,LB_rest_gas_kWh)/1000),0,SUM(LB_lb_gas_kWh,LB_rest_gas_kWh)/1000)*0.902</f>
        <v>59888.77290231736</v>
      </c>
      <c r="E5" s="17">
        <f>B17*'E Balans VL '!I25/3.6*1000000/100</f>
        <v>58.064532277935662</v>
      </c>
      <c r="F5" s="17">
        <f>B17*('E Balans VL '!L25/3.6*1000000+'E Balans VL '!N25/3.6*1000000)/100</f>
        <v>8783.1926151371699</v>
      </c>
      <c r="G5" s="18"/>
      <c r="H5" s="17"/>
      <c r="I5" s="17"/>
      <c r="J5" s="17">
        <f>('E Balans VL '!D25+'E Balans VL '!E25)/3.6*1000000*landbouw!B17/100</f>
        <v>260.89668630174259</v>
      </c>
      <c r="K5" s="17"/>
      <c r="L5" s="17">
        <f>L6*(-1)</f>
        <v>0</v>
      </c>
      <c r="M5" s="17"/>
      <c r="N5" s="17">
        <f>N6*(-1)</f>
        <v>0</v>
      </c>
      <c r="O5" s="17"/>
      <c r="P5" s="17"/>
      <c r="R5" s="32"/>
    </row>
    <row r="6" spans="1:18">
      <c r="A6" s="16" t="s">
        <v>480</v>
      </c>
      <c r="B6" s="17" t="s">
        <v>204</v>
      </c>
      <c r="C6" s="17">
        <f>'lokale energieproductie'!O40+'lokale energieproductie'!O33</f>
        <v>32406.428571428572</v>
      </c>
      <c r="D6" s="300">
        <f>('lokale energieproductie'!P33+'lokale energieproductie'!P40)*(-1)</f>
        <v>-64812.857142857145</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2707.7867700000002</v>
      </c>
      <c r="C8" s="21">
        <f>C5+C6</f>
        <v>32406.428571428572</v>
      </c>
      <c r="D8" s="21">
        <f>MAX((D5+D6),0)</f>
        <v>0</v>
      </c>
      <c r="E8" s="21">
        <f>MAX((E5+E6),0)</f>
        <v>58.064532277935662</v>
      </c>
      <c r="F8" s="21">
        <f>MAX((F5+F6),0)</f>
        <v>8783.1926151371699</v>
      </c>
      <c r="G8" s="21"/>
      <c r="H8" s="21"/>
      <c r="I8" s="21"/>
      <c r="J8" s="21">
        <f>MAX((J5+J6),0)</f>
        <v>260.89668630174259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0.21206748989718605</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574.23354349070905</v>
      </c>
      <c r="C12" s="23">
        <f ca="1">C8*C10</f>
        <v>7701.2924369747916</v>
      </c>
      <c r="D12" s="23">
        <f>D8*D10</f>
        <v>0</v>
      </c>
      <c r="E12" s="23">
        <f>E8*E10</f>
        <v>13.180648827091396</v>
      </c>
      <c r="F12" s="23">
        <f>F8*F10</f>
        <v>2345.1124282416245</v>
      </c>
      <c r="G12" s="23"/>
      <c r="H12" s="23"/>
      <c r="I12" s="23"/>
      <c r="J12" s="23">
        <f>J8*J10</f>
        <v>92.357426950816873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0.38498986369034599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131.83704034838937</v>
      </c>
      <c r="C26" s="242">
        <f>B26*'GWP N2O_CH4'!B5</f>
        <v>2768.5778473161768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59.470868567132797</v>
      </c>
      <c r="C27" s="242">
        <f>B27*'GWP N2O_CH4'!B5</f>
        <v>1248.8882399097888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3.2760288578355392</v>
      </c>
      <c r="C28" s="242">
        <f>B28*'GWP N2O_CH4'!B4</f>
        <v>1015.5689459290171</v>
      </c>
      <c r="D28" s="50"/>
    </row>
    <row r="29" spans="1:4">
      <c r="A29" s="41" t="s">
        <v>266</v>
      </c>
      <c r="B29" s="242">
        <f>B34*'ha_N2O bodem landbouw'!B4</f>
        <v>10.273909653058714</v>
      </c>
      <c r="C29" s="242">
        <f>B29*'GWP N2O_CH4'!B4</f>
        <v>3184.9119924482015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2.3042569365260357E-3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1.2110007856880744E-4</v>
      </c>
      <c r="C5" s="428" t="s">
        <v>204</v>
      </c>
      <c r="D5" s="413">
        <f>SUM(D6:D11)</f>
        <v>1.8133771998133188E-4</v>
      </c>
      <c r="E5" s="413">
        <f>SUM(E6:E11)</f>
        <v>1.8931604983262211E-3</v>
      </c>
      <c r="F5" s="426" t="s">
        <v>204</v>
      </c>
      <c r="G5" s="413">
        <f>SUM(G6:G11)</f>
        <v>0.63925953000526525</v>
      </c>
      <c r="H5" s="413">
        <f>SUM(H6:H11)</f>
        <v>0.1130567740373646</v>
      </c>
      <c r="I5" s="428" t="s">
        <v>204</v>
      </c>
      <c r="J5" s="428" t="s">
        <v>204</v>
      </c>
      <c r="K5" s="428" t="s">
        <v>204</v>
      </c>
      <c r="L5" s="428" t="s">
        <v>204</v>
      </c>
      <c r="M5" s="413">
        <f>SUM(M6:M11)</f>
        <v>4.0511002008731679E-2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5.4110185062279224E-5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8.1837692012536395E-5</v>
      </c>
      <c r="E6" s="819">
        <f>vkm_GW_PW*SUMIFS(TableVerdeelsleutelVkm[LPG],TableVerdeelsleutelVkm[Voertuigtype],"Lichte voertuigen")*SUMIFS(TableECFTransport[EnergieConsumptieFactor (PJ per km)],TableECFTransport[Index],CONCATENATE($A6,"_LPG_LPG"))</f>
        <v>7.9945518033749691E-4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0.18562257250587971</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5.0560073253415404E-2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1.2304095422114202E-2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1.8953238078532063E-6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7.2742930838268424E-2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1.6299885039937037E-6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4.2174773642288856E-3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1.6781486413847017E-5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3.8222019695694864E-5</v>
      </c>
      <c r="E8" s="416">
        <f>vkm_NGW_PW*SUMIFS(TableVerdeelsleutelVkm[LPG],TableVerdeelsleutelVkm[Voertuigtype],"Lichte voertuigen")*SUMIFS(TableECFTransport[EnergieConsumptieFactor (PJ per km)],TableECFTransport[Index],CONCATENATE($A8,"_LPG_LPG"))</f>
        <v>3.5507903817809638E-4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7.6846425205516239E-2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2.2757110110707055E-2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5.1494940657920915E-3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3.6029318409904771E-7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1.7766577323677563E-2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3.7400173426317481E-7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1.0300668856368356E-3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4.4386264784187447E-5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6.1278008273100621E-5</v>
      </c>
      <c r="E10" s="416">
        <f>vkm_SW_PW*SUMIFS(TableVerdeelsleutelVkm[LPG],TableVerdeelsleutelVkm[Voertuigtype],"Lichte voertuigen")*SUMIFS(TableECFTransport[EnergieConsumptieFactor (PJ per km)],TableECFTransport[Index],CONCATENATE($A10,"_LPG_LPG"))</f>
        <v>7.3862627981062772E-4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0.15579973810300385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3.9734429666342247E-2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1.02448391814914E-2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3.5665253165415065E-6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0.13048128602891934</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3.1570166616356438E-6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7.5650290894682644E-3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33.638910713557621</v>
      </c>
      <c r="C14" s="21"/>
      <c r="D14" s="21">
        <f t="shared" ref="D14:M14" si="0">((D5)*10^9/3600)+D12</f>
        <v>50.371588883703296</v>
      </c>
      <c r="E14" s="21">
        <f t="shared" si="0"/>
        <v>525.87791620172811</v>
      </c>
      <c r="F14" s="21"/>
      <c r="G14" s="21">
        <f t="shared" si="0"/>
        <v>177572.09166812923</v>
      </c>
      <c r="H14" s="21">
        <f t="shared" si="0"/>
        <v>31404.659454823501</v>
      </c>
      <c r="I14" s="21"/>
      <c r="J14" s="21"/>
      <c r="K14" s="21"/>
      <c r="L14" s="21"/>
      <c r="M14" s="21">
        <f t="shared" si="0"/>
        <v>11253.056113536577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0.21206748989718605</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7.1337193578997242</v>
      </c>
      <c r="C18" s="23"/>
      <c r="D18" s="23">
        <f t="shared" ref="D18:M18" si="1">D14*D16</f>
        <v>10.175060954508066</v>
      </c>
      <c r="E18" s="23">
        <f t="shared" si="1"/>
        <v>119.37428697779228</v>
      </c>
      <c r="F18" s="23"/>
      <c r="G18" s="23">
        <f t="shared" si="1"/>
        <v>47411.748475390508</v>
      </c>
      <c r="H18" s="23">
        <f t="shared" si="1"/>
        <v>7819.7602042510516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4.288818752123211E-5</v>
      </c>
      <c r="C50" s="311">
        <f t="shared" ref="C50:P50" si="2">SUM(C51:C52)</f>
        <v>0</v>
      </c>
      <c r="D50" s="311">
        <f t="shared" si="2"/>
        <v>0</v>
      </c>
      <c r="E50" s="311">
        <f t="shared" si="2"/>
        <v>0</v>
      </c>
      <c r="F50" s="311">
        <f t="shared" si="2"/>
        <v>0</v>
      </c>
      <c r="G50" s="311">
        <f t="shared" si="2"/>
        <v>8.126745790454205E-3</v>
      </c>
      <c r="H50" s="311">
        <f t="shared" si="2"/>
        <v>0</v>
      </c>
      <c r="I50" s="311">
        <f t="shared" si="2"/>
        <v>0</v>
      </c>
      <c r="J50" s="311">
        <f t="shared" si="2"/>
        <v>0</v>
      </c>
      <c r="K50" s="311">
        <f t="shared" si="2"/>
        <v>0</v>
      </c>
      <c r="L50" s="311">
        <f t="shared" si="2"/>
        <v>0</v>
      </c>
      <c r="M50" s="311">
        <f t="shared" si="2"/>
        <v>4.6784079451447192E-4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4.288818752123211E-5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8.126745790454205E-3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4.6784079451447192E-4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11.913385422564476</v>
      </c>
      <c r="C54" s="21">
        <f t="shared" ref="C54:P54" si="3">(C50)*10^9/3600</f>
        <v>0</v>
      </c>
      <c r="D54" s="21">
        <f t="shared" si="3"/>
        <v>0</v>
      </c>
      <c r="E54" s="21">
        <f t="shared" si="3"/>
        <v>0</v>
      </c>
      <c r="F54" s="21">
        <f t="shared" si="3"/>
        <v>0</v>
      </c>
      <c r="G54" s="21">
        <f t="shared" si="3"/>
        <v>2257.4293862372792</v>
      </c>
      <c r="H54" s="21">
        <f t="shared" si="3"/>
        <v>0</v>
      </c>
      <c r="I54" s="21">
        <f t="shared" si="3"/>
        <v>0</v>
      </c>
      <c r="J54" s="21">
        <f t="shared" si="3"/>
        <v>0</v>
      </c>
      <c r="K54" s="21">
        <f t="shared" si="3"/>
        <v>0</v>
      </c>
      <c r="L54" s="21">
        <f t="shared" si="3"/>
        <v>0</v>
      </c>
      <c r="M54" s="21">
        <f t="shared" si="3"/>
        <v>129.95577625401998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0.21206748989718605</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2.5264417427409755</v>
      </c>
      <c r="C58" s="23">
        <f t="shared" ref="C58:P58" ca="1" si="4">C54*C56</f>
        <v>0</v>
      </c>
      <c r="D58" s="23">
        <f t="shared" si="4"/>
        <v>0</v>
      </c>
      <c r="E58" s="23">
        <f t="shared" si="4"/>
        <v>0</v>
      </c>
      <c r="F58" s="23">
        <f t="shared" si="4"/>
        <v>0</v>
      </c>
      <c r="G58" s="23">
        <f t="shared" si="4"/>
        <v>602.73364612535363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10198.262186913988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23314.5</v>
      </c>
      <c r="C8" s="535">
        <f>B49</f>
        <v>27428.823529411766</v>
      </c>
      <c r="D8" s="974"/>
      <c r="E8" s="974">
        <f>E49</f>
        <v>0</v>
      </c>
      <c r="F8" s="975"/>
      <c r="G8" s="536"/>
      <c r="H8" s="974">
        <f>I49</f>
        <v>0</v>
      </c>
      <c r="I8" s="974">
        <f>G49+F49</f>
        <v>0</v>
      </c>
      <c r="J8" s="974">
        <f>H49+D49+C49</f>
        <v>0</v>
      </c>
      <c r="K8" s="974"/>
      <c r="L8" s="974"/>
      <c r="M8" s="974"/>
      <c r="N8" s="537"/>
      <c r="O8" s="538">
        <f>C8*$C$12+D8*$D$12+E8*$E$12+F8*$F$12+G8*$G$12+H8*$H$12+I8*$I$12+J8*$J$12</f>
        <v>5540.6223529411773</v>
      </c>
      <c r="P8" s="1218"/>
      <c r="Q8" s="1219"/>
      <c r="S8" s="938"/>
      <c r="T8" s="1193"/>
      <c r="U8" s="1193"/>
    </row>
    <row r="9" spans="1:21" s="524" customFormat="1" ht="17.45" customHeight="1" thickBot="1">
      <c r="A9" s="539" t="s">
        <v>237</v>
      </c>
      <c r="B9" s="540">
        <f>N37+'Eigen informatie GS &amp; warmtenet'!B12</f>
        <v>900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2571.4285714285716</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34412.762186913984</v>
      </c>
      <c r="C10" s="548">
        <f t="shared" ref="C10:L10" si="0">SUM(C8:C9)</f>
        <v>27428.823529411766</v>
      </c>
      <c r="D10" s="548">
        <f t="shared" si="0"/>
        <v>0</v>
      </c>
      <c r="E10" s="548">
        <f t="shared" si="0"/>
        <v>0</v>
      </c>
      <c r="F10" s="548">
        <f t="shared" si="0"/>
        <v>0</v>
      </c>
      <c r="G10" s="548">
        <f t="shared" si="0"/>
        <v>0</v>
      </c>
      <c r="H10" s="548">
        <f t="shared" si="0"/>
        <v>0</v>
      </c>
      <c r="I10" s="548">
        <f t="shared" si="0"/>
        <v>0</v>
      </c>
      <c r="J10" s="548">
        <f t="shared" si="0"/>
        <v>2571.4285714285716</v>
      </c>
      <c r="K10" s="548">
        <f t="shared" si="0"/>
        <v>0</v>
      </c>
      <c r="L10" s="548">
        <f t="shared" si="0"/>
        <v>0</v>
      </c>
      <c r="M10" s="977"/>
      <c r="N10" s="977"/>
      <c r="O10" s="549">
        <f>SUM(O4:O9)</f>
        <v>5540.6223529411773</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33306.428571428572</v>
      </c>
      <c r="C17" s="560">
        <f>B50</f>
        <v>39184.033613445383</v>
      </c>
      <c r="D17" s="561"/>
      <c r="E17" s="561">
        <f>E50</f>
        <v>0</v>
      </c>
      <c r="F17" s="980"/>
      <c r="G17" s="562"/>
      <c r="H17" s="560">
        <f>I50</f>
        <v>0</v>
      </c>
      <c r="I17" s="561">
        <f>G50+F50</f>
        <v>0</v>
      </c>
      <c r="J17" s="561">
        <f>H50+D50+C50</f>
        <v>0</v>
      </c>
      <c r="K17" s="561"/>
      <c r="L17" s="561"/>
      <c r="M17" s="561"/>
      <c r="N17" s="981"/>
      <c r="O17" s="563">
        <f>C17*$C$22+E17*$E$22+H17*$H$22+I17*$I$22+J17*$J$22+D17*$D$22+F17*$F$22+G17*$G$22+K17*$K$22+L17*$L$22</f>
        <v>7915.1747899159682</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33306.428571428572</v>
      </c>
      <c r="C20" s="547">
        <f>SUM(C17:C19)</f>
        <v>39184.033613445383</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7915.1747899159682</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13011</v>
      </c>
      <c r="C28" s="725">
        <v>2200</v>
      </c>
      <c r="D28" s="618"/>
      <c r="E28" s="617"/>
      <c r="F28" s="617"/>
      <c r="G28" s="617" t="s">
        <v>904</v>
      </c>
      <c r="H28" s="617" t="s">
        <v>905</v>
      </c>
      <c r="I28" s="617"/>
      <c r="J28" s="724"/>
      <c r="K28" s="724"/>
      <c r="L28" s="617" t="s">
        <v>906</v>
      </c>
      <c r="M28" s="617">
        <v>5041</v>
      </c>
      <c r="N28" s="617">
        <v>22684.5</v>
      </c>
      <c r="O28" s="617">
        <v>32406.428571428572</v>
      </c>
      <c r="P28" s="617">
        <v>64812.857142857145</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13011</v>
      </c>
      <c r="C29" s="725">
        <v>2200</v>
      </c>
      <c r="D29" s="618"/>
      <c r="E29" s="617"/>
      <c r="F29" s="617"/>
      <c r="G29" s="617" t="s">
        <v>904</v>
      </c>
      <c r="H29" s="617" t="s">
        <v>905</v>
      </c>
      <c r="I29" s="617"/>
      <c r="J29" s="724"/>
      <c r="K29" s="724"/>
      <c r="L29" s="617" t="s">
        <v>906</v>
      </c>
      <c r="M29" s="617">
        <v>140</v>
      </c>
      <c r="N29" s="617">
        <v>630.00000000000011</v>
      </c>
      <c r="O29" s="617">
        <v>900.00000000000023</v>
      </c>
      <c r="P29" s="617">
        <v>1800.0000000000005</v>
      </c>
      <c r="Q29" s="617">
        <v>0</v>
      </c>
      <c r="R29" s="617">
        <v>0</v>
      </c>
      <c r="S29" s="617">
        <v>0</v>
      </c>
      <c r="T29" s="617">
        <v>0</v>
      </c>
      <c r="U29" s="617">
        <v>0</v>
      </c>
      <c r="V29" s="617">
        <v>0</v>
      </c>
      <c r="W29" s="617">
        <v>0</v>
      </c>
      <c r="X29" s="617"/>
      <c r="Y29" s="617">
        <v>800</v>
      </c>
      <c r="Z29" s="617" t="s">
        <v>35</v>
      </c>
      <c r="AA29" s="619" t="s">
        <v>376</v>
      </c>
    </row>
    <row r="30" spans="1:27" s="555" customFormat="1" hidden="1">
      <c r="A30" s="573" t="s">
        <v>269</v>
      </c>
      <c r="B30" s="574"/>
      <c r="C30" s="574"/>
      <c r="D30" s="574"/>
      <c r="E30" s="574"/>
      <c r="F30" s="574"/>
      <c r="G30" s="574"/>
      <c r="H30" s="574"/>
      <c r="I30" s="574"/>
      <c r="J30" s="574"/>
      <c r="K30" s="574"/>
      <c r="L30" s="575"/>
      <c r="M30" s="575">
        <f>SUM(M28:M29)</f>
        <v>5181</v>
      </c>
      <c r="N30" s="575">
        <f>SUM(N28:N29)</f>
        <v>23314.5</v>
      </c>
      <c r="O30" s="575">
        <f>SUM(O28:O29)</f>
        <v>33306.428571428572</v>
      </c>
      <c r="P30" s="575">
        <f>SUM(P28:P29)</f>
        <v>66612.857142857145</v>
      </c>
      <c r="Q30" s="575">
        <f>SUM(Q28:Q29)</f>
        <v>0</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140</v>
      </c>
      <c r="N31" s="575">
        <f>SUMIF($AA$28:$AA$29,"industrie",N28:N29)</f>
        <v>630.00000000000011</v>
      </c>
      <c r="O31" s="575">
        <f>SUMIF($AA$28:$AA$29,"industrie",O28:O29)</f>
        <v>900.00000000000023</v>
      </c>
      <c r="P31" s="575">
        <f>SUMIF($AA$28:$AA$29,"industrie",P28:P29)</f>
        <v>1800.0000000000005</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0</v>
      </c>
      <c r="N32" s="575">
        <f ca="1">SUMIF($AA$28:AE29,"tertiair",N28:N29)</f>
        <v>0</v>
      </c>
      <c r="O32" s="575">
        <f ca="1">SUMIF($AA$28:AF29,"tertiair",O28:O29)</f>
        <v>0</v>
      </c>
      <c r="P32" s="575">
        <f ca="1">SUMIF($AA$28:AG29,"tertiair",P28:P29)</f>
        <v>0</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5041</v>
      </c>
      <c r="N33" s="580">
        <f>SUMIF($AA$28:$AA$29,"landbouw",N28:N29)</f>
        <v>22684.5</v>
      </c>
      <c r="O33" s="580">
        <f>SUMIF($AA$28:$AA$29,"landbouw",O28:O29)</f>
        <v>32406.428571428572</v>
      </c>
      <c r="P33" s="580">
        <f>SUMIF($AA$28:$AA$29,"landbouw",P28:P29)</f>
        <v>64812.857142857145</v>
      </c>
      <c r="Q33" s="580">
        <f>SUMIF($AA$28:$AA$29,"landbouw",Q28:Q29)</f>
        <v>0</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63.75" hidden="1">
      <c r="A36" s="572"/>
      <c r="B36" s="725">
        <v>13011</v>
      </c>
      <c r="C36" s="725">
        <v>2200</v>
      </c>
      <c r="D36" s="620"/>
      <c r="E36" s="620"/>
      <c r="F36" s="620"/>
      <c r="G36" s="620" t="s">
        <v>907</v>
      </c>
      <c r="H36" s="620" t="s">
        <v>908</v>
      </c>
      <c r="I36" s="620"/>
      <c r="J36" s="724"/>
      <c r="K36" s="724"/>
      <c r="L36" s="620" t="s">
        <v>909</v>
      </c>
      <c r="M36" s="620">
        <v>200</v>
      </c>
      <c r="N36" s="620">
        <v>900</v>
      </c>
      <c r="O36" s="620">
        <v>0</v>
      </c>
      <c r="P36" s="620">
        <v>0</v>
      </c>
      <c r="Q36" s="620">
        <v>2571.4285714285716</v>
      </c>
      <c r="R36" s="620">
        <v>0</v>
      </c>
      <c r="S36" s="620">
        <v>0</v>
      </c>
      <c r="T36" s="620">
        <v>0</v>
      </c>
      <c r="U36" s="620">
        <v>0</v>
      </c>
      <c r="V36" s="620">
        <v>0</v>
      </c>
      <c r="W36" s="620">
        <v>0</v>
      </c>
      <c r="X36" s="620"/>
      <c r="Y36" s="620">
        <v>1600</v>
      </c>
      <c r="Z36" s="620" t="s">
        <v>49</v>
      </c>
      <c r="AA36" s="621" t="s">
        <v>149</v>
      </c>
    </row>
    <row r="37" spans="1:28" s="555" customFormat="1" hidden="1">
      <c r="A37" s="573" t="s">
        <v>269</v>
      </c>
      <c r="B37" s="574"/>
      <c r="C37" s="574"/>
      <c r="D37" s="574"/>
      <c r="E37" s="574"/>
      <c r="F37" s="574"/>
      <c r="G37" s="574"/>
      <c r="H37" s="574"/>
      <c r="I37" s="574"/>
      <c r="J37" s="574"/>
      <c r="K37" s="574"/>
      <c r="L37" s="575"/>
      <c r="M37" s="575">
        <f>SUM(M36:M36)</f>
        <v>200</v>
      </c>
      <c r="N37" s="575">
        <f>SUM(N36:N36)</f>
        <v>900</v>
      </c>
      <c r="O37" s="575">
        <f>SUM(O36:O36)</f>
        <v>0</v>
      </c>
      <c r="P37" s="575">
        <f>SUM(P36:P36)</f>
        <v>0</v>
      </c>
      <c r="Q37" s="575">
        <f>SUM(Q36:Q36)</f>
        <v>2571.4285714285716</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200</v>
      </c>
      <c r="N39" s="575">
        <f>SUMIF($AA$36:$AA$37,"tertiair",N36:N37)</f>
        <v>900</v>
      </c>
      <c r="O39" s="575">
        <f>SUMIF($AA$36:$AA$37,"tertiair",O36:O37)</f>
        <v>0</v>
      </c>
      <c r="P39" s="575">
        <f>SUMIF($AA$36:$AA$37,"tertiair",P36:P37)</f>
        <v>0</v>
      </c>
      <c r="Q39" s="575">
        <f>SUMIF($AA$36:$AA$37,"tertiair",Q36:Q37)</f>
        <v>2571.4285714285716</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0.58823529411764708</v>
      </c>
      <c r="C46" s="600">
        <f>IF(ISERROR(N30/(O30+N30)),0,N30/(N30+O30))</f>
        <v>0.41176470588235292</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27428.823529411766</v>
      </c>
      <c r="C49" s="609">
        <f t="shared" si="2"/>
        <v>0</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39184.033613445383</v>
      </c>
      <c r="C50" s="612">
        <f t="shared" si="3"/>
        <v>0</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73775.774000000005</v>
      </c>
      <c r="D10" s="943">
        <f ca="1">tertiair!C16</f>
        <v>0</v>
      </c>
      <c r="E10" s="943">
        <f ca="1">tertiair!D16</f>
        <v>59688.508267463505</v>
      </c>
      <c r="F10" s="943">
        <f>tertiair!E16</f>
        <v>1101.6650871143461</v>
      </c>
      <c r="G10" s="943">
        <f ca="1">tertiair!F16</f>
        <v>16034.886750066848</v>
      </c>
      <c r="H10" s="943">
        <f>tertiair!G16</f>
        <v>0</v>
      </c>
      <c r="I10" s="943">
        <f>tertiair!H16</f>
        <v>0</v>
      </c>
      <c r="J10" s="943">
        <f>tertiair!I16</f>
        <v>0</v>
      </c>
      <c r="K10" s="943">
        <f>tertiair!J16</f>
        <v>0</v>
      </c>
      <c r="L10" s="943">
        <f>tertiair!K16</f>
        <v>0</v>
      </c>
      <c r="M10" s="943">
        <f ca="1">tertiair!L16</f>
        <v>0</v>
      </c>
      <c r="N10" s="943">
        <f>tertiair!M16</f>
        <v>0</v>
      </c>
      <c r="O10" s="943">
        <f ca="1">tertiair!N16</f>
        <v>1949.4791607951483</v>
      </c>
      <c r="P10" s="943">
        <f>tertiair!O16</f>
        <v>1.5633333333333335</v>
      </c>
      <c r="Q10" s="944">
        <f>tertiair!P16</f>
        <v>190.66666666666669</v>
      </c>
      <c r="R10" s="629">
        <f ca="1">SUM(C10:Q10)</f>
        <v>152742.54326543986</v>
      </c>
      <c r="S10" s="67"/>
    </row>
    <row r="11" spans="1:19" s="438" customFormat="1">
      <c r="A11" s="737" t="s">
        <v>214</v>
      </c>
      <c r="B11" s="742"/>
      <c r="C11" s="943">
        <f>huishoudens!B8</f>
        <v>44703.985092957111</v>
      </c>
      <c r="D11" s="943">
        <f>huishoudens!C8</f>
        <v>0</v>
      </c>
      <c r="E11" s="943">
        <f>huishoudens!D8</f>
        <v>122155.06697503099</v>
      </c>
      <c r="F11" s="943">
        <f>huishoudens!E8</f>
        <v>1441.6360551085334</v>
      </c>
      <c r="G11" s="943">
        <f>huishoudens!F8</f>
        <v>45479.119914889845</v>
      </c>
      <c r="H11" s="943">
        <f>huishoudens!G8</f>
        <v>0</v>
      </c>
      <c r="I11" s="943">
        <f>huishoudens!H8</f>
        <v>0</v>
      </c>
      <c r="J11" s="943">
        <f>huishoudens!I8</f>
        <v>0</v>
      </c>
      <c r="K11" s="943">
        <f>huishoudens!J8</f>
        <v>1060.571358377234</v>
      </c>
      <c r="L11" s="943">
        <f>huishoudens!K8</f>
        <v>0</v>
      </c>
      <c r="M11" s="943">
        <f>huishoudens!L8</f>
        <v>0</v>
      </c>
      <c r="N11" s="943">
        <f>huishoudens!M8</f>
        <v>0</v>
      </c>
      <c r="O11" s="943">
        <f>huishoudens!N8</f>
        <v>13236.002844939007</v>
      </c>
      <c r="P11" s="943">
        <f>huishoudens!O8</f>
        <v>350.18666666666672</v>
      </c>
      <c r="Q11" s="944">
        <f>huishoudens!P8</f>
        <v>743.6</v>
      </c>
      <c r="R11" s="629">
        <f>SUM(C11:Q11)</f>
        <v>229170.16890796938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107752.5389</v>
      </c>
      <c r="D13" s="943">
        <f>industrie!C18</f>
        <v>900.00000000000023</v>
      </c>
      <c r="E13" s="943">
        <f>industrie!D18</f>
        <v>47989.461738668942</v>
      </c>
      <c r="F13" s="943">
        <f>industrie!E18</f>
        <v>6974.2641822805317</v>
      </c>
      <c r="G13" s="943">
        <f>industrie!F18</f>
        <v>42989.417473599395</v>
      </c>
      <c r="H13" s="943">
        <f>industrie!G18</f>
        <v>0</v>
      </c>
      <c r="I13" s="943">
        <f>industrie!H18</f>
        <v>0</v>
      </c>
      <c r="J13" s="943">
        <f>industrie!I18</f>
        <v>0</v>
      </c>
      <c r="K13" s="943">
        <f>industrie!J18</f>
        <v>381.73190299197989</v>
      </c>
      <c r="L13" s="943">
        <f>industrie!K18</f>
        <v>0</v>
      </c>
      <c r="M13" s="943">
        <f>industrie!L18</f>
        <v>0</v>
      </c>
      <c r="N13" s="943">
        <f>industrie!M18</f>
        <v>0</v>
      </c>
      <c r="O13" s="943">
        <f>industrie!N18</f>
        <v>8085.6043805636718</v>
      </c>
      <c r="P13" s="943">
        <f>industrie!O18</f>
        <v>0</v>
      </c>
      <c r="Q13" s="944">
        <f>industrie!P18</f>
        <v>0</v>
      </c>
      <c r="R13" s="629">
        <f>SUM(C13:Q13)</f>
        <v>215073.01857810453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226232.29799295712</v>
      </c>
      <c r="D16" s="661">
        <f t="shared" ref="D16:R16" ca="1" si="0">SUM(D9:D15)</f>
        <v>900.00000000000023</v>
      </c>
      <c r="E16" s="661">
        <f t="shared" ca="1" si="0"/>
        <v>229833.03698116343</v>
      </c>
      <c r="F16" s="661">
        <f t="shared" si="0"/>
        <v>9517.5653245034118</v>
      </c>
      <c r="G16" s="661">
        <f t="shared" ca="1" si="0"/>
        <v>104503.42413855609</v>
      </c>
      <c r="H16" s="661">
        <f t="shared" si="0"/>
        <v>0</v>
      </c>
      <c r="I16" s="661">
        <f t="shared" si="0"/>
        <v>0</v>
      </c>
      <c r="J16" s="661">
        <f t="shared" si="0"/>
        <v>0</v>
      </c>
      <c r="K16" s="661">
        <f t="shared" si="0"/>
        <v>1442.3032613692139</v>
      </c>
      <c r="L16" s="661">
        <f t="shared" si="0"/>
        <v>0</v>
      </c>
      <c r="M16" s="661">
        <f t="shared" ca="1" si="0"/>
        <v>0</v>
      </c>
      <c r="N16" s="661">
        <f t="shared" si="0"/>
        <v>0</v>
      </c>
      <c r="O16" s="661">
        <f t="shared" ca="1" si="0"/>
        <v>23271.086386297826</v>
      </c>
      <c r="P16" s="661">
        <f t="shared" si="0"/>
        <v>351.75000000000006</v>
      </c>
      <c r="Q16" s="661">
        <f t="shared" si="0"/>
        <v>934.26666666666665</v>
      </c>
      <c r="R16" s="661">
        <f t="shared" ca="1" si="0"/>
        <v>596985.73075151374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11.913385422564476</v>
      </c>
      <c r="D19" s="943">
        <f>transport!C54</f>
        <v>0</v>
      </c>
      <c r="E19" s="943">
        <f>transport!D54</f>
        <v>0</v>
      </c>
      <c r="F19" s="943">
        <f>transport!E54</f>
        <v>0</v>
      </c>
      <c r="G19" s="943">
        <f>transport!F54</f>
        <v>0</v>
      </c>
      <c r="H19" s="943">
        <f>transport!G54</f>
        <v>2257.4293862372792</v>
      </c>
      <c r="I19" s="943">
        <f>transport!H54</f>
        <v>0</v>
      </c>
      <c r="J19" s="943">
        <f>transport!I54</f>
        <v>0</v>
      </c>
      <c r="K19" s="943">
        <f>transport!J54</f>
        <v>0</v>
      </c>
      <c r="L19" s="943">
        <f>transport!K54</f>
        <v>0</v>
      </c>
      <c r="M19" s="943">
        <f>transport!L54</f>
        <v>0</v>
      </c>
      <c r="N19" s="943">
        <f>transport!M54</f>
        <v>129.95577625401998</v>
      </c>
      <c r="O19" s="943">
        <f>transport!N54</f>
        <v>0</v>
      </c>
      <c r="P19" s="943">
        <f>transport!O54</f>
        <v>0</v>
      </c>
      <c r="Q19" s="944">
        <f>transport!P54</f>
        <v>0</v>
      </c>
      <c r="R19" s="629">
        <f>SUM(C19:Q19)</f>
        <v>2399.2985479138633</v>
      </c>
      <c r="S19" s="67"/>
    </row>
    <row r="20" spans="1:19" s="438" customFormat="1">
      <c r="A20" s="737" t="s">
        <v>296</v>
      </c>
      <c r="B20" s="742"/>
      <c r="C20" s="943">
        <f>transport!B14</f>
        <v>33.638910713557621</v>
      </c>
      <c r="D20" s="943">
        <f>transport!C14</f>
        <v>0</v>
      </c>
      <c r="E20" s="943">
        <f>transport!D14</f>
        <v>50.371588883703296</v>
      </c>
      <c r="F20" s="943">
        <f>transport!E14</f>
        <v>525.87791620172811</v>
      </c>
      <c r="G20" s="943">
        <f>transport!F14</f>
        <v>0</v>
      </c>
      <c r="H20" s="943">
        <f>transport!G14</f>
        <v>177572.09166812923</v>
      </c>
      <c r="I20" s="943">
        <f>transport!H14</f>
        <v>31404.659454823501</v>
      </c>
      <c r="J20" s="943">
        <f>transport!I14</f>
        <v>0</v>
      </c>
      <c r="K20" s="943">
        <f>transport!J14</f>
        <v>0</v>
      </c>
      <c r="L20" s="943">
        <f>transport!K14</f>
        <v>0</v>
      </c>
      <c r="M20" s="943">
        <f>transport!L14</f>
        <v>0</v>
      </c>
      <c r="N20" s="943">
        <f>transport!M14</f>
        <v>11253.056113536577</v>
      </c>
      <c r="O20" s="943">
        <f>transport!N14</f>
        <v>0</v>
      </c>
      <c r="P20" s="943">
        <f>transport!O14</f>
        <v>0</v>
      </c>
      <c r="Q20" s="944">
        <f>transport!P14</f>
        <v>0</v>
      </c>
      <c r="R20" s="629">
        <f>SUM(C20:Q20)</f>
        <v>220839.6956522883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45.552296136122095</v>
      </c>
      <c r="D22" s="740">
        <f t="shared" ref="D22:R22" si="1">SUM(D18:D21)</f>
        <v>0</v>
      </c>
      <c r="E22" s="740">
        <f t="shared" si="1"/>
        <v>50.371588883703296</v>
      </c>
      <c r="F22" s="740">
        <f t="shared" si="1"/>
        <v>525.87791620172811</v>
      </c>
      <c r="G22" s="740">
        <f t="shared" si="1"/>
        <v>0</v>
      </c>
      <c r="H22" s="740">
        <f t="shared" si="1"/>
        <v>179829.52105436652</v>
      </c>
      <c r="I22" s="740">
        <f t="shared" si="1"/>
        <v>31404.659454823501</v>
      </c>
      <c r="J22" s="740">
        <f t="shared" si="1"/>
        <v>0</v>
      </c>
      <c r="K22" s="740">
        <f t="shared" si="1"/>
        <v>0</v>
      </c>
      <c r="L22" s="740">
        <f t="shared" si="1"/>
        <v>0</v>
      </c>
      <c r="M22" s="740">
        <f t="shared" si="1"/>
        <v>0</v>
      </c>
      <c r="N22" s="740">
        <f t="shared" si="1"/>
        <v>11383.011889790598</v>
      </c>
      <c r="O22" s="740">
        <f t="shared" si="1"/>
        <v>0</v>
      </c>
      <c r="P22" s="740">
        <f t="shared" si="1"/>
        <v>0</v>
      </c>
      <c r="Q22" s="740">
        <f t="shared" si="1"/>
        <v>0</v>
      </c>
      <c r="R22" s="740">
        <f t="shared" si="1"/>
        <v>223238.99420020217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2707.7867700000002</v>
      </c>
      <c r="D24" s="943">
        <f>+landbouw!C8</f>
        <v>32406.428571428572</v>
      </c>
      <c r="E24" s="943">
        <f>+landbouw!D8</f>
        <v>0</v>
      </c>
      <c r="F24" s="943">
        <f>+landbouw!E8</f>
        <v>58.064532277935662</v>
      </c>
      <c r="G24" s="943">
        <f>+landbouw!F8</f>
        <v>8783.1926151371699</v>
      </c>
      <c r="H24" s="943">
        <f>+landbouw!G8</f>
        <v>0</v>
      </c>
      <c r="I24" s="943">
        <f>+landbouw!H8</f>
        <v>0</v>
      </c>
      <c r="J24" s="943">
        <f>+landbouw!I8</f>
        <v>0</v>
      </c>
      <c r="K24" s="943">
        <f>+landbouw!J8</f>
        <v>260.89668630174259</v>
      </c>
      <c r="L24" s="943">
        <f>+landbouw!K8</f>
        <v>0</v>
      </c>
      <c r="M24" s="943">
        <f>+landbouw!L8</f>
        <v>0</v>
      </c>
      <c r="N24" s="943">
        <f>+landbouw!M8</f>
        <v>0</v>
      </c>
      <c r="O24" s="943">
        <f>+landbouw!N8</f>
        <v>0</v>
      </c>
      <c r="P24" s="943">
        <f>+landbouw!O8</f>
        <v>0</v>
      </c>
      <c r="Q24" s="944">
        <f>+landbouw!P8</f>
        <v>0</v>
      </c>
      <c r="R24" s="629">
        <f>SUM(C24:Q24)</f>
        <v>44216.369175145417</v>
      </c>
      <c r="S24" s="67"/>
    </row>
    <row r="25" spans="1:19" s="438" customFormat="1" ht="15" thickBot="1">
      <c r="A25" s="759" t="s">
        <v>802</v>
      </c>
      <c r="B25" s="946"/>
      <c r="C25" s="947">
        <f>IF(Onbekend_ele_kWh="---",0,Onbekend_ele_kWh)/1000+IF(REST_rest_ele_kWh="---",0,REST_rest_ele_kWh)/1000</f>
        <v>2147.3890000000001</v>
      </c>
      <c r="D25" s="947"/>
      <c r="E25" s="947">
        <f>IF(onbekend_gas_kWh="---",0,onbekend_gas_kWh)/1000+IF(REST_rest_gas_kWh="---",0,REST_rest_gas_kWh)/1000</f>
        <v>4427.8376750019697</v>
      </c>
      <c r="F25" s="947"/>
      <c r="G25" s="947"/>
      <c r="H25" s="947"/>
      <c r="I25" s="947"/>
      <c r="J25" s="947"/>
      <c r="K25" s="947"/>
      <c r="L25" s="947"/>
      <c r="M25" s="947"/>
      <c r="N25" s="947"/>
      <c r="O25" s="947"/>
      <c r="P25" s="947"/>
      <c r="Q25" s="948"/>
      <c r="R25" s="629">
        <f>SUM(C25:Q25)</f>
        <v>6575.2266750019699</v>
      </c>
      <c r="S25" s="67"/>
    </row>
    <row r="26" spans="1:19" s="438" customFormat="1" ht="15.75" thickBot="1">
      <c r="A26" s="634" t="s">
        <v>803</v>
      </c>
      <c r="B26" s="745"/>
      <c r="C26" s="740">
        <f>SUM(C24:C25)</f>
        <v>4855.1757699999998</v>
      </c>
      <c r="D26" s="740">
        <f t="shared" ref="D26:R26" si="2">SUM(D24:D25)</f>
        <v>32406.428571428572</v>
      </c>
      <c r="E26" s="740">
        <f t="shared" si="2"/>
        <v>4427.8376750019697</v>
      </c>
      <c r="F26" s="740">
        <f t="shared" si="2"/>
        <v>58.064532277935662</v>
      </c>
      <c r="G26" s="740">
        <f t="shared" si="2"/>
        <v>8783.1926151371699</v>
      </c>
      <c r="H26" s="740">
        <f t="shared" si="2"/>
        <v>0</v>
      </c>
      <c r="I26" s="740">
        <f t="shared" si="2"/>
        <v>0</v>
      </c>
      <c r="J26" s="740">
        <f t="shared" si="2"/>
        <v>0</v>
      </c>
      <c r="K26" s="740">
        <f t="shared" si="2"/>
        <v>260.89668630174259</v>
      </c>
      <c r="L26" s="740">
        <f t="shared" si="2"/>
        <v>0</v>
      </c>
      <c r="M26" s="740">
        <f t="shared" si="2"/>
        <v>0</v>
      </c>
      <c r="N26" s="740">
        <f t="shared" si="2"/>
        <v>0</v>
      </c>
      <c r="O26" s="740">
        <f t="shared" si="2"/>
        <v>0</v>
      </c>
      <c r="P26" s="740">
        <f t="shared" si="2"/>
        <v>0</v>
      </c>
      <c r="Q26" s="740">
        <f t="shared" si="2"/>
        <v>0</v>
      </c>
      <c r="R26" s="740">
        <f t="shared" si="2"/>
        <v>50791.595850147387</v>
      </c>
      <c r="S26" s="67"/>
    </row>
    <row r="27" spans="1:19" s="438" customFormat="1" ht="17.25" thickTop="1" thickBot="1">
      <c r="A27" s="635" t="s">
        <v>109</v>
      </c>
      <c r="B27" s="733"/>
      <c r="C27" s="636">
        <f ca="1">C22+C16+C26</f>
        <v>231133.02605909324</v>
      </c>
      <c r="D27" s="636">
        <f t="shared" ref="D27:R27" ca="1" si="3">D22+D16+D26</f>
        <v>33306.428571428572</v>
      </c>
      <c r="E27" s="636">
        <f t="shared" ca="1" si="3"/>
        <v>234311.24624504911</v>
      </c>
      <c r="F27" s="636">
        <f t="shared" si="3"/>
        <v>10101.507772983075</v>
      </c>
      <c r="G27" s="636">
        <f t="shared" ca="1" si="3"/>
        <v>113286.61675369326</v>
      </c>
      <c r="H27" s="636">
        <f t="shared" si="3"/>
        <v>179829.52105436652</v>
      </c>
      <c r="I27" s="636">
        <f t="shared" si="3"/>
        <v>31404.659454823501</v>
      </c>
      <c r="J27" s="636">
        <f t="shared" si="3"/>
        <v>0</v>
      </c>
      <c r="K27" s="636">
        <f t="shared" si="3"/>
        <v>1703.1999476709566</v>
      </c>
      <c r="L27" s="636">
        <f t="shared" si="3"/>
        <v>0</v>
      </c>
      <c r="M27" s="636">
        <f t="shared" ca="1" si="3"/>
        <v>0</v>
      </c>
      <c r="N27" s="636">
        <f t="shared" si="3"/>
        <v>11383.011889790598</v>
      </c>
      <c r="O27" s="636">
        <f t="shared" ca="1" si="3"/>
        <v>23271.086386297826</v>
      </c>
      <c r="P27" s="636">
        <f t="shared" si="3"/>
        <v>351.75000000000006</v>
      </c>
      <c r="Q27" s="636">
        <f t="shared" si="3"/>
        <v>934.26666666666665</v>
      </c>
      <c r="R27" s="636">
        <f t="shared" ca="1" si="3"/>
        <v>871016.32080186333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15645.443207402082</v>
      </c>
      <c r="D40" s="943">
        <f ca="1">tertiair!C20</f>
        <v>0</v>
      </c>
      <c r="E40" s="943">
        <f ca="1">tertiair!D20</f>
        <v>12057.078670027629</v>
      </c>
      <c r="F40" s="943">
        <f>tertiair!E20</f>
        <v>250.07797477495657</v>
      </c>
      <c r="G40" s="943">
        <f ca="1">tertiair!F20</f>
        <v>4281.3147622678489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32233.914614472513</v>
      </c>
    </row>
    <row r="41" spans="1:18">
      <c r="A41" s="750" t="s">
        <v>214</v>
      </c>
      <c r="B41" s="757"/>
      <c r="C41" s="943">
        <f ca="1">huishoudens!B12</f>
        <v>9480.2619070646379</v>
      </c>
      <c r="D41" s="943">
        <f ca="1">huishoudens!C12</f>
        <v>0</v>
      </c>
      <c r="E41" s="943">
        <f>huishoudens!D12</f>
        <v>24675.323528956262</v>
      </c>
      <c r="F41" s="943">
        <f>huishoudens!E12</f>
        <v>327.25138450963709</v>
      </c>
      <c r="G41" s="943">
        <f>huishoudens!F12</f>
        <v>12142.925017275589</v>
      </c>
      <c r="H41" s="943">
        <f>huishoudens!G12</f>
        <v>0</v>
      </c>
      <c r="I41" s="943">
        <f>huishoudens!H12</f>
        <v>0</v>
      </c>
      <c r="J41" s="943">
        <f>huishoudens!I12</f>
        <v>0</v>
      </c>
      <c r="K41" s="943">
        <f>huishoudens!J12</f>
        <v>375.44226086554079</v>
      </c>
      <c r="L41" s="943">
        <f>huishoudens!K12</f>
        <v>0</v>
      </c>
      <c r="M41" s="943">
        <f>huishoudens!L12</f>
        <v>0</v>
      </c>
      <c r="N41" s="943">
        <f>huishoudens!M12</f>
        <v>0</v>
      </c>
      <c r="O41" s="943">
        <f>huishoudens!N12</f>
        <v>0</v>
      </c>
      <c r="P41" s="943">
        <f>huishoudens!O12</f>
        <v>0</v>
      </c>
      <c r="Q41" s="703">
        <f>huishoudens!P12</f>
        <v>0</v>
      </c>
      <c r="R41" s="778">
        <f t="shared" ca="1" si="4"/>
        <v>47001.204098671675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22850.810454571896</v>
      </c>
      <c r="D43" s="943">
        <f ca="1">industrie!C22</f>
        <v>213.88235294117658</v>
      </c>
      <c r="E43" s="943">
        <f>industrie!D22</f>
        <v>9693.8712712111264</v>
      </c>
      <c r="F43" s="943">
        <f>industrie!E22</f>
        <v>1583.1579693776807</v>
      </c>
      <c r="G43" s="943">
        <f>industrie!F22</f>
        <v>11478.174465451038</v>
      </c>
      <c r="H43" s="943">
        <f>industrie!G22</f>
        <v>0</v>
      </c>
      <c r="I43" s="943">
        <f>industrie!H22</f>
        <v>0</v>
      </c>
      <c r="J43" s="943">
        <f>industrie!I22</f>
        <v>0</v>
      </c>
      <c r="K43" s="943">
        <f>industrie!J22</f>
        <v>135.13309365916086</v>
      </c>
      <c r="L43" s="943">
        <f>industrie!K22</f>
        <v>0</v>
      </c>
      <c r="M43" s="943">
        <f>industrie!L22</f>
        <v>0</v>
      </c>
      <c r="N43" s="943">
        <f>industrie!M22</f>
        <v>0</v>
      </c>
      <c r="O43" s="943">
        <f>industrie!N22</f>
        <v>0</v>
      </c>
      <c r="P43" s="943">
        <f>industrie!O22</f>
        <v>0</v>
      </c>
      <c r="Q43" s="703">
        <f>industrie!P22</f>
        <v>0</v>
      </c>
      <c r="R43" s="777">
        <f t="shared" ca="1" si="4"/>
        <v>45955.029607212084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47976.515569038616</v>
      </c>
      <c r="D46" s="661">
        <f t="shared" ref="D46:Q46" ca="1" si="5">SUM(D39:D45)</f>
        <v>213.88235294117658</v>
      </c>
      <c r="E46" s="661">
        <f t="shared" ca="1" si="5"/>
        <v>46426.273470195025</v>
      </c>
      <c r="F46" s="661">
        <f t="shared" si="5"/>
        <v>2160.4873286622742</v>
      </c>
      <c r="G46" s="661">
        <f t="shared" ca="1" si="5"/>
        <v>27902.414244994477</v>
      </c>
      <c r="H46" s="661">
        <f t="shared" si="5"/>
        <v>0</v>
      </c>
      <c r="I46" s="661">
        <f t="shared" si="5"/>
        <v>0</v>
      </c>
      <c r="J46" s="661">
        <f t="shared" si="5"/>
        <v>0</v>
      </c>
      <c r="K46" s="661">
        <f t="shared" si="5"/>
        <v>510.57535452470165</v>
      </c>
      <c r="L46" s="661">
        <f t="shared" si="5"/>
        <v>0</v>
      </c>
      <c r="M46" s="661">
        <f t="shared" ca="1" si="5"/>
        <v>0</v>
      </c>
      <c r="N46" s="661">
        <f t="shared" si="5"/>
        <v>0</v>
      </c>
      <c r="O46" s="661">
        <f t="shared" ca="1" si="5"/>
        <v>0</v>
      </c>
      <c r="P46" s="661">
        <f t="shared" si="5"/>
        <v>0</v>
      </c>
      <c r="Q46" s="661">
        <f t="shared" si="5"/>
        <v>0</v>
      </c>
      <c r="R46" s="661">
        <f ca="1">SUM(R39:R45)</f>
        <v>125190.14832035627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2.5264417427409755</v>
      </c>
      <c r="D49" s="943">
        <f ca="1">transport!C58</f>
        <v>0</v>
      </c>
      <c r="E49" s="943">
        <f>transport!D58</f>
        <v>0</v>
      </c>
      <c r="F49" s="943">
        <f>transport!E58</f>
        <v>0</v>
      </c>
      <c r="G49" s="943">
        <f>transport!F58</f>
        <v>0</v>
      </c>
      <c r="H49" s="943">
        <f>transport!G58</f>
        <v>602.73364612535363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605.26008786809462</v>
      </c>
    </row>
    <row r="50" spans="1:18">
      <c r="A50" s="753" t="s">
        <v>296</v>
      </c>
      <c r="B50" s="763"/>
      <c r="C50" s="632">
        <f ca="1">transport!B18</f>
        <v>7.1337193578997242</v>
      </c>
      <c r="D50" s="632">
        <f>transport!C18</f>
        <v>0</v>
      </c>
      <c r="E50" s="632">
        <f>transport!D18</f>
        <v>10.175060954508066</v>
      </c>
      <c r="F50" s="632">
        <f>transport!E18</f>
        <v>119.37428697779228</v>
      </c>
      <c r="G50" s="632">
        <f>transport!F18</f>
        <v>0</v>
      </c>
      <c r="H50" s="632">
        <f>transport!G18</f>
        <v>47411.748475390508</v>
      </c>
      <c r="I50" s="632">
        <f>transport!H18</f>
        <v>7819.7602042510516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55368.191746931756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9.6601611006406998</v>
      </c>
      <c r="D52" s="661">
        <f t="shared" ref="D52:Q52" ca="1" si="6">SUM(D48:D51)</f>
        <v>0</v>
      </c>
      <c r="E52" s="661">
        <f t="shared" si="6"/>
        <v>10.175060954508066</v>
      </c>
      <c r="F52" s="661">
        <f t="shared" si="6"/>
        <v>119.37428697779228</v>
      </c>
      <c r="G52" s="661">
        <f t="shared" si="6"/>
        <v>0</v>
      </c>
      <c r="H52" s="661">
        <f t="shared" si="6"/>
        <v>48014.482121515859</v>
      </c>
      <c r="I52" s="661">
        <f t="shared" si="6"/>
        <v>7819.7602042510516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55973.451834799853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574.23354349070905</v>
      </c>
      <c r="D54" s="632">
        <f ca="1">+landbouw!C12</f>
        <v>7701.2924369747916</v>
      </c>
      <c r="E54" s="632">
        <f>+landbouw!D12</f>
        <v>0</v>
      </c>
      <c r="F54" s="632">
        <f>+landbouw!E12</f>
        <v>13.180648827091396</v>
      </c>
      <c r="G54" s="632">
        <f>+landbouw!F12</f>
        <v>2345.1124282416245</v>
      </c>
      <c r="H54" s="632">
        <f>+landbouw!G12</f>
        <v>0</v>
      </c>
      <c r="I54" s="632">
        <f>+landbouw!H12</f>
        <v>0</v>
      </c>
      <c r="J54" s="632">
        <f>+landbouw!I12</f>
        <v>0</v>
      </c>
      <c r="K54" s="632">
        <f>+landbouw!J12</f>
        <v>92.357426950816873</v>
      </c>
      <c r="L54" s="632">
        <f>+landbouw!K12</f>
        <v>0</v>
      </c>
      <c r="M54" s="632">
        <f>+landbouw!L12</f>
        <v>0</v>
      </c>
      <c r="N54" s="632">
        <f>+landbouw!M12</f>
        <v>0</v>
      </c>
      <c r="O54" s="632">
        <f>+landbouw!N12</f>
        <v>0</v>
      </c>
      <c r="P54" s="632">
        <f>+landbouw!O12</f>
        <v>0</v>
      </c>
      <c r="Q54" s="633">
        <f>+landbouw!P12</f>
        <v>0</v>
      </c>
      <c r="R54" s="660">
        <f ca="1">SUM(C54:Q54)</f>
        <v>10726.176484485033</v>
      </c>
    </row>
    <row r="55" spans="1:18" ht="15" thickBot="1">
      <c r="A55" s="753" t="s">
        <v>802</v>
      </c>
      <c r="B55" s="763"/>
      <c r="C55" s="632">
        <f ca="1">C25*'EF ele_warmte'!B12</f>
        <v>455.39139506282845</v>
      </c>
      <c r="D55" s="632"/>
      <c r="E55" s="632">
        <f>E25*EF_CO2_aardgas</f>
        <v>894.42321035039799</v>
      </c>
      <c r="F55" s="632"/>
      <c r="G55" s="632"/>
      <c r="H55" s="632"/>
      <c r="I55" s="632"/>
      <c r="J55" s="632"/>
      <c r="K55" s="632"/>
      <c r="L55" s="632"/>
      <c r="M55" s="632"/>
      <c r="N55" s="632"/>
      <c r="O55" s="632"/>
      <c r="P55" s="632"/>
      <c r="Q55" s="633"/>
      <c r="R55" s="660">
        <f ca="1">SUM(C55:Q55)</f>
        <v>1349.8146054132264</v>
      </c>
    </row>
    <row r="56" spans="1:18" ht="15.75" thickBot="1">
      <c r="A56" s="751" t="s">
        <v>803</v>
      </c>
      <c r="B56" s="764"/>
      <c r="C56" s="661">
        <f ca="1">SUM(C54:C55)</f>
        <v>1029.6249385535375</v>
      </c>
      <c r="D56" s="661">
        <f t="shared" ref="D56:Q56" ca="1" si="7">SUM(D54:D55)</f>
        <v>7701.2924369747916</v>
      </c>
      <c r="E56" s="661">
        <f t="shared" si="7"/>
        <v>894.42321035039799</v>
      </c>
      <c r="F56" s="661">
        <f t="shared" si="7"/>
        <v>13.180648827091396</v>
      </c>
      <c r="G56" s="661">
        <f t="shared" si="7"/>
        <v>2345.1124282416245</v>
      </c>
      <c r="H56" s="661">
        <f t="shared" si="7"/>
        <v>0</v>
      </c>
      <c r="I56" s="661">
        <f t="shared" si="7"/>
        <v>0</v>
      </c>
      <c r="J56" s="661">
        <f t="shared" si="7"/>
        <v>0</v>
      </c>
      <c r="K56" s="661">
        <f t="shared" si="7"/>
        <v>92.357426950816873</v>
      </c>
      <c r="L56" s="661">
        <f t="shared" si="7"/>
        <v>0</v>
      </c>
      <c r="M56" s="661">
        <f t="shared" si="7"/>
        <v>0</v>
      </c>
      <c r="N56" s="661">
        <f t="shared" si="7"/>
        <v>0</v>
      </c>
      <c r="O56" s="661">
        <f t="shared" si="7"/>
        <v>0</v>
      </c>
      <c r="P56" s="661">
        <f t="shared" si="7"/>
        <v>0</v>
      </c>
      <c r="Q56" s="662">
        <f t="shared" si="7"/>
        <v>0</v>
      </c>
      <c r="R56" s="663">
        <f ca="1">SUM(R54:R55)</f>
        <v>12075.99108989826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49015.800668692798</v>
      </c>
      <c r="D61" s="669">
        <f t="shared" ref="D61:Q61" ca="1" si="8">D46+D52+D56</f>
        <v>7915.1747899159682</v>
      </c>
      <c r="E61" s="669">
        <f t="shared" ca="1" si="8"/>
        <v>47330.871741499926</v>
      </c>
      <c r="F61" s="669">
        <f t="shared" si="8"/>
        <v>2293.042264467158</v>
      </c>
      <c r="G61" s="669">
        <f t="shared" ca="1" si="8"/>
        <v>30247.526673236101</v>
      </c>
      <c r="H61" s="669">
        <f t="shared" si="8"/>
        <v>48014.482121515859</v>
      </c>
      <c r="I61" s="669">
        <f t="shared" si="8"/>
        <v>7819.7602042510516</v>
      </c>
      <c r="J61" s="669">
        <f t="shared" si="8"/>
        <v>0</v>
      </c>
      <c r="K61" s="669">
        <f t="shared" si="8"/>
        <v>602.93278147551848</v>
      </c>
      <c r="L61" s="669">
        <f t="shared" si="8"/>
        <v>0</v>
      </c>
      <c r="M61" s="669">
        <f t="shared" ca="1" si="8"/>
        <v>0</v>
      </c>
      <c r="N61" s="669">
        <f t="shared" si="8"/>
        <v>0</v>
      </c>
      <c r="O61" s="669">
        <f t="shared" ca="1" si="8"/>
        <v>0</v>
      </c>
      <c r="P61" s="669">
        <f t="shared" si="8"/>
        <v>0</v>
      </c>
      <c r="Q61" s="669">
        <f t="shared" si="8"/>
        <v>0</v>
      </c>
      <c r="R61" s="669">
        <f ca="1">R46+R52+R56</f>
        <v>193239.59124505435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0.21206748989718605</v>
      </c>
      <c r="D63" s="710">
        <f t="shared" ca="1" si="9"/>
        <v>0.23764705882352946</v>
      </c>
      <c r="E63" s="954">
        <f t="shared" ca="1" si="9"/>
        <v>0.20200000000000001</v>
      </c>
      <c r="F63" s="710">
        <f t="shared" si="9"/>
        <v>0.22699999999999998</v>
      </c>
      <c r="G63" s="710">
        <f t="shared" ca="1" si="9"/>
        <v>0.26700000000000002</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10198.262186913988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23314.5</v>
      </c>
      <c r="D76" s="964">
        <f>'lokale energieproductie'!C8</f>
        <v>27428.823529411766</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5540.6223529411773</v>
      </c>
      <c r="R76" s="780">
        <v>0</v>
      </c>
    </row>
    <row r="77" spans="1:18" ht="30.75" thickBot="1">
      <c r="A77" s="682" t="s">
        <v>340</v>
      </c>
      <c r="B77" s="679">
        <f>'lokale energieproductie'!B9*IFERROR(SUM(I77:O77)/SUM(D77:O77),0)</f>
        <v>900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2571.4285714285716</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11098.262186913988</v>
      </c>
      <c r="C78" s="684">
        <f>SUM(C72:C77)</f>
        <v>23314.5</v>
      </c>
      <c r="D78" s="685">
        <f t="shared" ref="D78:H78" si="10">SUM(D76:D77)</f>
        <v>27428.823529411766</v>
      </c>
      <c r="E78" s="685">
        <f t="shared" si="10"/>
        <v>0</v>
      </c>
      <c r="F78" s="685">
        <f t="shared" si="10"/>
        <v>0</v>
      </c>
      <c r="G78" s="685">
        <f t="shared" si="10"/>
        <v>0</v>
      </c>
      <c r="H78" s="685">
        <f t="shared" si="10"/>
        <v>0</v>
      </c>
      <c r="I78" s="685">
        <f>SUM(I76:I77)</f>
        <v>0</v>
      </c>
      <c r="J78" s="685">
        <f>SUM(J76:J77)</f>
        <v>2571.4285714285716</v>
      </c>
      <c r="K78" s="685">
        <f t="shared" ref="K78:L78" si="11">SUM(K76:K77)</f>
        <v>0</v>
      </c>
      <c r="L78" s="685">
        <f t="shared" si="11"/>
        <v>0</v>
      </c>
      <c r="M78" s="685">
        <f>SUM(M76:M77)</f>
        <v>0</v>
      </c>
      <c r="N78" s="685">
        <f>SUM(N76:N77)</f>
        <v>0</v>
      </c>
      <c r="O78" s="788">
        <f>SUM(O76:O77)</f>
        <v>0</v>
      </c>
      <c r="P78" s="686">
        <v>0</v>
      </c>
      <c r="Q78" s="686">
        <f>SUM(Q76:Q77)</f>
        <v>5540.6223529411773</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33306.428571428572</v>
      </c>
      <c r="D87" s="706">
        <f>'lokale energieproductie'!C17</f>
        <v>39184.033613445383</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7915.1747899159682</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33306.428571428572</v>
      </c>
      <c r="D90" s="684">
        <f t="shared" ref="D90:H90" si="12">SUM(D87:D89)</f>
        <v>39184.033613445383</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7915.1747899159682</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44703.985092957111</v>
      </c>
      <c r="C4" s="442">
        <f>huishoudens!C8</f>
        <v>0</v>
      </c>
      <c r="D4" s="442">
        <f>huishoudens!D8</f>
        <v>122155.06697503099</v>
      </c>
      <c r="E4" s="442">
        <f>huishoudens!E8</f>
        <v>1441.6360551085334</v>
      </c>
      <c r="F4" s="442">
        <f>huishoudens!F8</f>
        <v>45479.119914889845</v>
      </c>
      <c r="G4" s="442">
        <f>huishoudens!G8</f>
        <v>0</v>
      </c>
      <c r="H4" s="442">
        <f>huishoudens!H8</f>
        <v>0</v>
      </c>
      <c r="I4" s="442">
        <f>huishoudens!I8</f>
        <v>0</v>
      </c>
      <c r="J4" s="442">
        <f>huishoudens!J8</f>
        <v>1060.571358377234</v>
      </c>
      <c r="K4" s="442">
        <f>huishoudens!K8</f>
        <v>0</v>
      </c>
      <c r="L4" s="442">
        <f>huishoudens!L8</f>
        <v>0</v>
      </c>
      <c r="M4" s="442">
        <f>huishoudens!M8</f>
        <v>0</v>
      </c>
      <c r="N4" s="442">
        <f>huishoudens!N8</f>
        <v>13236.002844939007</v>
      </c>
      <c r="O4" s="442">
        <f>huishoudens!O8</f>
        <v>350.18666666666672</v>
      </c>
      <c r="P4" s="443">
        <f>huishoudens!P8</f>
        <v>743.6</v>
      </c>
      <c r="Q4" s="444">
        <f>SUM(B4:P4)</f>
        <v>229170.16890796938</v>
      </c>
    </row>
    <row r="5" spans="1:17">
      <c r="A5" s="441" t="s">
        <v>149</v>
      </c>
      <c r="B5" s="442">
        <f ca="1">tertiair!B16</f>
        <v>72421.494000000006</v>
      </c>
      <c r="C5" s="442">
        <f ca="1">tertiair!C16</f>
        <v>0</v>
      </c>
      <c r="D5" s="442">
        <f ca="1">tertiair!D16</f>
        <v>59688.508267463505</v>
      </c>
      <c r="E5" s="442">
        <f>tertiair!E16</f>
        <v>1101.6650871143461</v>
      </c>
      <c r="F5" s="442">
        <f ca="1">tertiair!F16</f>
        <v>16034.886750066848</v>
      </c>
      <c r="G5" s="442">
        <f>tertiair!G16</f>
        <v>0</v>
      </c>
      <c r="H5" s="442">
        <f>tertiair!H16</f>
        <v>0</v>
      </c>
      <c r="I5" s="442">
        <f>tertiair!I16</f>
        <v>0</v>
      </c>
      <c r="J5" s="442">
        <f>tertiair!J16</f>
        <v>0</v>
      </c>
      <c r="K5" s="442">
        <f>tertiair!K16</f>
        <v>0</v>
      </c>
      <c r="L5" s="442">
        <f ca="1">tertiair!L16</f>
        <v>0</v>
      </c>
      <c r="M5" s="442">
        <f>tertiair!M16</f>
        <v>0</v>
      </c>
      <c r="N5" s="442">
        <f ca="1">tertiair!N16</f>
        <v>1949.4791607951483</v>
      </c>
      <c r="O5" s="442">
        <f>tertiair!O16</f>
        <v>1.5633333333333335</v>
      </c>
      <c r="P5" s="443">
        <f>tertiair!P16</f>
        <v>190.66666666666669</v>
      </c>
      <c r="Q5" s="441">
        <f t="shared" ref="Q5:Q14" ca="1" si="0">SUM(B5:P5)</f>
        <v>151388.26326543983</v>
      </c>
    </row>
    <row r="6" spans="1:17">
      <c r="A6" s="441" t="s">
        <v>187</v>
      </c>
      <c r="B6" s="442">
        <f>'openbare verlichting'!B8</f>
        <v>1354.28</v>
      </c>
      <c r="C6" s="442"/>
      <c r="D6" s="442"/>
      <c r="E6" s="442"/>
      <c r="F6" s="442"/>
      <c r="G6" s="442"/>
      <c r="H6" s="442"/>
      <c r="I6" s="442"/>
      <c r="J6" s="442"/>
      <c r="K6" s="442"/>
      <c r="L6" s="442"/>
      <c r="M6" s="442"/>
      <c r="N6" s="442"/>
      <c r="O6" s="442"/>
      <c r="P6" s="443"/>
      <c r="Q6" s="441">
        <f t="shared" si="0"/>
        <v>1354.28</v>
      </c>
    </row>
    <row r="7" spans="1:17">
      <c r="A7" s="441" t="s">
        <v>105</v>
      </c>
      <c r="B7" s="442">
        <f>landbouw!B8</f>
        <v>2707.7867700000002</v>
      </c>
      <c r="C7" s="442">
        <f>landbouw!C8</f>
        <v>32406.428571428572</v>
      </c>
      <c r="D7" s="442">
        <f>landbouw!D8</f>
        <v>0</v>
      </c>
      <c r="E7" s="442">
        <f>landbouw!E8</f>
        <v>58.064532277935662</v>
      </c>
      <c r="F7" s="442">
        <f>landbouw!F8</f>
        <v>8783.1926151371699</v>
      </c>
      <c r="G7" s="442">
        <f>landbouw!G8</f>
        <v>0</v>
      </c>
      <c r="H7" s="442">
        <f>landbouw!H8</f>
        <v>0</v>
      </c>
      <c r="I7" s="442">
        <f>landbouw!I8</f>
        <v>0</v>
      </c>
      <c r="J7" s="442">
        <f>landbouw!J8</f>
        <v>260.89668630174259</v>
      </c>
      <c r="K7" s="442">
        <f>landbouw!K8</f>
        <v>0</v>
      </c>
      <c r="L7" s="442">
        <f>landbouw!L8</f>
        <v>0</v>
      </c>
      <c r="M7" s="442">
        <f>landbouw!M8</f>
        <v>0</v>
      </c>
      <c r="N7" s="442">
        <f>landbouw!N8</f>
        <v>0</v>
      </c>
      <c r="O7" s="442">
        <f>landbouw!O8</f>
        <v>0</v>
      </c>
      <c r="P7" s="443">
        <f>landbouw!P8</f>
        <v>0</v>
      </c>
      <c r="Q7" s="441">
        <f t="shared" si="0"/>
        <v>44216.369175145417</v>
      </c>
    </row>
    <row r="8" spans="1:17">
      <c r="A8" s="441" t="s">
        <v>612</v>
      </c>
      <c r="B8" s="442">
        <f>industrie!B18</f>
        <v>107752.5389</v>
      </c>
      <c r="C8" s="442">
        <f>industrie!C18</f>
        <v>900.00000000000023</v>
      </c>
      <c r="D8" s="442">
        <f>industrie!D18</f>
        <v>47989.461738668942</v>
      </c>
      <c r="E8" s="442">
        <f>industrie!E18</f>
        <v>6974.2641822805317</v>
      </c>
      <c r="F8" s="442">
        <f>industrie!F18</f>
        <v>42989.417473599395</v>
      </c>
      <c r="G8" s="442">
        <f>industrie!G18</f>
        <v>0</v>
      </c>
      <c r="H8" s="442">
        <f>industrie!H18</f>
        <v>0</v>
      </c>
      <c r="I8" s="442">
        <f>industrie!I18</f>
        <v>0</v>
      </c>
      <c r="J8" s="442">
        <f>industrie!J18</f>
        <v>381.73190299197989</v>
      </c>
      <c r="K8" s="442">
        <f>industrie!K18</f>
        <v>0</v>
      </c>
      <c r="L8" s="442">
        <f>industrie!L18</f>
        <v>0</v>
      </c>
      <c r="M8" s="442">
        <f>industrie!M18</f>
        <v>0</v>
      </c>
      <c r="N8" s="442">
        <f>industrie!N18</f>
        <v>8085.6043805636718</v>
      </c>
      <c r="O8" s="442">
        <f>industrie!O18</f>
        <v>0</v>
      </c>
      <c r="P8" s="443">
        <f>industrie!P18</f>
        <v>0</v>
      </c>
      <c r="Q8" s="441">
        <f t="shared" si="0"/>
        <v>215073.01857810453</v>
      </c>
    </row>
    <row r="9" spans="1:17" s="447" customFormat="1">
      <c r="A9" s="445" t="s">
        <v>556</v>
      </c>
      <c r="B9" s="446">
        <f>transport!B14</f>
        <v>33.638910713557621</v>
      </c>
      <c r="C9" s="446">
        <f>transport!C14</f>
        <v>0</v>
      </c>
      <c r="D9" s="446">
        <f>transport!D14</f>
        <v>50.371588883703296</v>
      </c>
      <c r="E9" s="446">
        <f>transport!E14</f>
        <v>525.87791620172811</v>
      </c>
      <c r="F9" s="446">
        <f>transport!F14</f>
        <v>0</v>
      </c>
      <c r="G9" s="446">
        <f>transport!G14</f>
        <v>177572.09166812923</v>
      </c>
      <c r="H9" s="446">
        <f>transport!H14</f>
        <v>31404.659454823501</v>
      </c>
      <c r="I9" s="446">
        <f>transport!I14</f>
        <v>0</v>
      </c>
      <c r="J9" s="446">
        <f>transport!J14</f>
        <v>0</v>
      </c>
      <c r="K9" s="446">
        <f>transport!K14</f>
        <v>0</v>
      </c>
      <c r="L9" s="446">
        <f>transport!L14</f>
        <v>0</v>
      </c>
      <c r="M9" s="446">
        <f>transport!M14</f>
        <v>11253.056113536577</v>
      </c>
      <c r="N9" s="446">
        <f>transport!N14</f>
        <v>0</v>
      </c>
      <c r="O9" s="446">
        <f>transport!O14</f>
        <v>0</v>
      </c>
      <c r="P9" s="446">
        <f>transport!P14</f>
        <v>0</v>
      </c>
      <c r="Q9" s="445">
        <f>SUM(B9:P9)</f>
        <v>220839.6956522883</v>
      </c>
    </row>
    <row r="10" spans="1:17">
      <c r="A10" s="441" t="s">
        <v>546</v>
      </c>
      <c r="B10" s="442">
        <f>transport!B54</f>
        <v>11.913385422564476</v>
      </c>
      <c r="C10" s="442">
        <f>transport!C54</f>
        <v>0</v>
      </c>
      <c r="D10" s="442">
        <f>transport!D54</f>
        <v>0</v>
      </c>
      <c r="E10" s="442">
        <f>transport!E54</f>
        <v>0</v>
      </c>
      <c r="F10" s="442">
        <f>transport!F54</f>
        <v>0</v>
      </c>
      <c r="G10" s="442">
        <f>transport!G54</f>
        <v>2257.4293862372792</v>
      </c>
      <c r="H10" s="442">
        <f>transport!H54</f>
        <v>0</v>
      </c>
      <c r="I10" s="442">
        <f>transport!I54</f>
        <v>0</v>
      </c>
      <c r="J10" s="442">
        <f>transport!J54</f>
        <v>0</v>
      </c>
      <c r="K10" s="442">
        <f>transport!K54</f>
        <v>0</v>
      </c>
      <c r="L10" s="442">
        <f>transport!L54</f>
        <v>0</v>
      </c>
      <c r="M10" s="442">
        <f>transport!M54</f>
        <v>129.95577625401998</v>
      </c>
      <c r="N10" s="442">
        <f>transport!N54</f>
        <v>0</v>
      </c>
      <c r="O10" s="442">
        <f>transport!O54</f>
        <v>0</v>
      </c>
      <c r="P10" s="443">
        <f>transport!P54</f>
        <v>0</v>
      </c>
      <c r="Q10" s="441">
        <f t="shared" si="0"/>
        <v>2399.2985479138633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2147.3890000000001</v>
      </c>
      <c r="C14" s="449"/>
      <c r="D14" s="449">
        <f>'SEAP template'!E25</f>
        <v>4427.8376750019697</v>
      </c>
      <c r="E14" s="449"/>
      <c r="F14" s="449"/>
      <c r="G14" s="449"/>
      <c r="H14" s="449"/>
      <c r="I14" s="449"/>
      <c r="J14" s="449"/>
      <c r="K14" s="449"/>
      <c r="L14" s="449"/>
      <c r="M14" s="449"/>
      <c r="N14" s="449"/>
      <c r="O14" s="449"/>
      <c r="P14" s="450"/>
      <c r="Q14" s="441">
        <f t="shared" si="0"/>
        <v>6575.2266750019699</v>
      </c>
    </row>
    <row r="15" spans="1:17" s="451" customFormat="1">
      <c r="A15" s="969" t="s">
        <v>550</v>
      </c>
      <c r="B15" s="909">
        <f ca="1">SUM(B4:B14)</f>
        <v>231133.02605909322</v>
      </c>
      <c r="C15" s="909">
        <f t="shared" ref="C15:Q15" ca="1" si="1">SUM(C4:C14)</f>
        <v>33306.428571428572</v>
      </c>
      <c r="D15" s="909">
        <f t="shared" ca="1" si="1"/>
        <v>234311.24624504911</v>
      </c>
      <c r="E15" s="909">
        <f t="shared" si="1"/>
        <v>10101.507772983074</v>
      </c>
      <c r="F15" s="909">
        <f t="shared" ca="1" si="1"/>
        <v>113286.61675369326</v>
      </c>
      <c r="G15" s="909">
        <f t="shared" si="1"/>
        <v>179829.52105436652</v>
      </c>
      <c r="H15" s="909">
        <f t="shared" si="1"/>
        <v>31404.659454823501</v>
      </c>
      <c r="I15" s="909">
        <f t="shared" si="1"/>
        <v>0</v>
      </c>
      <c r="J15" s="909">
        <f t="shared" si="1"/>
        <v>1703.1999476709566</v>
      </c>
      <c r="K15" s="909">
        <f t="shared" si="1"/>
        <v>0</v>
      </c>
      <c r="L15" s="909">
        <f t="shared" ca="1" si="1"/>
        <v>0</v>
      </c>
      <c r="M15" s="909">
        <f t="shared" si="1"/>
        <v>11383.011889790598</v>
      </c>
      <c r="N15" s="909">
        <f t="shared" ca="1" si="1"/>
        <v>23271.086386297826</v>
      </c>
      <c r="O15" s="909">
        <f t="shared" si="1"/>
        <v>351.75000000000006</v>
      </c>
      <c r="P15" s="909">
        <f t="shared" si="1"/>
        <v>934.26666666666665</v>
      </c>
      <c r="Q15" s="909">
        <f t="shared" ca="1" si="1"/>
        <v>871016.32080186333</v>
      </c>
    </row>
    <row r="17" spans="1:17">
      <c r="A17" s="452" t="s">
        <v>551</v>
      </c>
      <c r="B17" s="715">
        <f ca="1">huishoudens!B10</f>
        <v>0.21206748989718605</v>
      </c>
      <c r="C17" s="715">
        <f ca="1">huishoudens!C10</f>
        <v>0.23764705882352946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9480.2619070646379</v>
      </c>
      <c r="C22" s="442">
        <f t="shared" ref="C22:C32" ca="1" si="3">C4*$C$17</f>
        <v>0</v>
      </c>
      <c r="D22" s="442">
        <f t="shared" ref="D22:D32" si="4">D4*$D$17</f>
        <v>24675.323528956262</v>
      </c>
      <c r="E22" s="442">
        <f t="shared" ref="E22:E32" si="5">E4*$E$17</f>
        <v>327.25138450963709</v>
      </c>
      <c r="F22" s="442">
        <f t="shared" ref="F22:F32" si="6">F4*$F$17</f>
        <v>12142.925017275589</v>
      </c>
      <c r="G22" s="442">
        <f t="shared" ref="G22:G32" si="7">G4*$G$17</f>
        <v>0</v>
      </c>
      <c r="H22" s="442">
        <f t="shared" ref="H22:H32" si="8">H4*$H$17</f>
        <v>0</v>
      </c>
      <c r="I22" s="442">
        <f t="shared" ref="I22:I32" si="9">I4*$I$17</f>
        <v>0</v>
      </c>
      <c r="J22" s="442">
        <f t="shared" ref="J22:J32" si="10">J4*$J$17</f>
        <v>375.44226086554079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47001.204098671675</v>
      </c>
    </row>
    <row r="23" spans="1:17">
      <c r="A23" s="441" t="s">
        <v>149</v>
      </c>
      <c r="B23" s="442">
        <f t="shared" ca="1" si="2"/>
        <v>15358.244447184121</v>
      </c>
      <c r="C23" s="442">
        <f t="shared" ca="1" si="3"/>
        <v>0</v>
      </c>
      <c r="D23" s="442">
        <f t="shared" ca="1" si="4"/>
        <v>12057.078670027629</v>
      </c>
      <c r="E23" s="442">
        <f t="shared" si="5"/>
        <v>250.07797477495657</v>
      </c>
      <c r="F23" s="442">
        <f t="shared" ca="1" si="6"/>
        <v>4281.3147622678489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31946.715854254555</v>
      </c>
    </row>
    <row r="24" spans="1:17">
      <c r="A24" s="441" t="s">
        <v>187</v>
      </c>
      <c r="B24" s="442">
        <f t="shared" ca="1" si="2"/>
        <v>287.19876021796114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287.19876021796114</v>
      </c>
    </row>
    <row r="25" spans="1:17">
      <c r="A25" s="441" t="s">
        <v>105</v>
      </c>
      <c r="B25" s="442">
        <f t="shared" ca="1" si="2"/>
        <v>574.23354349070905</v>
      </c>
      <c r="C25" s="442">
        <f t="shared" ca="1" si="3"/>
        <v>7701.2924369747916</v>
      </c>
      <c r="D25" s="442">
        <f t="shared" si="4"/>
        <v>0</v>
      </c>
      <c r="E25" s="442">
        <f t="shared" si="5"/>
        <v>13.180648827091396</v>
      </c>
      <c r="F25" s="442">
        <f t="shared" si="6"/>
        <v>2345.1124282416245</v>
      </c>
      <c r="G25" s="442">
        <f t="shared" si="7"/>
        <v>0</v>
      </c>
      <c r="H25" s="442">
        <f t="shared" si="8"/>
        <v>0</v>
      </c>
      <c r="I25" s="442">
        <f t="shared" si="9"/>
        <v>0</v>
      </c>
      <c r="J25" s="442">
        <f t="shared" si="10"/>
        <v>92.357426950816873</v>
      </c>
      <c r="K25" s="442">
        <f t="shared" si="11"/>
        <v>0</v>
      </c>
      <c r="L25" s="442">
        <f t="shared" si="12"/>
        <v>0</v>
      </c>
      <c r="M25" s="442">
        <f t="shared" si="13"/>
        <v>0</v>
      </c>
      <c r="N25" s="442">
        <f t="shared" si="14"/>
        <v>0</v>
      </c>
      <c r="O25" s="442">
        <f t="shared" si="15"/>
        <v>0</v>
      </c>
      <c r="P25" s="443">
        <f t="shared" si="16"/>
        <v>0</v>
      </c>
      <c r="Q25" s="441">
        <f t="shared" ca="1" si="17"/>
        <v>10726.176484485033</v>
      </c>
    </row>
    <row r="26" spans="1:17">
      <c r="A26" s="441" t="s">
        <v>612</v>
      </c>
      <c r="B26" s="442">
        <f t="shared" ca="1" si="2"/>
        <v>22850.810454571896</v>
      </c>
      <c r="C26" s="442">
        <f t="shared" ca="1" si="3"/>
        <v>213.88235294117658</v>
      </c>
      <c r="D26" s="442">
        <f t="shared" si="4"/>
        <v>9693.8712712111264</v>
      </c>
      <c r="E26" s="442">
        <f t="shared" si="5"/>
        <v>1583.1579693776807</v>
      </c>
      <c r="F26" s="442">
        <f t="shared" si="6"/>
        <v>11478.174465451038</v>
      </c>
      <c r="G26" s="442">
        <f t="shared" si="7"/>
        <v>0</v>
      </c>
      <c r="H26" s="442">
        <f t="shared" si="8"/>
        <v>0</v>
      </c>
      <c r="I26" s="442">
        <f t="shared" si="9"/>
        <v>0</v>
      </c>
      <c r="J26" s="442">
        <f t="shared" si="10"/>
        <v>135.13309365916086</v>
      </c>
      <c r="K26" s="442">
        <f t="shared" si="11"/>
        <v>0</v>
      </c>
      <c r="L26" s="442">
        <f t="shared" si="12"/>
        <v>0</v>
      </c>
      <c r="M26" s="442">
        <f t="shared" si="13"/>
        <v>0</v>
      </c>
      <c r="N26" s="442">
        <f t="shared" si="14"/>
        <v>0</v>
      </c>
      <c r="O26" s="442">
        <f t="shared" si="15"/>
        <v>0</v>
      </c>
      <c r="P26" s="443">
        <f t="shared" si="16"/>
        <v>0</v>
      </c>
      <c r="Q26" s="441">
        <f t="shared" ca="1" si="17"/>
        <v>45955.029607212084</v>
      </c>
    </row>
    <row r="27" spans="1:17" s="447" customFormat="1">
      <c r="A27" s="445" t="s">
        <v>556</v>
      </c>
      <c r="B27" s="709">
        <f t="shared" ca="1" si="2"/>
        <v>7.1337193578997242</v>
      </c>
      <c r="C27" s="446">
        <f t="shared" ca="1" si="3"/>
        <v>0</v>
      </c>
      <c r="D27" s="446">
        <f t="shared" si="4"/>
        <v>10.175060954508066</v>
      </c>
      <c r="E27" s="446">
        <f t="shared" si="5"/>
        <v>119.37428697779228</v>
      </c>
      <c r="F27" s="446">
        <f t="shared" si="6"/>
        <v>0</v>
      </c>
      <c r="G27" s="446">
        <f t="shared" si="7"/>
        <v>47411.748475390508</v>
      </c>
      <c r="H27" s="446">
        <f t="shared" si="8"/>
        <v>7819.7602042510516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55368.191746931756</v>
      </c>
    </row>
    <row r="28" spans="1:17">
      <c r="A28" s="441" t="s">
        <v>546</v>
      </c>
      <c r="B28" s="442">
        <f t="shared" ca="1" si="2"/>
        <v>2.5264417427409755</v>
      </c>
      <c r="C28" s="442">
        <f t="shared" ca="1" si="3"/>
        <v>0</v>
      </c>
      <c r="D28" s="442">
        <f t="shared" si="4"/>
        <v>0</v>
      </c>
      <c r="E28" s="442">
        <f t="shared" si="5"/>
        <v>0</v>
      </c>
      <c r="F28" s="442">
        <f t="shared" si="6"/>
        <v>0</v>
      </c>
      <c r="G28" s="442">
        <f t="shared" si="7"/>
        <v>602.73364612535363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605.26008786809462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455.39139506282845</v>
      </c>
      <c r="C32" s="442">
        <f t="shared" ca="1" si="3"/>
        <v>0</v>
      </c>
      <c r="D32" s="442">
        <f t="shared" si="4"/>
        <v>894.42321035039799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1349.8146054132264</v>
      </c>
    </row>
    <row r="33" spans="1:17" s="451" customFormat="1">
      <c r="A33" s="969" t="s">
        <v>550</v>
      </c>
      <c r="B33" s="909">
        <f ca="1">SUM(B22:B32)</f>
        <v>49015.800668692791</v>
      </c>
      <c r="C33" s="909">
        <f t="shared" ref="C33:Q33" ca="1" si="18">SUM(C22:C32)</f>
        <v>7915.1747899159682</v>
      </c>
      <c r="D33" s="909">
        <f t="shared" ca="1" si="18"/>
        <v>47330.871741499926</v>
      </c>
      <c r="E33" s="909">
        <f t="shared" si="18"/>
        <v>2293.042264467158</v>
      </c>
      <c r="F33" s="909">
        <f t="shared" ca="1" si="18"/>
        <v>30247.526673236098</v>
      </c>
      <c r="G33" s="909">
        <f t="shared" si="18"/>
        <v>48014.482121515859</v>
      </c>
      <c r="H33" s="909">
        <f t="shared" si="18"/>
        <v>7819.7602042510516</v>
      </c>
      <c r="I33" s="909">
        <f t="shared" si="18"/>
        <v>0</v>
      </c>
      <c r="J33" s="909">
        <f t="shared" si="18"/>
        <v>602.9327814755186</v>
      </c>
      <c r="K33" s="909">
        <f t="shared" si="18"/>
        <v>0</v>
      </c>
      <c r="L33" s="909">
        <f t="shared" ca="1" si="18"/>
        <v>0</v>
      </c>
      <c r="M33" s="909">
        <f t="shared" si="18"/>
        <v>0</v>
      </c>
      <c r="N33" s="909">
        <f t="shared" ca="1" si="18"/>
        <v>0</v>
      </c>
      <c r="O33" s="909">
        <f t="shared" si="18"/>
        <v>0</v>
      </c>
      <c r="P33" s="909">
        <f t="shared" si="18"/>
        <v>0</v>
      </c>
      <c r="Q33" s="909">
        <f t="shared" ca="1" si="18"/>
        <v>193239.59124505438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10198.262186913988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23314.5</v>
      </c>
      <c r="D8" s="986">
        <f>'SEAP template'!D76</f>
        <v>27428.823529411766</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5540.6223529411773</v>
      </c>
    </row>
    <row r="9" spans="1:16">
      <c r="A9" s="989" t="s">
        <v>818</v>
      </c>
      <c r="B9" s="986">
        <f>'SEAP template'!B77</f>
        <v>900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2571.4285714285716</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11098.262186913988</v>
      </c>
      <c r="C10" s="990">
        <f>SUM(C4:C9)</f>
        <v>23314.5</v>
      </c>
      <c r="D10" s="990">
        <f t="shared" ref="D10:H10" si="0">SUM(D8:D9)</f>
        <v>27428.823529411766</v>
      </c>
      <c r="E10" s="990">
        <f t="shared" si="0"/>
        <v>0</v>
      </c>
      <c r="F10" s="990">
        <f t="shared" si="0"/>
        <v>0</v>
      </c>
      <c r="G10" s="990">
        <f t="shared" si="0"/>
        <v>0</v>
      </c>
      <c r="H10" s="990">
        <f t="shared" si="0"/>
        <v>0</v>
      </c>
      <c r="I10" s="990">
        <f>SUM(I8:I9)</f>
        <v>0</v>
      </c>
      <c r="J10" s="990">
        <f>SUM(J8:J9)</f>
        <v>2571.4285714285716</v>
      </c>
      <c r="K10" s="990">
        <f t="shared" ref="K10:L10" si="1">SUM(K8:K9)</f>
        <v>0</v>
      </c>
      <c r="L10" s="990">
        <f t="shared" si="1"/>
        <v>0</v>
      </c>
      <c r="M10" s="990">
        <f>SUM(M8:M9)</f>
        <v>0</v>
      </c>
      <c r="N10" s="990">
        <f>SUM(N8:N9)</f>
        <v>0</v>
      </c>
      <c r="O10" s="990">
        <f>SUM(O8:O9)</f>
        <v>0</v>
      </c>
      <c r="P10" s="990">
        <f>SUM(P8:P9)</f>
        <v>5540.6223529411773</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0.21206748989718605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33306.428571428572</v>
      </c>
      <c r="D17" s="987">
        <f>'SEAP template'!D87</f>
        <v>39184.033613445383</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7915.1747899159682</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33306.428571428572</v>
      </c>
      <c r="D20" s="990">
        <f t="shared" ref="D20:H20" si="2">SUM(D17:D19)</f>
        <v>39184.033613445383</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7915.1747899159682</v>
      </c>
    </row>
    <row r="22" spans="1:16">
      <c r="A22" s="452" t="s">
        <v>826</v>
      </c>
      <c r="B22" s="715" t="s">
        <v>820</v>
      </c>
      <c r="C22" s="71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0.21206748989718605</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2</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3.1266666666666669</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2</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38.133333333333333</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2022-07-26T11:26:43Z</dcterms:modified>
</cp:coreProperties>
</file>