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F067B1C-1D1D-47A7-AABD-BF7AE1D157C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<sst xmlns="http://schemas.openxmlformats.org/spreadsheetml/2006/main" count="2441" uniqueCount="907">
  <si>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</si>
  <si>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</si>
  <si>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</si>
  <si>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</si>
  <si>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</si>
  <si>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</si>
  <si>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</si>
  <si>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</si>
  <si>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</si>
  <si>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</si>
  <si>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</si>
  <si>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</si>
  <si>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</si>
  <si>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</si>
  <si>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</si>
  <si>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</si>
  <si>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</si>
  <si>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</si>
  <si>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</si>
  <si>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</si>
  <si>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</si>
  <si>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</si>
  <si>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</si>
  <si>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</si>
  <si>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</si>
  <si>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</si>
  <si>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</si>
  <si>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</si>
  <si>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</si>
  <si>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</si>
  <si>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</si>
  <si>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</si>
  <si>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</si>
  <si>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</si>
  <si>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</si>
  <si>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</si>
  <si>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</si>
  <si>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</si>
  <si>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</si>
  <si>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</si>
  <si>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</si>
  <si>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</si>
  <si>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</si>
  <si>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</si>
  <si>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</si>
  <si>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</si>
  <si>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</si>
  <si>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</si>
  <si>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</si>
  <si>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</si>
  <si>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</si>
  <si>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</si>
  <si>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</si>
  <si>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</si>
  <si>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</si>
  <si>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</si>
  <si>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</si>
  <si>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</si>
  <si>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</si>
  <si>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</si>
  <si>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</si>
  <si>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</si>
  <si>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</si>
  <si>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</si>
  <si>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</si>
  <si>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</si>
  <si>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</si>
  <si>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</si>
  <si>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</si>
  <si>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</si>
  <si>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</si>
  <si>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</si>
  <si>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</si>
  <si>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</si>
  <si>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</si>
  <si>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</si>
  <si>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</si>
  <si>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</si>
  <si>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</si>
  <si>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</si>
  <si>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</si>
  <si>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</si>
  <si>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</si>
  <si>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</si>
  <si>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</si>
  <si>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</si>
  <si>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</si>
  <si>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</si>
  <si>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</si>
  <si>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</si>
  <si>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</si>
  <si>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</si>
  <si>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</si>
  <si>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</si>
  <si>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</si>
  <si>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</si>
  <si>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</si>
  <si>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</si>
  <si>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</si>
  <si>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</si>
  <si>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</si>
  <si>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</si>
  <si>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</si>
  <si>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</si>
  <si>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</si>
  <si>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</si>
  <si>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</si>
  <si>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</si>
  <si>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</si>
  <si>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</si>
  <si>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</si>
  <si>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</si>
  <si>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</si>
  <si>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</si>
  <si>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</si>
  <si>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</si>
  <si>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</si>
  <si>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</si>
  <si>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</si>
  <si>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</si>
  <si>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</si>
  <si>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</si>
  <si>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</si>
  <si>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</si>
  <si>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</si>
  <si>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</si>
  <si>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</si>
  <si>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</si>
  <si>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</si>
  <si>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</si>
  <si>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</si>
  <si>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</si>
  <si>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</si>
  <si>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</si>
  <si>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</si>
  <si>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</si>
  <si>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</si>
  <si>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</si>
  <si>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</si>
  <si>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</si>
  <si>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</si>
  <si>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</si>
  <si>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</si>
  <si>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</si>
  <si>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</si>
  <si>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</si>
  <si>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</si>
  <si>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</si>
  <si>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</si>
  <si>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</si>
  <si>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</si>
  <si>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</si>
  <si>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</si>
  <si>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</si>
  <si>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</si>
  <si>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</si>
  <si>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</si>
  <si>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</si>
  <si>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</si>
  <si>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</si>
  <si>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</si>
  <si>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</si>
  <si>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</si>
  <si>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</si>
  <si>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</si>
  <si>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</si>
  <si>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</si>
  <si>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</si>
  <si>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</si>
  <si>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</si>
  <si>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</si>
  <si>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</si>
  <si>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</si>
  <si>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</si>
  <si>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</si>
  <si>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</si>
  <si>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</si>
  <si>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</si>
  <si>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</si>
  <si>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</si>
  <si>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</si>
  <si>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</si>
  <si>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</si>
  <si>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</si>
  <si>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</si>
  <si>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</si>
  <si>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</si>
  <si>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</si>
  <si>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</si>
  <si>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</si>
  <si>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</si>
  <si>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</si>
  <si>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</si>
  <si>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</si>
  <si>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</si>
  <si>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</si>
  <si>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</si>
  <si>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</si>
  <si>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</si>
  <si>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</si>
  <si>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</si>
  <si>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</si>
  <si>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</si>
  <si>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</si>
  <si>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</si>
  <si>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</si>
  <si>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</si>
  <si>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</si>
  <si>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</si>
  <si>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</si>
  <si>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</si>
  <si>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</si>
  <si>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</si>
  <si>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</si>
  <si>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</si>
  <si>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</si>
  <si>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</si>
  <si>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</si>
  <si>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</si>
  <si>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</si>
  <si>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</si>
  <si>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</si>
  <si>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</si>
  <si>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</si>
  <si>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</si>
  <si>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</si>
  <si>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</si>
  <si>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</si>
  <si>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</si>
  <si>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</si>
  <si>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</si>
  <si>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</si>
  <si>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</si>
  <si>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</si>
  <si>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</si>
  <si>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</si>
  <si>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</si>
  <si>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</si>
  <si>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</si>
  <si>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</si>
  <si>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</si>
  <si>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</si>
  <si>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</si>
  <si>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</si>
  <si>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</si>
  <si>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</si>
  <si>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</si>
  <si>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</si>
  <si>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</si>
  <si>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</si>
  <si>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</si>
  <si>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</si>
  <si>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</si>
  <si>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</si>
  <si>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</si>
  <si>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</si>
  <si>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</si>
  <si>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</si>
  <si>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</si>
  <si>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</si>
  <si>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</si>
  <si>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</si>
  <si>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</si>
  <si>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</si>
  <si>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</si>
  <si>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</si>
  <si>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</si>
  <si>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</si>
  <si>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</si>
  <si>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</si>
  <si>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</si>
  <si>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</si>
  <si>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</si>
  <si>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</si>
  <si>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</si>
  <si>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</si>
  <si>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</si>
  <si>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</si>
  <si>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</si>
  <si>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</si>
  <si>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</si>
  <si>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</si>
  <si>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</si>
  <si>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</si>
  <si>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</si>
  <si>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</si>
  <si>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</si>
  <si>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</si>
  <si>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</si>
  <si>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</si>
  <si>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</si>
  <si>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</si>
  <si>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</si>
  <si>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</si>
  <si>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</si>
  <si>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</si>
  <si>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</si>
  <si>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</si>
  <si>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</si>
  <si>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</si>
  <si>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</si>
  <si>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</si>
  <si>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</si>
  <si>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</si>
  <si>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</si>
  <si>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</si>
  <si>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</si>
  <si>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</si>
  <si>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</si>
  <si>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</si>
  <si>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</si>
  <si>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</si>
  <si>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</si>
  <si>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</si>
  <si>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</si>
  <si>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</si>
  <si>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</si>
  <si>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</si>
  <si>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</si>
  <si>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</si>
  <si>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</si>
  <si>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</si>
  <si>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</si>
  <si>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</si>
  <si>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</si>
  <si>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</si>
  <si>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</si>
  <si>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</si>
  <si>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</si>
  <si>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</si>
  <si>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</si>
  <si>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</si>
  <si>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</si>
  <si>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</si>
  <si>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</si>
  <si>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</si>
  <si>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</si>
  <si>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</si>
  <si>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</si>
  <si>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</si>
  <si>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</si>
  <si>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</si>
  <si>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</si>
  <si>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</si>
  <si>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</si>
  <si>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</si>
  <si>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</si>
  <si>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</si>
  <si>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</si>
  <si>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</si>
  <si>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</si>
  <si>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</si>
  <si>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</si>
  <si>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</si>
  <si>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</si>
  <si>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</si>
  <si>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</si>
  <si>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</si>
  <si>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</si>
  <si>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</si>
  <si>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</si>
  <si>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</si>
  <si>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</si>
  <si>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</si>
  <si>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</si>
  <si>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</si>
  <si>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</si>
  <si>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</si>
  <si>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</si>
  <si>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</si>
  <si>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</si>
  <si>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</si>
  <si>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</si>
  <si>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</si>
  <si>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</si>
  <si>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</si>
  <si>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</si>
  <si>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</si>
  <si>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</si>
  <si>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</si>
  <si>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</si>
  <si>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</si>
  <si>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</si>
  <si>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</si>
  <si>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</si>
  <si>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</si>
  <si>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</si>
  <si>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</si>
  <si>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</si>
  <si>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</si>
  <si>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</si>
  <si>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</si>
  <si>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</si>
  <si>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</si>
  <si>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</si>
  <si>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</si>
  <si>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</si>
  <si>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</si>
  <si>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</si>
  <si>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</si>
  <si>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</si>
  <si>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</si>
  <si>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</si>
  <si>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</si>
  <si>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</si>
  <si>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</si>
  <si>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</si>
  <si>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</si>
  <si>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</si>
  <si>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</si>
  <si>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</si>
  <si>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</si>
  <si>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</si>
  <si>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</si>
  <si>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</si>
  <si>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</si>
  <si>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</si>
  <si>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</si>
  <si>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</si>
  <si>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</si>
  <si>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</si>
  <si>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</si>
  <si>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</si>
  <si>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</si>
  <si>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</si>
  <si>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</si>
  <si>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</si>
  <si>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</si>
  <si>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</si>
  <si>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</si>
  <si>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</si>
  <si>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</si>
  <si>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</si>
  <si>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</si>
  <si>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</si>
  <si>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</si>
  <si>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</si>
  <si>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</si>
  <si>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</si>
  <si>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</si>
  <si>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</si>
  <si>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</si>
  <si>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</si>
  <si>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</si>
  <si>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</si>
  <si>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</si>
  <si>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</si>
  <si>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</si>
  <si>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</si>
  <si>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</si>
  <si>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</si>
  <si>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</si>
  <si>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</si>
  <si>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</si>
  <si>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</si>
  <si>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</si>
  <si>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</si>
  <si>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</si>
  <si>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</si>
  <si>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</si>
  <si>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</si>
  <si>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</si>
  <si>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</si>
  <si>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</si>
  <si>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</si>
  <si>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</si>
  <si>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</si>
  <si>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</si>
  <si>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</si>
  <si>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</si>
  <si>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</si>
  <si>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</si>
  <si>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</si>
  <si>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</si>
  <si>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</si>
  <si>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</si>
  <si>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</si>
  <si>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</si>
  <si>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</si>
  <si>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</si>
  <si>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</si>
  <si>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</si>
  <si>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</si>
  <si>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</si>
  <si>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</si>
  <si>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</si>
  <si>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</si>
  <si>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</si>
  <si>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</si>
  <si>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</si>
  <si>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</si>
  <si>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</si>
  <si>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</si>
  <si>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</si>
  <si>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</si>
  <si>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</si>
  <si>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</si>
  <si>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</si>
  <si>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</si>
  <si>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</si>
  <si>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</si>
  <si>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</si>
  <si>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</si>
  <si>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</si>
  <si>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</si>
  <si>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</si>
  <si>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</si>
  <si>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</si>
  <si>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</si>
  <si>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</si>
  <si>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</si>
  <si>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</si>
  <si>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</si>
  <si>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</si>
  <si>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</si>
  <si>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</si>
  <si>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</si>
  <si>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</si>
  <si>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</si>
  <si>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</si>
  <si>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</si>
  <si>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</si>
  <si>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</si>
  <si>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</si>
  <si>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</si>
  <si>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</si>
  <si>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</si>
  <si>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</si>
  <si>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</si>
  <si>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</si>
  <si>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</si>
  <si>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</si>
  <si>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</si>
  <si>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</si>
  <si>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</si>
  <si>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</si>
  <si>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</si>
  <si>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</si>
  <si>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</si>
  <si>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</si>
  <si>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</si>
  <si>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</si>
  <si>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</si>
  <si>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</si>
  <si>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</si>
  <si>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</si>
  <si>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</si>
  <si>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</si>
  <si>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</si>
  <si>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</si>
  <si>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</si>
  <si>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</si>
  <si>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</si>
  <si>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</si>
  <si>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</si>
  <si>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</si>
  <si>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</si>
  <si>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</si>
  <si>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</si>
  <si>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</si>
  <si>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</si>
  <si>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</si>
  <si>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</si>
  <si>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</si>
  <si>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</si>
  <si>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</si>
  <si>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</si>
  <si>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</si>
  <si>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</si>
  <si>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</si>
  <si>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</si>
  <si>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</si>
  <si>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</si>
  <si>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</si>
  <si>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</si>
  <si>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</si>
  <si>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</si>
  <si>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</si>
  <si>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</si>
  <si>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</si>
  <si>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</si>
  <si>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</si>
  <si>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</si>
  <si>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</si>
  <si>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</si>
  <si>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</si>
  <si>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</si>
  <si>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</si>
  <si>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</si>
  <si>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</si>
  <si>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</si>
  <si>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</si>
  <si>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</si>
  <si>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</si>
  <si>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</si>
  <si>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</si>
  <si>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</si>
  <si>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</si>
  <si>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</si>
  <si>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</si>
  <si>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</si>
  <si>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</si>
  <si>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</si>
  <si>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</si>
  <si>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</si>
  <si>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</si>
  <si>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</si>
  <si>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</si>
  <si>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</si>
  <si>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</si>
  <si>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</si>
  <si>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</si>
  <si>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</si>
  <si>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</si>
  <si>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</si>
  <si>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</si>
  <si>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</si>
  <si>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</si>
  <si>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</si>
  <si>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</si>
  <si>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</si>
  <si>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</si>
  <si>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</si>
  <si>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</si>
  <si>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</si>
  <si>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</si>
  <si>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</si>
  <si>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</si>
  <si>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</si>
  <si>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</si>
  <si>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</si>
  <si>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</si>
  <si>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</si>
  <si>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</si>
  <si>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</si>
  <si>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</si>
  <si>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</si>
  <si>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</si>
  <si>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</si>
  <si>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</si>
  <si>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</si>
  <si>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</si>
  <si>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</si>
  <si>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</si>
  <si>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</si>
  <si>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</si>
  <si>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</si>
  <si>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</si>
  <si>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</si>
  <si>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</si>
  <si>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</si>
  <si>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</si>
  <si>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</si>
  <si>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</si>
  <si>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</si>
  <si>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</si>
  <si>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</si>
  <si>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</si>
  <si>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</si>
  <si>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</si>
  <si>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</si>
  <si>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</si>
  <si>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</si>
  <si>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</si>
  <si>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</si>
  <si>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</si>
  <si>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</si>
  <si>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</si>
  <si>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</si>
  <si>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</si>
  <si>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</si>
  <si>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</si>
  <si>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</si>
  <si>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</si>
  <si>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</si>
  <si>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</si>
  <si>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</si>
  <si>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</si>
  <si>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</si>
  <si>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</si>
  <si>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</si>
  <si>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</si>
  <si>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</si>
  <si>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</si>
  <si>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</si>
  <si>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</si>
  <si>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</si>
  <si>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</si>
  <si>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</si>
  <si>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</si>
  <si>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</si>
  <si>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</si>
  <si>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</si>
  <si>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</si>
  <si>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</si>
  <si>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</si>
  <si>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</si>
  <si>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</si>
  <si>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</si>
  <si>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</si>
  <si>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</si>
  <si>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</si>
  <si>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</si>
  <si>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</si>
  <si>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</si>
  <si>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</si>
  <si>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</si>
  <si>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</si>
  <si>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</si>
  <si>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</si>
  <si>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</si>
  <si>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</si>
  <si>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</si>
  <si>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</si>
  <si>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</si>
  <si>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</si>
  <si>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</si>
  <si>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</si>
  <si>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</si>
  <si>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</si>
  <si>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</si>
  <si>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</si>
  <si>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</si>
  <si>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</si>
  <si>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</si>
  <si>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</si>
  <si>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</si>
  <si>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</si>
  <si>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</si>
  <si>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</si>
  <si>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</si>
  <si>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</si>
  <si>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</si>
  <si>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</si>
  <si>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</si>
  <si>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</si>
  <si>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</si>
  <si>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</si>
  <si>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</si>
  <si>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</si>
  <si>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</si>
  <si>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</si>
  <si>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</si>
  <si>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</si>
  <si>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</si>
  <si>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</si>
  <si>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</si>
  <si>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</si>
  <si>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</si>
  <si>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</si>
  <si>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</si>
  <si>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</si>
  <si>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</si>
  <si>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</si>
  <si>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</si>
  <si>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</si>
  <si>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</si>
  <si>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</si>
  <si>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</si>
  <si>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</si>
  <si>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</si>
  <si>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</si>
  <si>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</si>
  <si>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</si>
  <si>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</si>
  <si>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</si>
  <si>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</si>
  <si>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</si>
  <si>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</si>
  <si>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</si>
  <si>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</si>
  <si>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</si>
  <si>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</si>
  <si>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</si>
  <si>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</si>
  <si>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</si>
  <si>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</si>
  <si>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</si>
  <si>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</si>
  <si>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</si>
  <si>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</si>
  <si>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</si>
  <si>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</si>
  <si>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</si>
  <si>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</si>
  <si>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</si>
  <si>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</si>
  <si>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</si>
  <si>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</si>
  <si>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</si>
  <si>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</si>
  <si>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</si>
  <si>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</si>
  <si>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</si>
  <si>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</si>
  <si>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</si>
  <si>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</si>
  <si>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</si>
  <si>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</si>
  <si>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</si>
  <si>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</si>
  <si>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</si>
  <si>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</si>
  <si>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</si>
  <si>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</si>
  <si>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</si>
  <si>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</si>
  <si>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</si>
  <si>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</si>
  <si>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</si>
  <si>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</si>
  <si>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</si>
  <si>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</si>
  <si>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</si>
  <si>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</si>
  <si>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</si>
  <si>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</si>
  <si>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</si>
  <si>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</si>
  <si>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</si>
  <si>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</si>
  <si>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</si>
  <si>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</si>
  <si>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</si>
  <si>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</si>
  <si>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</si>
  <si>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</si>
  <si>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</si>
  <si>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</si>
  <si>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</si>
  <si>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</si>
  <si>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</si>
  <si>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</si>
  <si>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</si>
  <si>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</si>
  <si>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</si>
  <si>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</si>
  <si>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</si>
  <si>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</si>
  <si>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</si>
  <si>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</si>
  <si>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</si>
  <si>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</si>
  <si>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</si>
  <si>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</si>
  <si>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</si>
  <si>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</si>
  <si>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</si>
  <si>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</si>
  <si>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</si>
  <si>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</si>
  <si>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</si>
  <si>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</si>
  <si>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</si>
  <si>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</si>
  <si>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</si>
  <si>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</si>
  <si>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</si>
  <si>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</si>
  <si>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</si>
  <si>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</si>
  <si>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</si>
  <si>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</si>
  <si>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</si>
  <si>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</si>
  <si>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</si>
  <si>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</si>
  <si>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</si>
  <si>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</si>
  <si>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</si>
  <si>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</si>
  <si>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</si>
  <si>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</si>
  <si>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</si>
  <si>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</si>
  <si>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</si>
  <si>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</si>
  <si>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</si>
  <si>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</si>
  <si>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</si>
  <si>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</si>
  <si>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</si>
  <si>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</si>
  <si>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</si>
  <si>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</si>
  <si>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</si>
  <si>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</si>
  <si>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</si>
  <si>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</si>
  <si>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</si>
  <si>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</si>
  <si>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</si>
  <si>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</si>
  <si>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</si>
  <si>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</si>
  <si>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</si>
  <si>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</si>
  <si>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</si>
  <si>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</si>
  <si>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13001</t>
  </si>
  <si>
    <t>ARENDONK</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</si>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</sst>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73D60DE-4EAC-4849-9C05-9F34591842A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109262.81616748395</c:v>
                </c:pt>
                <c:pt idx="1">
                  <c:v>68348.341447728119</c:v>
                </c:pt>
                <c:pt idx="2">
                  <c:v>814.3</c:v>
                </c:pt>
                <c:pt idx="3">
                  <c:v>69166.195740740121</c:v>
                </c:pt>
                <c:pt idx="4">
                  <c:v>39102.355131026117</c:v>
                </c:pt>
                <c:pt idx="5">
                  <c:v>91811.00435250884</c:v>
                </c:pt>
                <c:pt idx="6">
                  <c:v>779.53409407459867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109262.81616748395</c:v>
                </c:pt>
                <c:pt idx="1">
                  <c:v>68348.341447728119</c:v>
                </c:pt>
                <c:pt idx="2">
                  <c:v>814.3</c:v>
                </c:pt>
                <c:pt idx="3">
                  <c:v>69166.195740740121</c:v>
                </c:pt>
                <c:pt idx="4">
                  <c:v>39102.355131026117</c:v>
                </c:pt>
                <c:pt idx="5">
                  <c:v>91811.00435250884</c:v>
                </c:pt>
                <c:pt idx="6">
                  <c:v>779.53409407459867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19564.246099332904</c:v>
                </c:pt>
                <c:pt idx="2">
                  <c:v>8081.097819374545</c:v>
                </c:pt>
                <c:pt idx="3">
                  <c:v>53.746853899900152</c:v>
                </c:pt>
                <c:pt idx="4">
                  <c:v>5566.7671777838095</c:v>
                </c:pt>
                <c:pt idx="5">
                  <c:v>5650.9948028537583</c:v>
                </c:pt>
                <c:pt idx="6">
                  <c:v>23047.168324797753</c:v>
                </c:pt>
                <c:pt idx="7">
                  <c:v>196.08414166968905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19564.246099332904</c:v>
                </c:pt>
                <c:pt idx="2">
                  <c:v>8081.097819374545</c:v>
                </c:pt>
                <c:pt idx="3">
                  <c:v>53.746853899900152</c:v>
                </c:pt>
                <c:pt idx="4">
                  <c:v>5566.7671777838095</c:v>
                </c:pt>
                <c:pt idx="5">
                  <c:v>5650.9948028537583</c:v>
                </c:pt>
                <c:pt idx="6">
                  <c:v>23047.168324797753</c:v>
                </c:pt>
                <c:pt idx="7">
                  <c:v>196.08414166968905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13001</v>
      </c>
      <c r="B6" s="381"/>
      <c r="C6" s="382"/>
    </row>
    <row r="7" spans="1:7" s="379" customFormat="1" ht="15.75" customHeight="1">
      <c r="A7" s="383" t="str">
        <f>txtMunicipality</f>
        <v>ARENDONK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6.6003750337590761E-2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6.6003750337590761E-2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5148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2410</v>
      </c>
      <c r="C14" s="322"/>
      <c r="D14" s="322"/>
      <c r="E14" s="322"/>
      <c r="F14" s="322"/>
    </row>
    <row r="15" spans="1:6">
      <c r="A15" s="1261" t="s">
        <v>177</v>
      </c>
      <c r="B15" s="1262">
        <v>4321</v>
      </c>
      <c r="C15" s="322"/>
      <c r="D15" s="322"/>
      <c r="E15" s="322"/>
      <c r="F15" s="322"/>
    </row>
    <row r="16" spans="1:6">
      <c r="A16" s="1261" t="s">
        <v>6</v>
      </c>
      <c r="B16" s="1262">
        <v>1424</v>
      </c>
      <c r="C16" s="322"/>
      <c r="D16" s="322"/>
      <c r="E16" s="322"/>
      <c r="F16" s="322"/>
    </row>
    <row r="17" spans="1:6">
      <c r="A17" s="1261" t="s">
        <v>7</v>
      </c>
      <c r="B17" s="1262">
        <v>116</v>
      </c>
      <c r="C17" s="322"/>
      <c r="D17" s="322"/>
      <c r="E17" s="322"/>
      <c r="F17" s="322"/>
    </row>
    <row r="18" spans="1:6">
      <c r="A18" s="1261" t="s">
        <v>8</v>
      </c>
      <c r="B18" s="1262">
        <v>825</v>
      </c>
      <c r="C18" s="322"/>
      <c r="D18" s="322"/>
      <c r="E18" s="322"/>
      <c r="F18" s="322"/>
    </row>
    <row r="19" spans="1:6">
      <c r="A19" s="1261" t="s">
        <v>9</v>
      </c>
      <c r="B19" s="1262">
        <v>740</v>
      </c>
      <c r="C19" s="322"/>
      <c r="D19" s="322"/>
      <c r="E19" s="322"/>
      <c r="F19" s="322"/>
    </row>
    <row r="20" spans="1:6">
      <c r="A20" s="1261" t="s">
        <v>10</v>
      </c>
      <c r="B20" s="1262">
        <v>336</v>
      </c>
      <c r="C20" s="322"/>
      <c r="D20" s="322"/>
      <c r="E20" s="322"/>
      <c r="F20" s="322"/>
    </row>
    <row r="21" spans="1:6">
      <c r="A21" s="1261" t="s">
        <v>11</v>
      </c>
      <c r="B21" s="1262">
        <v>17993</v>
      </c>
      <c r="C21" s="322"/>
      <c r="D21" s="322"/>
      <c r="E21" s="322"/>
      <c r="F21" s="322"/>
    </row>
    <row r="22" spans="1:6">
      <c r="A22" s="1261" t="s">
        <v>12</v>
      </c>
      <c r="B22" s="1262">
        <v>17367</v>
      </c>
      <c r="C22" s="322"/>
      <c r="D22" s="322"/>
      <c r="E22" s="322"/>
      <c r="F22" s="322"/>
    </row>
    <row r="23" spans="1:6">
      <c r="A23" s="1261" t="s">
        <v>13</v>
      </c>
      <c r="B23" s="1262">
        <v>1178</v>
      </c>
      <c r="C23" s="322"/>
      <c r="D23" s="322"/>
      <c r="E23" s="322"/>
      <c r="F23" s="322"/>
    </row>
    <row r="24" spans="1:6">
      <c r="A24" s="1261" t="s">
        <v>14</v>
      </c>
      <c r="B24" s="1262">
        <v>10</v>
      </c>
      <c r="C24" s="322"/>
      <c r="D24" s="322"/>
      <c r="E24" s="322"/>
      <c r="F24" s="322"/>
    </row>
    <row r="25" spans="1:6">
      <c r="A25" s="1261" t="s">
        <v>15</v>
      </c>
      <c r="B25" s="1262">
        <v>4659</v>
      </c>
      <c r="C25" s="322"/>
      <c r="D25" s="322"/>
      <c r="E25" s="322"/>
      <c r="F25" s="322"/>
    </row>
    <row r="26" spans="1:6">
      <c r="A26" s="1261" t="s">
        <v>16</v>
      </c>
      <c r="B26" s="1262">
        <v>17</v>
      </c>
      <c r="C26" s="322"/>
      <c r="D26" s="322"/>
      <c r="E26" s="322"/>
      <c r="F26" s="322"/>
    </row>
    <row r="27" spans="1:6">
      <c r="A27" s="1261" t="s">
        <v>17</v>
      </c>
      <c r="B27" s="1262">
        <v>0</v>
      </c>
      <c r="C27" s="322"/>
      <c r="D27" s="322"/>
      <c r="E27" s="322"/>
      <c r="F27" s="322"/>
    </row>
    <row r="28" spans="1:6">
      <c r="A28" s="1261" t="s">
        <v>18</v>
      </c>
      <c r="B28" s="1263">
        <v>384368</v>
      </c>
      <c r="C28" s="322"/>
      <c r="D28" s="322"/>
      <c r="E28" s="322"/>
      <c r="F28" s="322"/>
    </row>
    <row r="29" spans="1:6">
      <c r="A29" s="1261" t="s">
        <v>901</v>
      </c>
      <c r="B29" s="1263">
        <v>60</v>
      </c>
      <c r="C29" s="322"/>
      <c r="D29" s="322"/>
      <c r="E29" s="322"/>
      <c r="F29" s="322"/>
    </row>
    <row r="30" spans="1:6">
      <c r="A30" s="1256" t="s">
        <v>902</v>
      </c>
      <c r="B30" s="1264">
        <v>13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154269.611322849</v>
      </c>
      <c r="E38" s="1262">
        <v>1</v>
      </c>
      <c r="F38" s="1262">
        <v>15765.75</v>
      </c>
    </row>
    <row r="39" spans="1:6">
      <c r="A39" s="1261" t="s">
        <v>29</v>
      </c>
      <c r="B39" s="1261" t="s">
        <v>30</v>
      </c>
      <c r="C39" s="1262">
        <v>3649</v>
      </c>
      <c r="D39" s="1262">
        <v>59025941.695468597</v>
      </c>
      <c r="E39" s="1262">
        <v>5050</v>
      </c>
      <c r="F39" s="1262">
        <v>18656747</v>
      </c>
    </row>
    <row r="40" spans="1:6">
      <c r="A40" s="1261" t="s">
        <v>29</v>
      </c>
      <c r="B40" s="1261" t="s">
        <v>28</v>
      </c>
      <c r="C40" s="1262">
        <v>0</v>
      </c>
      <c r="D40" s="1262">
        <v>0</v>
      </c>
      <c r="E40" s="1262">
        <v>0</v>
      </c>
      <c r="F40" s="1262">
        <v>0</v>
      </c>
    </row>
    <row r="41" spans="1:6">
      <c r="A41" s="1261" t="s">
        <v>31</v>
      </c>
      <c r="B41" s="1261" t="s">
        <v>32</v>
      </c>
      <c r="C41" s="1262">
        <v>54</v>
      </c>
      <c r="D41" s="1262">
        <v>1390072.66590964</v>
      </c>
      <c r="E41" s="1262">
        <v>116</v>
      </c>
      <c r="F41" s="1262">
        <v>6553433</v>
      </c>
    </row>
    <row r="42" spans="1:6">
      <c r="A42" s="1261" t="s">
        <v>31</v>
      </c>
      <c r="B42" s="1261" t="s">
        <v>33</v>
      </c>
      <c r="C42" s="1262">
        <v>0</v>
      </c>
      <c r="D42" s="1262">
        <v>0</v>
      </c>
      <c r="E42" s="1262">
        <v>3</v>
      </c>
      <c r="F42" s="1262">
        <v>312123.59999999998</v>
      </c>
    </row>
    <row r="43" spans="1:6">
      <c r="A43" s="1261" t="s">
        <v>31</v>
      </c>
      <c r="B43" s="1261" t="s">
        <v>34</v>
      </c>
      <c r="C43" s="1262">
        <v>0</v>
      </c>
      <c r="D43" s="1262">
        <v>0</v>
      </c>
      <c r="E43" s="1262">
        <v>0</v>
      </c>
      <c r="F43" s="1262">
        <v>0</v>
      </c>
    </row>
    <row r="44" spans="1:6">
      <c r="A44" s="1261" t="s">
        <v>31</v>
      </c>
      <c r="B44" s="1261" t="s">
        <v>35</v>
      </c>
      <c r="C44" s="1262">
        <v>14</v>
      </c>
      <c r="D44" s="1262">
        <v>3710596.87506891</v>
      </c>
      <c r="E44" s="1262">
        <v>28</v>
      </c>
      <c r="F44" s="1262">
        <v>5613165</v>
      </c>
    </row>
    <row r="45" spans="1:6">
      <c r="A45" s="1261" t="s">
        <v>31</v>
      </c>
      <c r="B45" s="1261" t="s">
        <v>36</v>
      </c>
      <c r="C45" s="1262">
        <v>3</v>
      </c>
      <c r="D45" s="1262">
        <v>127465.160892746</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1265146</v>
      </c>
    </row>
    <row r="48" spans="1:6">
      <c r="A48" s="1261" t="s">
        <v>31</v>
      </c>
      <c r="B48" s="1261" t="s">
        <v>28</v>
      </c>
      <c r="C48" s="1262">
        <v>27</v>
      </c>
      <c r="D48" s="1262">
        <v>2660301.3171942802</v>
      </c>
      <c r="E48" s="1262">
        <v>28</v>
      </c>
      <c r="F48" s="1262">
        <v>5241769</v>
      </c>
    </row>
    <row r="49" spans="1:6">
      <c r="A49" s="1261" t="s">
        <v>31</v>
      </c>
      <c r="B49" s="1261" t="s">
        <v>39</v>
      </c>
      <c r="C49" s="1262">
        <v>0</v>
      </c>
      <c r="D49" s="1262">
        <v>0</v>
      </c>
      <c r="E49" s="1262">
        <v>0</v>
      </c>
      <c r="F49" s="1262">
        <v>0</v>
      </c>
    </row>
    <row r="50" spans="1:6">
      <c r="A50" s="1261" t="s">
        <v>31</v>
      </c>
      <c r="B50" s="1261" t="s">
        <v>40</v>
      </c>
      <c r="C50" s="1262">
        <v>5</v>
      </c>
      <c r="D50" s="1262">
        <v>341948.713211547</v>
      </c>
      <c r="E50" s="1262">
        <v>10</v>
      </c>
      <c r="F50" s="1262">
        <v>365918.6</v>
      </c>
    </row>
    <row r="51" spans="1:6">
      <c r="A51" s="1261" t="s">
        <v>41</v>
      </c>
      <c r="B51" s="1261" t="s">
        <v>42</v>
      </c>
      <c r="C51" s="1262">
        <v>0</v>
      </c>
      <c r="D51" s="1262">
        <v>0</v>
      </c>
      <c r="E51" s="1262">
        <v>59</v>
      </c>
      <c r="F51" s="1262">
        <v>5107474</v>
      </c>
    </row>
    <row r="52" spans="1:6">
      <c r="A52" s="1261" t="s">
        <v>41</v>
      </c>
      <c r="B52" s="1261" t="s">
        <v>28</v>
      </c>
      <c r="C52" s="1262">
        <v>4</v>
      </c>
      <c r="D52" s="1262">
        <v>1981459.5036349499</v>
      </c>
      <c r="E52" s="1262">
        <v>7</v>
      </c>
      <c r="F52" s="1262">
        <v>253506.8</v>
      </c>
    </row>
    <row r="53" spans="1:6">
      <c r="A53" s="1261" t="s">
        <v>43</v>
      </c>
      <c r="B53" s="1261" t="s">
        <v>44</v>
      </c>
      <c r="C53" s="1262">
        <v>89</v>
      </c>
      <c r="D53" s="1262">
        <v>2140241.8993456499</v>
      </c>
      <c r="E53" s="1262">
        <v>166</v>
      </c>
      <c r="F53" s="1262">
        <v>814111.2</v>
      </c>
    </row>
    <row r="54" spans="1:6">
      <c r="A54" s="1261" t="s">
        <v>45</v>
      </c>
      <c r="B54" s="1261" t="s">
        <v>46</v>
      </c>
      <c r="C54" s="1262">
        <v>0</v>
      </c>
      <c r="D54" s="1262">
        <v>0</v>
      </c>
      <c r="E54" s="1262">
        <v>1</v>
      </c>
      <c r="F54" s="1262">
        <v>814300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15</v>
      </c>
      <c r="D57" s="1262">
        <v>250501.79244364399</v>
      </c>
      <c r="E57" s="1262">
        <v>65</v>
      </c>
      <c r="F57" s="1262">
        <v>2036957</v>
      </c>
    </row>
    <row r="58" spans="1:6">
      <c r="A58" s="1261" t="s">
        <v>48</v>
      </c>
      <c r="B58" s="1261" t="s">
        <v>50</v>
      </c>
      <c r="C58" s="1262">
        <v>20</v>
      </c>
      <c r="D58" s="1262">
        <v>405109.72178398498</v>
      </c>
      <c r="E58" s="1262">
        <v>23</v>
      </c>
      <c r="F58" s="1262">
        <v>181436.79999999999</v>
      </c>
    </row>
    <row r="59" spans="1:6">
      <c r="A59" s="1261" t="s">
        <v>48</v>
      </c>
      <c r="B59" s="1261" t="s">
        <v>51</v>
      </c>
      <c r="C59" s="1262">
        <v>61</v>
      </c>
      <c r="D59" s="1262">
        <v>1722673.9411154501</v>
      </c>
      <c r="E59" s="1262">
        <v>121</v>
      </c>
      <c r="F59" s="1262">
        <v>2761029</v>
      </c>
    </row>
    <row r="60" spans="1:6">
      <c r="A60" s="1261" t="s">
        <v>48</v>
      </c>
      <c r="B60" s="1261" t="s">
        <v>52</v>
      </c>
      <c r="C60" s="1262">
        <v>36</v>
      </c>
      <c r="D60" s="1262">
        <v>1429945.96783892</v>
      </c>
      <c r="E60" s="1262">
        <v>46</v>
      </c>
      <c r="F60" s="1262">
        <v>1196827</v>
      </c>
    </row>
    <row r="61" spans="1:6">
      <c r="A61" s="1261" t="s">
        <v>48</v>
      </c>
      <c r="B61" s="1261" t="s">
        <v>53</v>
      </c>
      <c r="C61" s="1262">
        <v>91</v>
      </c>
      <c r="D61" s="1262">
        <v>4881897.5060251597</v>
      </c>
      <c r="E61" s="1262">
        <v>171</v>
      </c>
      <c r="F61" s="1262">
        <v>2442793</v>
      </c>
    </row>
    <row r="62" spans="1:6">
      <c r="A62" s="1261" t="s">
        <v>48</v>
      </c>
      <c r="B62" s="1261" t="s">
        <v>54</v>
      </c>
      <c r="C62" s="1262">
        <v>0</v>
      </c>
      <c r="D62" s="1262">
        <v>0</v>
      </c>
      <c r="E62" s="1262">
        <v>0</v>
      </c>
      <c r="F62" s="1262">
        <v>0</v>
      </c>
    </row>
    <row r="63" spans="1:6">
      <c r="A63" s="1261" t="s">
        <v>48</v>
      </c>
      <c r="B63" s="1261" t="s">
        <v>28</v>
      </c>
      <c r="C63" s="1262">
        <v>89</v>
      </c>
      <c r="D63" s="1262">
        <v>4602099.7268326804</v>
      </c>
      <c r="E63" s="1262">
        <v>79</v>
      </c>
      <c r="F63" s="1262">
        <v>33168505.98</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1073.4749999999999</v>
      </c>
    </row>
    <row r="66" spans="1:6">
      <c r="A66" s="1261" t="s">
        <v>55</v>
      </c>
      <c r="B66" s="1261" t="s">
        <v>57</v>
      </c>
      <c r="C66" s="1262">
        <v>0</v>
      </c>
      <c r="D66" s="1262">
        <v>0</v>
      </c>
      <c r="E66" s="1262">
        <v>5</v>
      </c>
      <c r="F66" s="1262">
        <v>16175</v>
      </c>
    </row>
    <row r="67" spans="1:6">
      <c r="A67" s="1261" t="s">
        <v>55</v>
      </c>
      <c r="B67" s="1261" t="s">
        <v>58</v>
      </c>
      <c r="C67" s="1262">
        <v>0</v>
      </c>
      <c r="D67" s="1262">
        <v>0</v>
      </c>
      <c r="E67" s="1262">
        <v>0</v>
      </c>
      <c r="F67" s="1262">
        <v>0</v>
      </c>
    </row>
    <row r="68" spans="1:6">
      <c r="A68" s="1256" t="s">
        <v>55</v>
      </c>
      <c r="B68" s="1256" t="s">
        <v>59</v>
      </c>
      <c r="C68" s="1264">
        <v>7</v>
      </c>
      <c r="D68" s="1264">
        <v>164809.00101555299</v>
      </c>
      <c r="E68" s="1264">
        <v>11</v>
      </c>
      <c r="F68" s="1264">
        <v>239947.8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32064002</v>
      </c>
      <c r="E73" s="440"/>
      <c r="F73" s="322"/>
    </row>
    <row r="74" spans="1:6">
      <c r="A74" s="1261" t="s">
        <v>63</v>
      </c>
      <c r="B74" s="1261" t="s">
        <v>670</v>
      </c>
      <c r="C74" s="1274" t="s">
        <v>672</v>
      </c>
      <c r="D74" s="1262">
        <v>1695027.2136989548</v>
      </c>
      <c r="E74" s="440"/>
      <c r="F74" s="322"/>
    </row>
    <row r="75" spans="1:6">
      <c r="A75" s="1261" t="s">
        <v>64</v>
      </c>
      <c r="B75" s="1261" t="s">
        <v>669</v>
      </c>
      <c r="C75" s="1274" t="s">
        <v>673</v>
      </c>
      <c r="D75" s="1262">
        <v>11679831</v>
      </c>
      <c r="E75" s="440"/>
      <c r="F75" s="322"/>
    </row>
    <row r="76" spans="1:6">
      <c r="A76" s="1261" t="s">
        <v>64</v>
      </c>
      <c r="B76" s="1261" t="s">
        <v>670</v>
      </c>
      <c r="C76" s="1274" t="s">
        <v>674</v>
      </c>
      <c r="D76" s="1262">
        <v>487027.21369895485</v>
      </c>
      <c r="E76" s="440"/>
      <c r="F76" s="322"/>
    </row>
    <row r="77" spans="1:6">
      <c r="A77" s="1261" t="s">
        <v>65</v>
      </c>
      <c r="B77" s="1261" t="s">
        <v>669</v>
      </c>
      <c r="C77" s="1274" t="s">
        <v>675</v>
      </c>
      <c r="D77" s="1262">
        <v>32373941</v>
      </c>
      <c r="E77" s="440"/>
      <c r="F77" s="322"/>
    </row>
    <row r="78" spans="1:6">
      <c r="A78" s="1256" t="s">
        <v>65</v>
      </c>
      <c r="B78" s="1256" t="s">
        <v>670</v>
      </c>
      <c r="C78" s="1256" t="s">
        <v>676</v>
      </c>
      <c r="D78" s="1264">
        <v>12796410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209369.57260209034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24176.78066596196</v>
      </c>
      <c r="C90" s="322"/>
      <c r="D90" s="322"/>
      <c r="E90" s="322"/>
      <c r="F90" s="322"/>
    </row>
    <row r="91" spans="1:6">
      <c r="A91" s="1261" t="s">
        <v>67</v>
      </c>
      <c r="B91" s="1262">
        <v>3073.9566543018905</v>
      </c>
      <c r="C91" s="322"/>
      <c r="D91" s="322"/>
      <c r="E91" s="322"/>
      <c r="F91" s="322"/>
    </row>
    <row r="92" spans="1:6">
      <c r="A92" s="1256" t="s">
        <v>68</v>
      </c>
      <c r="B92" s="1257">
        <v>4984.0099284619237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2294</v>
      </c>
      <c r="C97" s="322"/>
      <c r="D97" s="322"/>
      <c r="E97" s="322"/>
      <c r="F97" s="322"/>
    </row>
    <row r="98" spans="1:6">
      <c r="A98" s="1261" t="s">
        <v>71</v>
      </c>
      <c r="B98" s="1262">
        <v>6</v>
      </c>
      <c r="C98" s="322"/>
      <c r="D98" s="322"/>
      <c r="E98" s="322"/>
      <c r="F98" s="322"/>
    </row>
    <row r="99" spans="1:6">
      <c r="A99" s="1261" t="s">
        <v>72</v>
      </c>
      <c r="B99" s="1262">
        <v>78</v>
      </c>
      <c r="C99" s="322"/>
      <c r="D99" s="322"/>
      <c r="E99" s="322"/>
      <c r="F99" s="322"/>
    </row>
    <row r="100" spans="1:6">
      <c r="A100" s="1261" t="s">
        <v>73</v>
      </c>
      <c r="B100" s="1262">
        <v>168</v>
      </c>
      <c r="C100" s="322"/>
      <c r="D100" s="322"/>
      <c r="E100" s="322"/>
      <c r="F100" s="322"/>
    </row>
    <row r="101" spans="1:6">
      <c r="A101" s="1261" t="s">
        <v>74</v>
      </c>
      <c r="B101" s="1262">
        <v>133</v>
      </c>
      <c r="C101" s="322"/>
      <c r="D101" s="322"/>
      <c r="E101" s="322"/>
      <c r="F101" s="322"/>
    </row>
    <row r="102" spans="1:6">
      <c r="A102" s="1261" t="s">
        <v>75</v>
      </c>
      <c r="B102" s="1262">
        <v>48</v>
      </c>
      <c r="C102" s="322"/>
      <c r="D102" s="322"/>
      <c r="E102" s="322"/>
      <c r="F102" s="322"/>
    </row>
    <row r="103" spans="1:6">
      <c r="A103" s="1261" t="s">
        <v>76</v>
      </c>
      <c r="B103" s="1262">
        <v>44</v>
      </c>
      <c r="C103" s="322"/>
      <c r="D103" s="322"/>
      <c r="E103" s="322"/>
      <c r="F103" s="322"/>
    </row>
    <row r="104" spans="1:6">
      <c r="A104" s="1261" t="s">
        <v>77</v>
      </c>
      <c r="B104" s="1262">
        <v>1624</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20</v>
      </c>
      <c r="C123" s="1262">
        <v>17</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145</v>
      </c>
      <c r="C129" s="322"/>
      <c r="D129" s="322"/>
      <c r="E129" s="322"/>
      <c r="F129" s="322"/>
    </row>
    <row r="130" spans="1:6">
      <c r="A130" s="1261" t="s">
        <v>284</v>
      </c>
      <c r="B130" s="1262">
        <v>5</v>
      </c>
      <c r="C130" s="322"/>
      <c r="D130" s="322"/>
      <c r="E130" s="322"/>
      <c r="F130" s="322"/>
    </row>
    <row r="131" spans="1:6">
      <c r="A131" s="1261" t="s">
        <v>285</v>
      </c>
      <c r="B131" s="1262">
        <v>2</v>
      </c>
      <c r="C131" s="322"/>
      <c r="D131" s="322"/>
      <c r="E131" s="322"/>
      <c r="F131" s="322"/>
    </row>
    <row r="132" spans="1:6">
      <c r="A132" s="1256" t="s">
        <v>286</v>
      </c>
      <c r="B132" s="1257">
        <v>16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89874.672273098578</v>
      </c>
      <c r="C3" s="43" t="s">
        <v>163</v>
      </c>
      <c r="D3" s="43"/>
      <c r="E3" s="153"/>
      <c r="F3" s="43"/>
      <c r="G3" s="43"/>
      <c r="H3" s="43"/>
      <c r="I3" s="43"/>
      <c r="J3" s="43"/>
      <c r="K3" s="96"/>
    </row>
    <row r="4" spans="1:11">
      <c r="A4" s="349" t="s">
        <v>164</v>
      </c>
      <c r="B4" s="49">
        <f>IF(ISERROR('SEAP template'!B78+'SEAP template'!C78),0,'SEAP template'!B78+'SEAP template'!C78)</f>
        <v>63032.747248725776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6.6003750337590761E-2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43997.142857142855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814.3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814.3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6.6003750337590761E-2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53.746853899900152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18656.746999999999</v>
      </c>
      <c r="C5" s="17">
        <f>IF(ISERROR('Eigen informatie GS &amp; warmtenet'!B57),0,'Eigen informatie GS &amp; warmtenet'!B57)</f>
        <v>0</v>
      </c>
      <c r="D5" s="30">
        <f>(SUM(HH_hh_gas_kWh,HH_rest_gas_kWh)/1000)*0.902</f>
        <v>53241.399409312675</v>
      </c>
      <c r="E5" s="17">
        <f>B32*B41</f>
        <v>827.70002472705357</v>
      </c>
      <c r="F5" s="17">
        <f>B36*B45</f>
        <v>26111.353517226649</v>
      </c>
      <c r="G5" s="18"/>
      <c r="H5" s="17"/>
      <c r="I5" s="17"/>
      <c r="J5" s="17">
        <f>B35*B44+C35*C44</f>
        <v>608.91577762846225</v>
      </c>
      <c r="K5" s="17"/>
      <c r="L5" s="17"/>
      <c r="M5" s="17"/>
      <c r="N5" s="17">
        <f>B34*B43+C34*C43</f>
        <v>5784.0171176205622</v>
      </c>
      <c r="O5" s="17">
        <f>B52*B53*B54</f>
        <v>253.26</v>
      </c>
      <c r="P5" s="17">
        <f>B60*B61*B62/1000-B60*B61*B62/1000/B63</f>
        <v>705.4666666666667</v>
      </c>
    </row>
    <row r="6" spans="1:16">
      <c r="A6" s="16" t="s">
        <v>593</v>
      </c>
      <c r="B6" s="717">
        <f>kWh_PV_kleiner_dan_10kW</f>
        <v>3073.9566543018905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21730.703654301891</v>
      </c>
      <c r="C8" s="21">
        <f>C5</f>
        <v>0</v>
      </c>
      <c r="D8" s="21">
        <f>D5</f>
        <v>53241.399409312675</v>
      </c>
      <c r="E8" s="21">
        <f>E5</f>
        <v>827.70002472705357</v>
      </c>
      <c r="F8" s="21">
        <f>F5</f>
        <v>26111.353517226649</v>
      </c>
      <c r="G8" s="21"/>
      <c r="H8" s="21"/>
      <c r="I8" s="21"/>
      <c r="J8" s="21">
        <f>J5</f>
        <v>608.91577762846225</v>
      </c>
      <c r="K8" s="21"/>
      <c r="L8" s="21">
        <f>L5</f>
        <v>0</v>
      </c>
      <c r="M8" s="21">
        <f>M5</f>
        <v>0</v>
      </c>
      <c r="N8" s="21">
        <f>N5</f>
        <v>5784.0171176205622</v>
      </c>
      <c r="O8" s="21">
        <f>O5</f>
        <v>253.26</v>
      </c>
      <c r="P8" s="21">
        <f>P5</f>
        <v>705.4666666666667</v>
      </c>
    </row>
    <row r="9" spans="1:16">
      <c r="B9" s="19"/>
      <c r="C9" s="19"/>
      <c r="D9" s="253"/>
      <c r="E9" s="19"/>
      <c r="F9" s="19"/>
      <c r="G9" s="19"/>
      <c r="H9" s="19"/>
      <c r="I9" s="19"/>
      <c r="J9" s="19"/>
      <c r="K9" s="19"/>
      <c r="L9" s="19"/>
      <c r="M9" s="19"/>
      <c r="N9" s="19"/>
      <c r="O9" s="19"/>
      <c r="P9" s="19"/>
    </row>
    <row r="10" spans="1:16">
      <c r="A10" s="24" t="s">
        <v>207</v>
      </c>
      <c r="B10" s="25">
        <f ca="1">'EF ele_warmte'!B12</f>
        <v>6.6003750337590761E-2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1434.3079386587133</v>
      </c>
      <c r="C12" s="23">
        <f ca="1">C10*C8</f>
        <v>0</v>
      </c>
      <c r="D12" s="23">
        <f>D8*D10</f>
        <v>10754.76268068116</v>
      </c>
      <c r="E12" s="23">
        <f>E10*E8</f>
        <v>187.88790561304117</v>
      </c>
      <c r="F12" s="23">
        <f>F10*F8</f>
        <v>6971.7313890995156</v>
      </c>
      <c r="G12" s="23"/>
      <c r="H12" s="23"/>
      <c r="I12" s="23"/>
      <c r="J12" s="23">
        <f>J10*J8</f>
        <v>215.55618528047563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5148</v>
      </c>
      <c r="C26" s="36"/>
      <c r="D26" s="224"/>
    </row>
    <row r="27" spans="1:5" s="15" customFormat="1">
      <c r="A27" s="226" t="s">
        <v>696</v>
      </c>
      <c r="B27" s="37">
        <f>SUM(HH_hh_gas_aantal,HH_rest_gas_aantal)</f>
        <v>3649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3466.55</v>
      </c>
      <c r="C31" s="34" t="s">
        <v>104</v>
      </c>
      <c r="D31" s="170"/>
    </row>
    <row r="32" spans="1:5">
      <c r="A32" s="167" t="s">
        <v>72</v>
      </c>
      <c r="B32" s="33">
        <f>IF((B21*($B$26-($B$27-0.05*$B$27)-$B$60))&lt;0,0,B21*($B$26-($B$27-0.05*$B$27)-$B$60))</f>
        <v>10.368619768352453</v>
      </c>
      <c r="C32" s="34" t="s">
        <v>104</v>
      </c>
      <c r="D32" s="170"/>
    </row>
    <row r="33" spans="1:6">
      <c r="A33" s="167" t="s">
        <v>73</v>
      </c>
      <c r="B33" s="33">
        <f>IF((B22*($B$26-($B$27-0.05*$B$27)-$B$60))&lt;0,0,B22*($B$26-($B$27-0.05*$B$27)-$B$60))</f>
        <v>361.07300656941771</v>
      </c>
      <c r="C33" s="34" t="s">
        <v>104</v>
      </c>
      <c r="D33" s="170"/>
    </row>
    <row r="34" spans="1:6">
      <c r="A34" s="167" t="s">
        <v>74</v>
      </c>
      <c r="B34" s="33">
        <f>IF((B24*($B$26-($B$27-0.05*$B$27)-$B$60))&lt;0,0,B24*($B$26-($B$27-0.05*$B$27)-$B$60))</f>
        <v>71.671394443882534</v>
      </c>
      <c r="C34" s="33">
        <f>B26*C24</f>
        <v>1053.2791651213206</v>
      </c>
      <c r="D34" s="229"/>
    </row>
    <row r="35" spans="1:6">
      <c r="A35" s="167" t="s">
        <v>76</v>
      </c>
      <c r="B35" s="33">
        <f>IF((B19*($B$26-($B$27-0.05*$B$27)-$B$60))&lt;0,0,B19*($B$26-($B$27-0.05*$B$27)-$B$60))</f>
        <v>35.015552107825478</v>
      </c>
      <c r="C35" s="33">
        <f>B35/2</f>
        <v>17.507776053912739</v>
      </c>
      <c r="D35" s="229"/>
    </row>
    <row r="36" spans="1:6">
      <c r="A36" s="167" t="s">
        <v>77</v>
      </c>
      <c r="B36" s="33">
        <f>IF((B18*($B$26-($B$27-0.05*$B$27)-$B$60))&lt;0,0,B18*($B$26-($B$27-0.05*$B$27)-$B$60))</f>
        <v>1166.3214271105221</v>
      </c>
      <c r="C36" s="34" t="s">
        <v>104</v>
      </c>
      <c r="D36" s="170"/>
    </row>
    <row r="37" spans="1:6">
      <c r="A37" s="167" t="s">
        <v>78</v>
      </c>
      <c r="B37" s="33">
        <f>B60</f>
        <v>37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41787.548779999997</v>
      </c>
      <c r="C5" s="17">
        <f>IF(ISERROR('Eigen informatie GS &amp; warmtenet'!B58),0,'Eigen informatie GS &amp; warmtenet'!B58)</f>
        <v>0</v>
      </c>
      <c r="D5" s="30">
        <f>SUM(D6:D12)</f>
        <v>11989.590247747936</v>
      </c>
      <c r="E5" s="17">
        <f>SUM(E6:E12)</f>
        <v>648.08337749007387</v>
      </c>
      <c r="F5" s="17">
        <f>SUM(F6:F12)</f>
        <v>10314.4221937985</v>
      </c>
      <c r="G5" s="18"/>
      <c r="H5" s="17"/>
      <c r="I5" s="17"/>
      <c r="J5" s="17">
        <f>SUM(J6:J12)</f>
        <v>0</v>
      </c>
      <c r="K5" s="17"/>
      <c r="L5" s="17"/>
      <c r="M5" s="17"/>
      <c r="N5" s="17">
        <f>SUM(N6:N12)</f>
        <v>3562.7468486916127</v>
      </c>
      <c r="O5" s="17">
        <f>B38*B39*B40</f>
        <v>7.8166666666666664</v>
      </c>
      <c r="P5" s="17">
        <f>B46*B47*B48/1000-B46*B47*B48/1000/B49</f>
        <v>38.133333333333333</v>
      </c>
      <c r="R5" s="32"/>
    </row>
    <row r="6" spans="1:18">
      <c r="A6" s="32" t="s">
        <v>53</v>
      </c>
      <c r="B6" s="37">
        <f>B26</f>
        <v>2442.7930000000001</v>
      </c>
      <c r="C6" s="33"/>
      <c r="D6" s="37">
        <f>IF(ISERROR(TER_kantoor_gas_kWh/1000),0,TER_kantoor_gas_kWh/1000)*0.902</f>
        <v>4403.4715504346941</v>
      </c>
      <c r="E6" s="33">
        <f>$C$26*'E Balans VL '!I12/100/3.6*1000000</f>
        <v>3.4257705216217994E-2</v>
      </c>
      <c r="F6" s="33">
        <f>$C$26*('E Balans VL '!L12+'E Balans VL '!N12)/100/3.6*1000000</f>
        <v>339.54421861857077</v>
      </c>
      <c r="G6" s="34"/>
      <c r="H6" s="33"/>
      <c r="I6" s="33"/>
      <c r="J6" s="33">
        <f>$C$26*('E Balans VL '!D12+'E Balans VL '!E12)/100/3.6*1000000</f>
        <v>0</v>
      </c>
      <c r="K6" s="33"/>
      <c r="L6" s="33"/>
      <c r="M6" s="33"/>
      <c r="N6" s="33">
        <f>$C$26*'E Balans VL '!Y12/100/3.6*1000000</f>
        <v>30.233918342255798</v>
      </c>
      <c r="O6" s="33"/>
      <c r="P6" s="33"/>
      <c r="R6" s="32"/>
    </row>
    <row r="7" spans="1:18">
      <c r="A7" s="32" t="s">
        <v>52</v>
      </c>
      <c r="B7" s="37">
        <f t="shared" ref="B7:B12" si="0">B27</f>
        <v>1196.827</v>
      </c>
      <c r="C7" s="33"/>
      <c r="D7" s="37">
        <f>IF(ISERROR(TER_horeca_gas_kWh/1000),0,TER_horeca_gas_kWh/1000)*0.902</f>
        <v>1289.8112629907057</v>
      </c>
      <c r="E7" s="33">
        <f>$C$27*'E Balans VL '!I9/100/3.6*1000000</f>
        <v>17.08379582353243</v>
      </c>
      <c r="F7" s="33">
        <f>$C$27*('E Balans VL '!L9+'E Balans VL '!N9)/100/3.6*1000000</f>
        <v>186.05847391574827</v>
      </c>
      <c r="G7" s="34"/>
      <c r="H7" s="33"/>
      <c r="I7" s="33"/>
      <c r="J7" s="33">
        <f>$C$27*('E Balans VL '!D9+'E Balans VL '!E9)/100/3.6*1000000</f>
        <v>0</v>
      </c>
      <c r="K7" s="33"/>
      <c r="L7" s="33"/>
      <c r="M7" s="33"/>
      <c r="N7" s="33">
        <f>$C$27*'E Balans VL '!Y9/100/3.6*1000000</f>
        <v>0.30840348682700253</v>
      </c>
      <c r="O7" s="33"/>
      <c r="P7" s="33"/>
      <c r="R7" s="32"/>
    </row>
    <row r="8" spans="1:18">
      <c r="A8" s="6" t="s">
        <v>51</v>
      </c>
      <c r="B8" s="37">
        <f t="shared" si="0"/>
        <v>2761.029</v>
      </c>
      <c r="C8" s="33"/>
      <c r="D8" s="37">
        <f>IF(ISERROR(TER_handel_gas_kWh/1000),0,TER_handel_gas_kWh/1000)*0.902</f>
        <v>1553.8518948861361</v>
      </c>
      <c r="E8" s="33">
        <f>$C$28*'E Balans VL '!I13/100/3.6*1000000</f>
        <v>74.727890685964496</v>
      </c>
      <c r="F8" s="33">
        <f>$C$28*('E Balans VL '!L13+'E Balans VL '!N13)/100/3.6*1000000</f>
        <v>428.7363547154107</v>
      </c>
      <c r="G8" s="34"/>
      <c r="H8" s="33"/>
      <c r="I8" s="33"/>
      <c r="J8" s="33">
        <f>$C$28*('E Balans VL '!D13+'E Balans VL '!E13)/100/3.6*1000000</f>
        <v>0</v>
      </c>
      <c r="K8" s="33"/>
      <c r="L8" s="33"/>
      <c r="M8" s="33"/>
      <c r="N8" s="33">
        <f>$C$28*'E Balans VL '!Y13/100/3.6*1000000</f>
        <v>22.371732890305658</v>
      </c>
      <c r="O8" s="33"/>
      <c r="P8" s="33"/>
      <c r="R8" s="32"/>
    </row>
    <row r="9" spans="1:18">
      <c r="A9" s="32" t="s">
        <v>50</v>
      </c>
      <c r="B9" s="37">
        <f t="shared" si="0"/>
        <v>181.43679999999998</v>
      </c>
      <c r="C9" s="33"/>
      <c r="D9" s="37">
        <f>IF(ISERROR(TER_gezond_gas_kWh/1000),0,TER_gezond_gas_kWh/1000)*0.902</f>
        <v>365.40896904915445</v>
      </c>
      <c r="E9" s="33">
        <f>$C$29*'E Balans VL '!I10/100/3.6*1000000</f>
        <v>1.1321562004585688E-2</v>
      </c>
      <c r="F9" s="33">
        <f>$C$29*('E Balans VL '!L10+'E Balans VL '!N10)/100/3.6*1000000</f>
        <v>23.488721283507765</v>
      </c>
      <c r="G9" s="34"/>
      <c r="H9" s="33"/>
      <c r="I9" s="33"/>
      <c r="J9" s="33">
        <f>$C$29*('E Balans VL '!D10+'E Balans VL '!E10)/100/3.6*1000000</f>
        <v>0</v>
      </c>
      <c r="K9" s="33"/>
      <c r="L9" s="33"/>
      <c r="M9" s="33"/>
      <c r="N9" s="33">
        <f>$C$29*'E Balans VL '!Y10/100/3.6*1000000</f>
        <v>1.4876044607337038</v>
      </c>
      <c r="O9" s="33"/>
      <c r="P9" s="33"/>
      <c r="R9" s="32"/>
    </row>
    <row r="10" spans="1:18">
      <c r="A10" s="32" t="s">
        <v>49</v>
      </c>
      <c r="B10" s="37">
        <f t="shared" si="0"/>
        <v>2036.9570000000001</v>
      </c>
      <c r="C10" s="33"/>
      <c r="D10" s="37">
        <f>IF(ISERROR(TER_ander_gas_kWh/1000),0,TER_ander_gas_kWh/1000)*0.902</f>
        <v>225.95261678416691</v>
      </c>
      <c r="E10" s="33">
        <f>$C$30*'E Balans VL '!I14/100/3.6*1000000</f>
        <v>61.494780858555607</v>
      </c>
      <c r="F10" s="33">
        <f>$C$30*('E Balans VL '!L14+'E Balans VL '!N14)/100/3.6*1000000</f>
        <v>1289.6949881583914</v>
      </c>
      <c r="G10" s="34"/>
      <c r="H10" s="33"/>
      <c r="I10" s="33"/>
      <c r="J10" s="33">
        <f>$C$30*('E Balans VL '!D14+'E Balans VL '!E14)/100/3.6*1000000</f>
        <v>0</v>
      </c>
      <c r="K10" s="33"/>
      <c r="L10" s="33"/>
      <c r="M10" s="33"/>
      <c r="N10" s="33">
        <f>$C$30*'E Balans VL '!Y14/100/3.6*1000000</f>
        <v>824.48428652284497</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33168.505980000002</v>
      </c>
      <c r="C12" s="33"/>
      <c r="D12" s="37">
        <f>IF(ISERROR(TER_rest_gas_kWh/1000),0,TER_rest_gas_kWh/1000)*0.902</f>
        <v>4151.0939536030774</v>
      </c>
      <c r="E12" s="33">
        <f>$C$32*'E Balans VL '!I8/100/3.6*1000000</f>
        <v>494.73133085480049</v>
      </c>
      <c r="F12" s="33">
        <f>$C$32*('E Balans VL '!L8+'E Balans VL '!N8)/100/3.6*1000000</f>
        <v>8046.8994371068711</v>
      </c>
      <c r="G12" s="34"/>
      <c r="H12" s="33"/>
      <c r="I12" s="33"/>
      <c r="J12" s="33">
        <f>$C$32*('E Balans VL '!D8+'E Balans VL '!E8)/100/3.6*1000000</f>
        <v>0</v>
      </c>
      <c r="K12" s="33"/>
      <c r="L12" s="33"/>
      <c r="M12" s="33"/>
      <c r="N12" s="33">
        <f>$C$32*'E Balans VL '!Y8/100/3.6*1000000</f>
        <v>2683.8609029886456</v>
      </c>
      <c r="O12" s="33"/>
      <c r="P12" s="33"/>
      <c r="R12" s="32"/>
    </row>
    <row r="13" spans="1:18">
      <c r="A13" s="16" t="s">
        <v>480</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41787.548779999997</v>
      </c>
      <c r="C16" s="21">
        <f t="shared" ca="1" si="1"/>
        <v>0</v>
      </c>
      <c r="D16" s="21">
        <f t="shared" ca="1" si="1"/>
        <v>11989.590247747936</v>
      </c>
      <c r="E16" s="21">
        <f t="shared" si="1"/>
        <v>648.08337749007387</v>
      </c>
      <c r="F16" s="21">
        <f t="shared" ca="1" si="1"/>
        <v>10314.4221937985</v>
      </c>
      <c r="G16" s="21">
        <f t="shared" si="1"/>
        <v>0</v>
      </c>
      <c r="H16" s="21">
        <f t="shared" si="1"/>
        <v>0</v>
      </c>
      <c r="I16" s="21">
        <f t="shared" si="1"/>
        <v>0</v>
      </c>
      <c r="J16" s="21">
        <f t="shared" si="1"/>
        <v>0</v>
      </c>
      <c r="K16" s="21">
        <f t="shared" si="1"/>
        <v>0</v>
      </c>
      <c r="L16" s="21">
        <f t="shared" ca="1" si="1"/>
        <v>0</v>
      </c>
      <c r="M16" s="21">
        <f t="shared" si="1"/>
        <v>0</v>
      </c>
      <c r="N16" s="21">
        <f t="shared" ca="1" si="1"/>
        <v>3562.7468486916127</v>
      </c>
      <c r="O16" s="21">
        <f>O5</f>
        <v>7.8166666666666664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6.6003750337590761E-2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2758.134936895015</v>
      </c>
      <c r="C20" s="23">
        <f t="shared" ref="C20:P20" ca="1" si="2">C16*C18</f>
        <v>0</v>
      </c>
      <c r="D20" s="23">
        <f t="shared" ca="1" si="2"/>
        <v>2421.8972300450832</v>
      </c>
      <c r="E20" s="23">
        <f t="shared" si="2"/>
        <v>147.11492669024676</v>
      </c>
      <c r="F20" s="23">
        <f t="shared" ca="1" si="2"/>
        <v>2753.9507257441996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2442.7930000000001</v>
      </c>
      <c r="C26" s="39">
        <f>IF(ISERROR(B26*3.6/1000000/'E Balans VL '!Z12*100),0,B26*3.6/1000000/'E Balans VL '!Z12*100)</f>
        <v>6.6350835142420406E-2</v>
      </c>
      <c r="D26" s="232" t="s">
        <v>651</v>
      </c>
      <c r="F26" s="6"/>
    </row>
    <row r="27" spans="1:18">
      <c r="A27" s="227" t="s">
        <v>52</v>
      </c>
      <c r="B27" s="33">
        <f>IF(ISERROR(TER_horeca_ele_kWh/1000),0,TER_horeca_ele_kWh/1000)</f>
        <v>1196.827</v>
      </c>
      <c r="C27" s="39">
        <f>IF(ISERROR(B27*3.6/1000000/'E Balans VL '!Z9*100),0,B27*3.6/1000000/'E Balans VL '!Z9*100)</f>
        <v>9.6174371145532067E-2</v>
      </c>
      <c r="D27" s="232" t="s">
        <v>651</v>
      </c>
      <c r="F27" s="6"/>
    </row>
    <row r="28" spans="1:18">
      <c r="A28" s="167" t="s">
        <v>51</v>
      </c>
      <c r="B28" s="33">
        <f>IF(ISERROR(TER_handel_ele_kWh/1000),0,TER_handel_ele_kWh/1000)</f>
        <v>2761.029</v>
      </c>
      <c r="C28" s="39">
        <f>IF(ISERROR(B28*3.6/1000000/'E Balans VL '!Z13*100),0,B28*3.6/1000000/'E Balans VL '!Z13*100)</f>
        <v>8.154734463350144E-2</v>
      </c>
      <c r="D28" s="232" t="s">
        <v>651</v>
      </c>
      <c r="F28" s="6"/>
    </row>
    <row r="29" spans="1:18">
      <c r="A29" s="227" t="s">
        <v>50</v>
      </c>
      <c r="B29" s="33">
        <f>IF(ISERROR(TER_gezond_ele_kWh/1000),0,TER_gezond_ele_kWh/1000)</f>
        <v>181.43679999999998</v>
      </c>
      <c r="C29" s="39">
        <f>IF(ISERROR(B29*3.6/1000000/'E Balans VL '!Z10*100),0,B29*3.6/1000000/'E Balans VL '!Z10*100)</f>
        <v>2.0750199748363798E-2</v>
      </c>
      <c r="D29" s="232" t="s">
        <v>651</v>
      </c>
      <c r="F29" s="6"/>
    </row>
    <row r="30" spans="1:18">
      <c r="A30" s="227" t="s">
        <v>49</v>
      </c>
      <c r="B30" s="33">
        <f>IF(ISERROR(TER_ander_ele_kWh/1000),0,TER_ander_ele_kWh/1000)</f>
        <v>2036.9570000000001</v>
      </c>
      <c r="C30" s="39">
        <f>IF(ISERROR(B30*3.6/1000000/'E Balans VL '!Z14*100),0,B30*3.6/1000000/'E Balans VL '!Z14*100)</f>
        <v>9.5191244838232894E-2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33168.505980000002</v>
      </c>
      <c r="C32" s="39">
        <f>IF(ISERROR(B32*3.6/1000000/'E Balans VL '!Z8*100),0,B32*3.6/1000000/'E Balans VL '!Z8*100)</f>
        <v>0.28337531562190604</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19351.555200000003</v>
      </c>
      <c r="C5" s="17">
        <f>IF(ISERROR('Eigen informatie GS &amp; warmtenet'!B59),0,'Eigen informatie GS &amp; warmtenet'!B59)</f>
        <v>0</v>
      </c>
      <c r="D5" s="30">
        <f>SUM(D6:D15)</f>
        <v>7423.8070285139647</v>
      </c>
      <c r="E5" s="17">
        <f>SUM(E6:E15)</f>
        <v>2216.5889966076766</v>
      </c>
      <c r="F5" s="17">
        <f>SUM(F6:F15)</f>
        <v>8839.1755234615102</v>
      </c>
      <c r="G5" s="18"/>
      <c r="H5" s="17"/>
      <c r="I5" s="17"/>
      <c r="J5" s="17">
        <f>SUM(J6:J15)</f>
        <v>30.748582019391598</v>
      </c>
      <c r="K5" s="17"/>
      <c r="L5" s="17"/>
      <c r="M5" s="17"/>
      <c r="N5" s="17">
        <f>SUM(N6:N15)</f>
        <v>1240.479800423569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5613.165</v>
      </c>
      <c r="C8" s="33"/>
      <c r="D8" s="37">
        <f>IF( ISERROR(IND_metaal_Gas_kWH/1000),0,IND_metaal_Gas_kWH/1000)*0.902</f>
        <v>3346.9583813121567</v>
      </c>
      <c r="E8" s="33">
        <f>C30*'E Balans VL '!I18/100/3.6*1000000</f>
        <v>140.47787429338078</v>
      </c>
      <c r="F8" s="33">
        <f>C30*'E Balans VL '!L18/100/3.6*1000000+C30*'E Balans VL '!N18/100/3.6*1000000</f>
        <v>1759.1938323186471</v>
      </c>
      <c r="G8" s="34"/>
      <c r="H8" s="33"/>
      <c r="I8" s="33"/>
      <c r="J8" s="40">
        <f>C30*'E Balans VL '!D18/100/3.6*1000000+C30*'E Balans VL '!E18/100/3.6*1000000</f>
        <v>0</v>
      </c>
      <c r="K8" s="33"/>
      <c r="L8" s="33"/>
      <c r="M8" s="33"/>
      <c r="N8" s="33">
        <f>C30*'E Balans VL '!Y18/100/3.6*1000000</f>
        <v>141.01727223346504</v>
      </c>
      <c r="O8" s="33"/>
      <c r="P8" s="33"/>
      <c r="R8" s="32"/>
    </row>
    <row r="9" spans="1:18">
      <c r="A9" s="6" t="s">
        <v>32</v>
      </c>
      <c r="B9" s="37">
        <f t="shared" si="0"/>
        <v>6553.433</v>
      </c>
      <c r="C9" s="33"/>
      <c r="D9" s="37">
        <f>IF( ISERROR(IND_andere_gas_kWh/1000),0,IND_andere_gas_kWh/1000)*0.902</f>
        <v>1253.8455446504954</v>
      </c>
      <c r="E9" s="33">
        <f>C31*'E Balans VL '!I19/100/3.6*1000000</f>
        <v>1801.9252855811721</v>
      </c>
      <c r="F9" s="33">
        <f>C31*'E Balans VL '!L19/100/3.6*1000000+C31*'E Balans VL '!N19/100/3.6*1000000</f>
        <v>5165.2455832189007</v>
      </c>
      <c r="G9" s="34"/>
      <c r="H9" s="33"/>
      <c r="I9" s="33"/>
      <c r="J9" s="40">
        <f>C31*'E Balans VL '!D19/100/3.6*1000000+C31*'E Balans VL '!E19/100/3.6*1000000</f>
        <v>0</v>
      </c>
      <c r="K9" s="33"/>
      <c r="L9" s="33"/>
      <c r="M9" s="33"/>
      <c r="N9" s="33">
        <f>C31*'E Balans VL '!Y19/100/3.6*1000000</f>
        <v>527.94869216167251</v>
      </c>
      <c r="O9" s="33"/>
      <c r="P9" s="33"/>
      <c r="R9" s="32"/>
    </row>
    <row r="10" spans="1:18">
      <c r="A10" s="6" t="s">
        <v>40</v>
      </c>
      <c r="B10" s="37">
        <f t="shared" si="0"/>
        <v>365.91859999999997</v>
      </c>
      <c r="C10" s="33"/>
      <c r="D10" s="37">
        <f>IF( ISERROR(IND_voed_gas_kWh/1000),0,IND_voed_gas_kWh/1000)*0.902</f>
        <v>308.4377393168154</v>
      </c>
      <c r="E10" s="33">
        <f>C32*'E Balans VL '!I20/100/3.6*1000000</f>
        <v>3.730338541293007</v>
      </c>
      <c r="F10" s="33">
        <f>C32*'E Balans VL '!L20/100/3.6*1000000+C32*'E Balans VL '!N20/100/3.6*1000000</f>
        <v>691.2179468000777</v>
      </c>
      <c r="G10" s="34"/>
      <c r="H10" s="33"/>
      <c r="I10" s="33"/>
      <c r="J10" s="40">
        <f>C32*'E Balans VL '!D20/100/3.6*1000000+C32*'E Balans VL '!E20/100/3.6*1000000</f>
        <v>8.7576293890798116</v>
      </c>
      <c r="K10" s="33"/>
      <c r="L10" s="33"/>
      <c r="M10" s="33"/>
      <c r="N10" s="33">
        <f>C32*'E Balans VL '!Y20/100/3.6*1000000</f>
        <v>192.88125085430173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114.9735751252569</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1265.146</v>
      </c>
      <c r="C13" s="33"/>
      <c r="D13" s="37">
        <f>IF( ISERROR(IND_papier_gas_kWh/1000),0,IND_papier_gas_kWh/1000)*0.902</f>
        <v>0</v>
      </c>
      <c r="E13" s="33">
        <f>C35*'E Balans VL '!I23/100/3.6*1000000</f>
        <v>2.6202027612987169</v>
      </c>
      <c r="F13" s="33">
        <f>C35*'E Balans VL '!L23/100/3.6*1000000+C35*'E Balans VL '!N23/100/3.6*1000000</f>
        <v>25.09055743745165</v>
      </c>
      <c r="G13" s="34"/>
      <c r="H13" s="33"/>
      <c r="I13" s="33"/>
      <c r="J13" s="40">
        <f>C35*'E Balans VL '!D23/100/3.6*1000000+C35*'E Balans VL '!E23/100/3.6*1000000</f>
        <v>0</v>
      </c>
      <c r="K13" s="33"/>
      <c r="L13" s="33"/>
      <c r="M13" s="33"/>
      <c r="N13" s="33">
        <f>C35*'E Balans VL '!Y23/100/3.6*1000000</f>
        <v>87.74426983975502</v>
      </c>
      <c r="O13" s="33"/>
      <c r="P13" s="33"/>
      <c r="R13" s="32"/>
    </row>
    <row r="14" spans="1:18">
      <c r="A14" s="6" t="s">
        <v>33</v>
      </c>
      <c r="B14" s="37">
        <f t="shared" si="0"/>
        <v>312.12359999999995</v>
      </c>
      <c r="C14" s="33"/>
      <c r="D14" s="37">
        <f>IF( ISERROR(IND_chemie_gas_kWh/1000),0,IND_chemie_gas_kWh/1000)*0.902</f>
        <v>0</v>
      </c>
      <c r="E14" s="33">
        <f>C36*'E Balans VL '!I24/100/3.6*1000000</f>
        <v>1.1702026717949938</v>
      </c>
      <c r="F14" s="33">
        <f>C36*'E Balans VL '!L24/100/3.6*1000000+C36*'E Balans VL '!N24/100/3.6*1000000</f>
        <v>3.6312311421589096</v>
      </c>
      <c r="G14" s="34"/>
      <c r="H14" s="33"/>
      <c r="I14" s="33"/>
      <c r="J14" s="40">
        <f>C36*'E Balans VL '!D24/100/3.6*1000000+C36*'E Balans VL '!E24/100/3.6*1000000</f>
        <v>0</v>
      </c>
      <c r="K14" s="33"/>
      <c r="L14" s="33"/>
      <c r="M14" s="33"/>
      <c r="N14" s="33">
        <f>C36*'E Balans VL '!Y24/100/3.6*1000000</f>
        <v>5.3324819117958926</v>
      </c>
      <c r="O14" s="33"/>
      <c r="P14" s="33"/>
      <c r="R14" s="32"/>
    </row>
    <row r="15" spans="1:18">
      <c r="A15" s="6" t="s">
        <v>259</v>
      </c>
      <c r="B15" s="37">
        <f t="shared" si="0"/>
        <v>5241.7690000000002</v>
      </c>
      <c r="C15" s="33"/>
      <c r="D15" s="37">
        <f>IF( ISERROR(IND_rest_gas_kWh/1000),0,IND_rest_gas_kWh/1000)*0.902</f>
        <v>2399.591788109241</v>
      </c>
      <c r="E15" s="33">
        <f>C37*'E Balans VL '!I15/100/3.6*1000000</f>
        <v>266.66509275873705</v>
      </c>
      <c r="F15" s="33">
        <f>C37*'E Balans VL '!L15/100/3.6*1000000+C37*'E Balans VL '!N15/100/3.6*1000000</f>
        <v>1194.7963725442742</v>
      </c>
      <c r="G15" s="34"/>
      <c r="H15" s="33"/>
      <c r="I15" s="33"/>
      <c r="J15" s="40">
        <f>C37*'E Balans VL '!D15/100/3.6*1000000+C37*'E Balans VL '!E15/100/3.6*1000000</f>
        <v>21.990952630311789</v>
      </c>
      <c r="K15" s="33"/>
      <c r="L15" s="33"/>
      <c r="M15" s="33"/>
      <c r="N15" s="33">
        <f>C37*'E Balans VL '!Y15/100/3.6*1000000</f>
        <v>285.55583342257898</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19351.555200000003</v>
      </c>
      <c r="C18" s="21">
        <f>C5+C16</f>
        <v>0</v>
      </c>
      <c r="D18" s="21">
        <f>MAX((D5+D16),0)</f>
        <v>7423.8070285139647</v>
      </c>
      <c r="E18" s="21">
        <f>MAX((E5+E16),0)</f>
        <v>2216.5889966076766</v>
      </c>
      <c r="F18" s="21">
        <f>MAX((F5+F16),0)</f>
        <v>8839.1755234615102</v>
      </c>
      <c r="G18" s="21"/>
      <c r="H18" s="21"/>
      <c r="I18" s="21"/>
      <c r="J18" s="21">
        <f>MAX((J5+J16),0)</f>
        <v>30.748582019391598</v>
      </c>
      <c r="K18" s="21"/>
      <c r="L18" s="21">
        <f>MAX((L5+L16),0)</f>
        <v>0</v>
      </c>
      <c r="M18" s="21"/>
      <c r="N18" s="21">
        <f>MAX((N5+N16),0)</f>
        <v>1240.479800423569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6.6003750337590761E-2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1277.2752180649063</v>
      </c>
      <c r="C22" s="23">
        <f ca="1">C18*C20</f>
        <v>0</v>
      </c>
      <c r="D22" s="23">
        <f>D18*D20</f>
        <v>1499.609019759821</v>
      </c>
      <c r="E22" s="23">
        <f>E18*E20</f>
        <v>503.16570222994261</v>
      </c>
      <c r="F22" s="23">
        <f>F18*F20</f>
        <v>2360.0598647642232</v>
      </c>
      <c r="G22" s="23"/>
      <c r="H22" s="23"/>
      <c r="I22" s="23"/>
      <c r="J22" s="23">
        <f>J18*J20</f>
        <v>10.884998034864624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5613.165</v>
      </c>
      <c r="C30" s="39">
        <f>IF(ISERROR(B30*3.6/1000000/'E Balans VL '!Z18*100),0,B30*3.6/1000000/'E Balans VL '!Z18*100)</f>
        <v>0.78565603920985749</v>
      </c>
      <c r="D30" s="232" t="s">
        <v>651</v>
      </c>
    </row>
    <row r="31" spans="1:18">
      <c r="A31" s="6" t="s">
        <v>32</v>
      </c>
      <c r="B31" s="37">
        <f>IF( ISERROR(IND_ander_ele_kWh/1000),0,IND_ander_ele_kWh/1000)</f>
        <v>6553.433</v>
      </c>
      <c r="C31" s="39">
        <f>IF(ISERROR(B31*3.6/1000000/'E Balans VL '!Z19*100),0,B31*3.6/1000000/'E Balans VL '!Z19*100)</f>
        <v>0.28684269929212564</v>
      </c>
      <c r="D31" s="232" t="s">
        <v>651</v>
      </c>
    </row>
    <row r="32" spans="1:18">
      <c r="A32" s="167" t="s">
        <v>40</v>
      </c>
      <c r="B32" s="37">
        <f>IF( ISERROR(IND_voed_ele_kWh/1000),0,IND_voed_ele_kWh/1000)</f>
        <v>365.91859999999997</v>
      </c>
      <c r="C32" s="39">
        <f>IF(ISERROR(B32*3.6/1000000/'E Balans VL '!Z20*100),0,B32*3.6/1000000/'E Balans VL '!Z20*100)</f>
        <v>9.05892938026754E-2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1265.146</v>
      </c>
      <c r="C35" s="39">
        <f>IF(ISERROR(B35*3.6/1000000/'E Balans VL '!Z22*100),0,B35*3.6/1000000/'E Balans VL '!Z22*100)</f>
        <v>3.5899681961722982E-2</v>
      </c>
      <c r="D35" s="232" t="s">
        <v>651</v>
      </c>
    </row>
    <row r="36" spans="1:5">
      <c r="A36" s="167" t="s">
        <v>33</v>
      </c>
      <c r="B36" s="37">
        <f>IF( ISERROR(IND_chemie_ele_kWh/1000),0,IND_chemie_ele_kWh/1000)</f>
        <v>312.12359999999995</v>
      </c>
      <c r="C36" s="39">
        <f>IF(ISERROR(B36*3.6/1000000/'E Balans VL '!Z24*100),0,B36*3.6/1000000/'E Balans VL '!Z24*100)</f>
        <v>7.9586753942260426E-3</v>
      </c>
      <c r="D36" s="232" t="s">
        <v>651</v>
      </c>
    </row>
    <row r="37" spans="1:5">
      <c r="A37" s="167" t="s">
        <v>259</v>
      </c>
      <c r="B37" s="37">
        <f>IF( ISERROR(IND_rest_ele_kWh/1000),0,IND_rest_ele_kWh/1000)</f>
        <v>5241.7690000000002</v>
      </c>
      <c r="C37" s="39">
        <f>IF(ISERROR(B37*3.6/1000000/'E Balans VL '!Z15*100),0,B37*3.6/1000000/'E Balans VL '!Z15*100)</f>
        <v>3.8866819706171209E-2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5360.9807999999994</v>
      </c>
      <c r="C5" s="17">
        <f>'Eigen informatie GS &amp; warmtenet'!B60</f>
        <v>0</v>
      </c>
      <c r="D5" s="30">
        <f>IF(ISERROR(SUM(LB_lb_gas_kWh,LB_rest_gas_kWh)/1000),0,SUM(LB_lb_gas_kWh,LB_rest_gas_kWh)/1000)*0.902</f>
        <v>1787.2764722787249</v>
      </c>
      <c r="E5" s="17">
        <f>B17*'E Balans VL '!I25/3.6*1000000/100</f>
        <v>114.95840298495634</v>
      </c>
      <c r="F5" s="17">
        <f>B17*('E Balans VL '!L25/3.6*1000000+'E Balans VL '!N25/3.6*1000000)/100</f>
        <v>17389.303875080295</v>
      </c>
      <c r="G5" s="18"/>
      <c r="H5" s="17"/>
      <c r="I5" s="17"/>
      <c r="J5" s="17">
        <f>('E Balans VL '!D25+'E Balans VL '!E25)/3.6*1000000*landbouw!B17/100</f>
        <v>516.53333325329197</v>
      </c>
      <c r="K5" s="17"/>
      <c r="L5" s="17">
        <f>L6*(-1)</f>
        <v>0</v>
      </c>
      <c r="M5" s="17"/>
      <c r="N5" s="17">
        <f>N6*(-1)</f>
        <v>87994.28571428571</v>
      </c>
      <c r="O5" s="17"/>
      <c r="P5" s="17"/>
      <c r="R5" s="32"/>
    </row>
    <row r="6" spans="1:18">
      <c r="A6" s="16" t="s">
        <v>480</v>
      </c>
      <c r="B6" s="17" t="s">
        <v>204</v>
      </c>
      <c r="C6" s="17">
        <f>'lokale energieproductie'!O40+'lokale energieproductie'!O33</f>
        <v>43997.142857142855</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-87994.28571428571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5360.9807999999994</v>
      </c>
      <c r="C8" s="21">
        <f>C5+C6</f>
        <v>43997.142857142855</v>
      </c>
      <c r="D8" s="21">
        <f>MAX((D5+D6),0)</f>
        <v>1787.2764722787249</v>
      </c>
      <c r="E8" s="21">
        <f>MAX((E5+E6),0)</f>
        <v>114.95840298495634</v>
      </c>
      <c r="F8" s="21">
        <f>MAX((F5+F6),0)</f>
        <v>17389.303875080295</v>
      </c>
      <c r="G8" s="21"/>
      <c r="H8" s="21"/>
      <c r="I8" s="21"/>
      <c r="J8" s="21">
        <f>MAX((J5+J6),0)</f>
        <v>516.53333325329197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6.6003750337590761E-2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353.84483828781754</v>
      </c>
      <c r="C12" s="23">
        <f ca="1">C8*C10</f>
        <v>0</v>
      </c>
      <c r="D12" s="23">
        <f>D8*D10</f>
        <v>361.02984740030246</v>
      </c>
      <c r="E12" s="23">
        <f>E8*E10</f>
        <v>26.095557477585089</v>
      </c>
      <c r="F12" s="23">
        <f>F8*F10</f>
        <v>4642.9441346464391</v>
      </c>
      <c r="G12" s="23"/>
      <c r="H12" s="23"/>
      <c r="I12" s="23"/>
      <c r="J12" s="23">
        <f>J8*J10</f>
        <v>182.85279997166535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0.76221779731886419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337.84374123411447</v>
      </c>
      <c r="C26" s="242">
        <f>B26*'GWP N2O_CH4'!B5</f>
        <v>7094.7185659164043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254.25650789141235</v>
      </c>
      <c r="C27" s="242">
        <f>B27*'GWP N2O_CH4'!B5</f>
        <v>5339.3866657196595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8.7063710436682449</v>
      </c>
      <c r="C28" s="242">
        <f>B28*'GWP N2O_CH4'!B4</f>
        <v>2698.9750235371557</v>
      </c>
      <c r="D28" s="50"/>
    </row>
    <row r="29" spans="1:4">
      <c r="A29" s="41" t="s">
        <v>266</v>
      </c>
      <c r="B29" s="242">
        <f>B34*'ha_N2O bodem landbouw'!B4</f>
        <v>15.953687025690401</v>
      </c>
      <c r="C29" s="242">
        <f>B29*'GWP N2O_CH4'!B4</f>
        <v>4945.6429779640248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3.5781309388065374E-3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4.1767091865867447E-5</v>
      </c>
      <c r="C5" s="428" t="s">
        <v>204</v>
      </c>
      <c r="D5" s="413">
        <f>SUM(D6:D11)</f>
        <v>6.0203514641496336E-5</v>
      </c>
      <c r="E5" s="413">
        <f>SUM(E6:E11)</f>
        <v>6.3441285097406161E-4</v>
      </c>
      <c r="F5" s="426" t="s">
        <v>204</v>
      </c>
      <c r="G5" s="413">
        <f>SUM(G6:G11)</f>
        <v>0.27509677484445033</v>
      </c>
      <c r="H5" s="413">
        <f>SUM(H6:H11)</f>
        <v>3.7590511943659165E-2</v>
      </c>
      <c r="I5" s="428" t="s">
        <v>204</v>
      </c>
      <c r="J5" s="428" t="s">
        <v>204</v>
      </c>
      <c r="K5" s="428" t="s">
        <v>204</v>
      </c>
      <c r="L5" s="428" t="s">
        <v>204</v>
      </c>
      <c r="M5" s="413">
        <f>SUM(M6:M11)</f>
        <v>1.7095945423440888E-2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1.503959592570614E-5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2.2746287375367784E-5</v>
      </c>
      <c r="E6" s="819">
        <f>vkm_GW_PW*SUMIFS(TableVerdeelsleutelVkm[LPG],TableVerdeelsleutelVkm[Voertuigtype],"Lichte voertuigen")*SUMIFS(TableECFTransport[EnergieConsumptieFactor (PJ per km)],TableECFTransport[Index],CONCATENATE($A6,"_LPG_LPG"))</f>
        <v>2.222036915813504E-4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5.1592661935370772E-2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1.4052864000192733E-2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3.4198482811866721E-3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4.1318391357811778E-7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1.5858086478078987E-2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3.5534035206907597E-7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9.1941746078366216E-4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6.2413815053512038E-6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1.4215558797523223E-5</v>
      </c>
      <c r="E8" s="416">
        <f>vkm_NGW_PW*SUMIFS(TableVerdeelsleutelVkm[LPG],TableVerdeelsleutelVkm[Voertuigtype],"Lichte voertuigen")*SUMIFS(TableECFTransport[EnergieConsumptieFactor (PJ per km)],TableECFTransport[Index],CONCATENATE($A8,"_LPG_LPG"))</f>
        <v>1.3206123028494131E-4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2.858077319267173E-2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8.4638394155007023E-3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1.9152032323924944E-3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1.1871892589620702E-7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5.8542017162863218E-3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1.2323598151342356E-7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3.3941367658633839E-4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1.6834927892502439E-5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2.3241668468605332E-5</v>
      </c>
      <c r="E10" s="416">
        <f>vkm_SW_PW*SUMIFS(TableVerdeelsleutelVkm[LPG],TableVerdeelsleutelVkm[Voertuigtype],"Lichte voertuigen")*SUMIFS(TableECFTransport[EnergieConsumptieFactor (PJ per km)],TableECFTransport[Index],CONCATENATE($A10,"_LPG_LPG"))</f>
        <v>2.8014792910776985E-4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5.909209457897955E-2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1.5070568824274787E-2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3.8856869288116814E-3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3.1192837028333448E-6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0.11411895694306297</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2.7611273573582074E-6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6.6163758436800398E-3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11.601969962740958</v>
      </c>
      <c r="C14" s="21"/>
      <c r="D14" s="21">
        <f t="shared" ref="D14:M14" si="0">((D5)*10^9/3600)+D12</f>
        <v>16.723198511526761</v>
      </c>
      <c r="E14" s="21">
        <f t="shared" si="0"/>
        <v>176.22579193723934</v>
      </c>
      <c r="F14" s="21"/>
      <c r="G14" s="21">
        <f t="shared" si="0"/>
        <v>76415.770790125098</v>
      </c>
      <c r="H14" s="21">
        <f t="shared" si="0"/>
        <v>10441.808873238657</v>
      </c>
      <c r="I14" s="21"/>
      <c r="J14" s="21"/>
      <c r="K14" s="21"/>
      <c r="L14" s="21"/>
      <c r="M14" s="21">
        <f t="shared" si="0"/>
        <v>4748.8737287335798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6.6003750337590761E-2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0.7657735288449814</v>
      </c>
      <c r="C18" s="23"/>
      <c r="D18" s="23">
        <f t="shared" ref="D18:M18" si="1">D14*D16</f>
        <v>3.3780860993284056</v>
      </c>
      <c r="E18" s="23">
        <f t="shared" si="1"/>
        <v>40.003254769753333</v>
      </c>
      <c r="F18" s="23"/>
      <c r="G18" s="23">
        <f t="shared" si="1"/>
        <v>20403.010800963402</v>
      </c>
      <c r="H18" s="23">
        <f t="shared" si="1"/>
        <v>2600.0104094364256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1.3934407802202965E-5</v>
      </c>
      <c r="C50" s="311">
        <f t="shared" ref="C50:P50" si="2">SUM(C51:C52)</f>
        <v>0</v>
      </c>
      <c r="D50" s="311">
        <f t="shared" si="2"/>
        <v>0</v>
      </c>
      <c r="E50" s="311">
        <f t="shared" si="2"/>
        <v>0</v>
      </c>
      <c r="F50" s="311">
        <f t="shared" si="2"/>
        <v>0</v>
      </c>
      <c r="G50" s="311">
        <f t="shared" si="2"/>
        <v>2.6403864675550626E-3</v>
      </c>
      <c r="H50" s="311">
        <f t="shared" si="2"/>
        <v>0</v>
      </c>
      <c r="I50" s="311">
        <f t="shared" si="2"/>
        <v>0</v>
      </c>
      <c r="J50" s="311">
        <f t="shared" si="2"/>
        <v>0</v>
      </c>
      <c r="K50" s="311">
        <f t="shared" si="2"/>
        <v>0</v>
      </c>
      <c r="L50" s="311">
        <f t="shared" si="2"/>
        <v>0</v>
      </c>
      <c r="M50" s="311">
        <f t="shared" si="2"/>
        <v>1.5200186331128988E-4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1.3934407802202965E-5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2.6403864675550626E-3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1.5200186331128988E-4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3.8706688339452677</v>
      </c>
      <c r="C54" s="21">
        <f t="shared" ref="C54:P54" si="3">(C50)*10^9/3600</f>
        <v>0</v>
      </c>
      <c r="D54" s="21">
        <f t="shared" si="3"/>
        <v>0</v>
      </c>
      <c r="E54" s="21">
        <f t="shared" si="3"/>
        <v>0</v>
      </c>
      <c r="F54" s="21">
        <f t="shared" si="3"/>
        <v>0</v>
      </c>
      <c r="G54" s="21">
        <f t="shared" si="3"/>
        <v>733.44068543196181</v>
      </c>
      <c r="H54" s="21">
        <f t="shared" si="3"/>
        <v>0</v>
      </c>
      <c r="I54" s="21">
        <f t="shared" si="3"/>
        <v>0</v>
      </c>
      <c r="J54" s="21">
        <f t="shared" si="3"/>
        <v>0</v>
      </c>
      <c r="K54" s="21">
        <f t="shared" si="3"/>
        <v>0</v>
      </c>
      <c r="L54" s="21">
        <f t="shared" si="3"/>
        <v>0</v>
      </c>
      <c r="M54" s="21">
        <f t="shared" si="3"/>
        <v>42.222739808691635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6.6003750337590761E-2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0.25547865935521702</v>
      </c>
      <c r="C58" s="23">
        <f t="shared" ref="C58:P58" ca="1" si="4">C54*C56</f>
        <v>0</v>
      </c>
      <c r="D58" s="23">
        <f t="shared" si="4"/>
        <v>0</v>
      </c>
      <c r="E58" s="23">
        <f t="shared" si="4"/>
        <v>0</v>
      </c>
      <c r="F58" s="23">
        <f t="shared" si="4"/>
        <v>0</v>
      </c>
      <c r="G58" s="23">
        <f t="shared" si="4"/>
        <v>195.82866301033383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24176.78066596196</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8057.9665827638146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30798</v>
      </c>
      <c r="C8" s="535">
        <f>B49</f>
        <v>0</v>
      </c>
      <c r="D8" s="974"/>
      <c r="E8" s="974">
        <f>E49</f>
        <v>0</v>
      </c>
      <c r="F8" s="975"/>
      <c r="G8" s="536"/>
      <c r="H8" s="974">
        <f>I49</f>
        <v>0</v>
      </c>
      <c r="I8" s="974">
        <f>G49+F49</f>
        <v>0</v>
      </c>
      <c r="J8" s="974">
        <f>H49+D49+C49</f>
        <v>36232.941176470587</v>
      </c>
      <c r="K8" s="974"/>
      <c r="L8" s="974"/>
      <c r="M8" s="974"/>
      <c r="N8" s="537"/>
      <c r="O8" s="538">
        <f>C8*$C$12+D8*$D$12+E8*$E$12+F8*$F$12+G8*$G$12+H8*$H$12+I8*$I$12+J8*$J$12</f>
        <v>0</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63032.747248725776</v>
      </c>
      <c r="C10" s="548">
        <f t="shared" ref="C10:L10" si="0">SUM(C8:C9)</f>
        <v>0</v>
      </c>
      <c r="D10" s="548">
        <f t="shared" si="0"/>
        <v>0</v>
      </c>
      <c r="E10" s="548">
        <f t="shared" si="0"/>
        <v>0</v>
      </c>
      <c r="F10" s="548">
        <f t="shared" si="0"/>
        <v>0</v>
      </c>
      <c r="G10" s="548">
        <f t="shared" si="0"/>
        <v>0</v>
      </c>
      <c r="H10" s="548">
        <f t="shared" si="0"/>
        <v>0</v>
      </c>
      <c r="I10" s="548">
        <f t="shared" si="0"/>
        <v>0</v>
      </c>
      <c r="J10" s="548">
        <f t="shared" si="0"/>
        <v>36232.941176470587</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43997.142857142855</v>
      </c>
      <c r="C17" s="560">
        <f>B50</f>
        <v>0</v>
      </c>
      <c r="D17" s="561"/>
      <c r="E17" s="561">
        <f>E50</f>
        <v>0</v>
      </c>
      <c r="F17" s="980"/>
      <c r="G17" s="562"/>
      <c r="H17" s="560">
        <f>I50</f>
        <v>0</v>
      </c>
      <c r="I17" s="561">
        <f>G50+F50</f>
        <v>0</v>
      </c>
      <c r="J17" s="561">
        <f>H50+D50+C50</f>
        <v>51761.344537815123</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43997.142857142855</v>
      </c>
      <c r="C20" s="547">
        <f>SUM(C17:C19)</f>
        <v>0</v>
      </c>
      <c r="D20" s="547">
        <f t="shared" ref="D20:L20" si="1">SUM(D17:D19)</f>
        <v>0</v>
      </c>
      <c r="E20" s="547">
        <f t="shared" si="1"/>
        <v>0</v>
      </c>
      <c r="F20" s="547">
        <f t="shared" si="1"/>
        <v>0</v>
      </c>
      <c r="G20" s="547">
        <f t="shared" si="1"/>
        <v>0</v>
      </c>
      <c r="H20" s="547">
        <f t="shared" si="1"/>
        <v>0</v>
      </c>
      <c r="I20" s="547">
        <f t="shared" si="1"/>
        <v>0</v>
      </c>
      <c r="J20" s="547">
        <f t="shared" si="1"/>
        <v>51761.344537815123</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13001</v>
      </c>
      <c r="C28" s="725">
        <v>2370</v>
      </c>
      <c r="D28" s="618"/>
      <c r="E28" s="617"/>
      <c r="F28" s="617"/>
      <c r="G28" s="617" t="s">
        <v>904</v>
      </c>
      <c r="H28" s="617" t="s">
        <v>905</v>
      </c>
      <c r="I28" s="617"/>
      <c r="J28" s="724"/>
      <c r="K28" s="724"/>
      <c r="L28" s="617" t="s">
        <v>906</v>
      </c>
      <c r="M28" s="617">
        <v>3277</v>
      </c>
      <c r="N28" s="617">
        <v>14746.5</v>
      </c>
      <c r="O28" s="617">
        <v>21066.428571428572</v>
      </c>
      <c r="P28" s="617">
        <v>0</v>
      </c>
      <c r="Q28" s="617">
        <v>42132.857142857145</v>
      </c>
      <c r="R28" s="617">
        <v>0</v>
      </c>
      <c r="S28" s="617">
        <v>0</v>
      </c>
      <c r="T28" s="617">
        <v>0</v>
      </c>
      <c r="U28" s="617">
        <v>0</v>
      </c>
      <c r="V28" s="617">
        <v>0</v>
      </c>
      <c r="W28" s="617">
        <v>0</v>
      </c>
      <c r="X28" s="617"/>
      <c r="Y28" s="617">
        <v>10</v>
      </c>
      <c r="Z28" s="617" t="s">
        <v>105</v>
      </c>
      <c r="AA28" s="619" t="s">
        <v>105</v>
      </c>
    </row>
    <row r="29" spans="1:27" s="571" customFormat="1" ht="25.5" hidden="1">
      <c r="A29" s="570"/>
      <c r="B29" s="725">
        <v>13001</v>
      </c>
      <c r="C29" s="725">
        <v>2370</v>
      </c>
      <c r="D29" s="618"/>
      <c r="E29" s="617"/>
      <c r="F29" s="617"/>
      <c r="G29" s="617" t="s">
        <v>904</v>
      </c>
      <c r="H29" s="617" t="s">
        <v>905</v>
      </c>
      <c r="I29" s="617"/>
      <c r="J29" s="724"/>
      <c r="K29" s="724"/>
      <c r="L29" s="617" t="s">
        <v>906</v>
      </c>
      <c r="M29" s="617">
        <v>3567</v>
      </c>
      <c r="N29" s="617">
        <v>16051.5</v>
      </c>
      <c r="O29" s="617">
        <v>22930.714285714286</v>
      </c>
      <c r="P29" s="617">
        <v>0</v>
      </c>
      <c r="Q29" s="617">
        <v>45861.428571428572</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6844</v>
      </c>
      <c r="N30" s="575">
        <f>SUM(N28:N29)</f>
        <v>30798</v>
      </c>
      <c r="O30" s="575">
        <f>SUM(O28:O29)</f>
        <v>43997.142857142855</v>
      </c>
      <c r="P30" s="575">
        <f>SUM(P28:P29)</f>
        <v>0</v>
      </c>
      <c r="Q30" s="575">
        <f>SUM(Q28:Q29)</f>
        <v>87994.28571428571</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0</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6844</v>
      </c>
      <c r="N33" s="580">
        <f>SUMIF($AA$28:$AA$29,"landbouw",N28:N29)</f>
        <v>30798</v>
      </c>
      <c r="O33" s="580">
        <f>SUMIF($AA$28:$AA$29,"landbouw",O28:O29)</f>
        <v>43997.142857142855</v>
      </c>
      <c r="P33" s="580">
        <f>SUMIF($AA$28:$AA$29,"landbouw",P28:P29)</f>
        <v>0</v>
      </c>
      <c r="Q33" s="580">
        <f>SUMIF($AA$28:$AA$29,"landbouw",Q28:Q29)</f>
        <v>87994.28571428571</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0.41176470588235298</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0</v>
      </c>
      <c r="C49" s="609">
        <f t="shared" si="2"/>
        <v>36232.941176470587</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0</v>
      </c>
      <c r="C50" s="612">
        <f t="shared" si="3"/>
        <v>51761.344537815123</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42601.84878</v>
      </c>
      <c r="D10" s="943">
        <f ca="1">tertiair!C16</f>
        <v>0</v>
      </c>
      <c r="E10" s="943">
        <f ca="1">tertiair!D16</f>
        <v>11989.590247747936</v>
      </c>
      <c r="F10" s="943">
        <f>tertiair!E16</f>
        <v>648.08337749007387</v>
      </c>
      <c r="G10" s="943">
        <f ca="1">tertiair!F16</f>
        <v>10314.4221937985</v>
      </c>
      <c r="H10" s="943">
        <f>tertiair!G16</f>
        <v>0</v>
      </c>
      <c r="I10" s="943">
        <f>tertiair!H16</f>
        <v>0</v>
      </c>
      <c r="J10" s="943">
        <f>tertiair!I16</f>
        <v>0</v>
      </c>
      <c r="K10" s="943">
        <f>tertiair!J16</f>
        <v>0</v>
      </c>
      <c r="L10" s="943">
        <f>tertiair!K16</f>
        <v>0</v>
      </c>
      <c r="M10" s="943">
        <f ca="1">tertiair!L16</f>
        <v>0</v>
      </c>
      <c r="N10" s="943">
        <f>tertiair!M16</f>
        <v>0</v>
      </c>
      <c r="O10" s="943">
        <f ca="1">tertiair!N16</f>
        <v>3562.7468486916127</v>
      </c>
      <c r="P10" s="943">
        <f>tertiair!O16</f>
        <v>7.8166666666666664</v>
      </c>
      <c r="Q10" s="944">
        <f>tertiair!P16</f>
        <v>38.133333333333333</v>
      </c>
      <c r="R10" s="629">
        <f ca="1">SUM(C10:Q10)</f>
        <v>69162.641447728136</v>
      </c>
      <c r="S10" s="67"/>
    </row>
    <row r="11" spans="1:19" s="438" customFormat="1">
      <c r="A11" s="737" t="s">
        <v>214</v>
      </c>
      <c r="B11" s="742"/>
      <c r="C11" s="943">
        <f>huishoudens!B8</f>
        <v>21730.703654301891</v>
      </c>
      <c r="D11" s="943">
        <f>huishoudens!C8</f>
        <v>0</v>
      </c>
      <c r="E11" s="943">
        <f>huishoudens!D8</f>
        <v>53241.399409312675</v>
      </c>
      <c r="F11" s="943">
        <f>huishoudens!E8</f>
        <v>827.70002472705357</v>
      </c>
      <c r="G11" s="943">
        <f>huishoudens!F8</f>
        <v>26111.353517226649</v>
      </c>
      <c r="H11" s="943">
        <f>huishoudens!G8</f>
        <v>0</v>
      </c>
      <c r="I11" s="943">
        <f>huishoudens!H8</f>
        <v>0</v>
      </c>
      <c r="J11" s="943">
        <f>huishoudens!I8</f>
        <v>0</v>
      </c>
      <c r="K11" s="943">
        <f>huishoudens!J8</f>
        <v>608.91577762846225</v>
      </c>
      <c r="L11" s="943">
        <f>huishoudens!K8</f>
        <v>0</v>
      </c>
      <c r="M11" s="943">
        <f>huishoudens!L8</f>
        <v>0</v>
      </c>
      <c r="N11" s="943">
        <f>huishoudens!M8</f>
        <v>0</v>
      </c>
      <c r="O11" s="943">
        <f>huishoudens!N8</f>
        <v>5784.0171176205622</v>
      </c>
      <c r="P11" s="943">
        <f>huishoudens!O8</f>
        <v>253.26</v>
      </c>
      <c r="Q11" s="944">
        <f>huishoudens!P8</f>
        <v>705.4666666666667</v>
      </c>
      <c r="R11" s="629">
        <f>SUM(C11:Q11)</f>
        <v>109262.81616748395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19351.555200000003</v>
      </c>
      <c r="D13" s="943">
        <f>industrie!C18</f>
        <v>0</v>
      </c>
      <c r="E13" s="943">
        <f>industrie!D18</f>
        <v>7423.8070285139647</v>
      </c>
      <c r="F13" s="943">
        <f>industrie!E18</f>
        <v>2216.5889966076766</v>
      </c>
      <c r="G13" s="943">
        <f>industrie!F18</f>
        <v>8839.1755234615102</v>
      </c>
      <c r="H13" s="943">
        <f>industrie!G18</f>
        <v>0</v>
      </c>
      <c r="I13" s="943">
        <f>industrie!H18</f>
        <v>0</v>
      </c>
      <c r="J13" s="943">
        <f>industrie!I18</f>
        <v>0</v>
      </c>
      <c r="K13" s="943">
        <f>industrie!J18</f>
        <v>30.748582019391598</v>
      </c>
      <c r="L13" s="943">
        <f>industrie!K18</f>
        <v>0</v>
      </c>
      <c r="M13" s="943">
        <f>industrie!L18</f>
        <v>0</v>
      </c>
      <c r="N13" s="943">
        <f>industrie!M18</f>
        <v>0</v>
      </c>
      <c r="O13" s="943">
        <f>industrie!N18</f>
        <v>1240.479800423569</v>
      </c>
      <c r="P13" s="943">
        <f>industrie!O18</f>
        <v>0</v>
      </c>
      <c r="Q13" s="944">
        <f>industrie!P18</f>
        <v>0</v>
      </c>
      <c r="R13" s="629">
        <f>SUM(C13:Q13)</f>
        <v>39102.355131026117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83684.107634301894</v>
      </c>
      <c r="D16" s="661">
        <f t="shared" ref="D16:R16" ca="1" si="0">SUM(D9:D15)</f>
        <v>0</v>
      </c>
      <c r="E16" s="661">
        <f t="shared" ca="1" si="0"/>
        <v>72654.796685574576</v>
      </c>
      <c r="F16" s="661">
        <f t="shared" si="0"/>
        <v>3692.3723988248039</v>
      </c>
      <c r="G16" s="661">
        <f t="shared" ca="1" si="0"/>
        <v>45264.95123448666</v>
      </c>
      <c r="H16" s="661">
        <f t="shared" si="0"/>
        <v>0</v>
      </c>
      <c r="I16" s="661">
        <f t="shared" si="0"/>
        <v>0</v>
      </c>
      <c r="J16" s="661">
        <f t="shared" si="0"/>
        <v>0</v>
      </c>
      <c r="K16" s="661">
        <f t="shared" si="0"/>
        <v>639.66435964785387</v>
      </c>
      <c r="L16" s="661">
        <f t="shared" si="0"/>
        <v>0</v>
      </c>
      <c r="M16" s="661">
        <f t="shared" ca="1" si="0"/>
        <v>0</v>
      </c>
      <c r="N16" s="661">
        <f t="shared" si="0"/>
        <v>0</v>
      </c>
      <c r="O16" s="661">
        <f t="shared" ca="1" si="0"/>
        <v>10587.243766735744</v>
      </c>
      <c r="P16" s="661">
        <f t="shared" si="0"/>
        <v>261.07666666666665</v>
      </c>
      <c r="Q16" s="661">
        <f t="shared" si="0"/>
        <v>743.6</v>
      </c>
      <c r="R16" s="661">
        <f t="shared" ca="1" si="0"/>
        <v>217527.8127462382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3.8706688339452677</v>
      </c>
      <c r="D19" s="943">
        <f>transport!C54</f>
        <v>0</v>
      </c>
      <c r="E19" s="943">
        <f>transport!D54</f>
        <v>0</v>
      </c>
      <c r="F19" s="943">
        <f>transport!E54</f>
        <v>0</v>
      </c>
      <c r="G19" s="943">
        <f>transport!F54</f>
        <v>0</v>
      </c>
      <c r="H19" s="943">
        <f>transport!G54</f>
        <v>733.44068543196181</v>
      </c>
      <c r="I19" s="943">
        <f>transport!H54</f>
        <v>0</v>
      </c>
      <c r="J19" s="943">
        <f>transport!I54</f>
        <v>0</v>
      </c>
      <c r="K19" s="943">
        <f>transport!J54</f>
        <v>0</v>
      </c>
      <c r="L19" s="943">
        <f>transport!K54</f>
        <v>0</v>
      </c>
      <c r="M19" s="943">
        <f>transport!L54</f>
        <v>0</v>
      </c>
      <c r="N19" s="943">
        <f>transport!M54</f>
        <v>42.222739808691635</v>
      </c>
      <c r="O19" s="943">
        <f>transport!N54</f>
        <v>0</v>
      </c>
      <c r="P19" s="943">
        <f>transport!O54</f>
        <v>0</v>
      </c>
      <c r="Q19" s="944">
        <f>transport!P54</f>
        <v>0</v>
      </c>
      <c r="R19" s="629">
        <f>SUM(C19:Q19)</f>
        <v>779.53409407459867</v>
      </c>
      <c r="S19" s="67"/>
    </row>
    <row r="20" spans="1:19" s="438" customFormat="1">
      <c r="A20" s="737" t="s">
        <v>296</v>
      </c>
      <c r="B20" s="742"/>
      <c r="C20" s="943">
        <f>transport!B14</f>
        <v>11.601969962740958</v>
      </c>
      <c r="D20" s="943">
        <f>transport!C14</f>
        <v>0</v>
      </c>
      <c r="E20" s="943">
        <f>transport!D14</f>
        <v>16.723198511526761</v>
      </c>
      <c r="F20" s="943">
        <f>transport!E14</f>
        <v>176.22579193723934</v>
      </c>
      <c r="G20" s="943">
        <f>transport!F14</f>
        <v>0</v>
      </c>
      <c r="H20" s="943">
        <f>transport!G14</f>
        <v>76415.770790125098</v>
      </c>
      <c r="I20" s="943">
        <f>transport!H14</f>
        <v>10441.808873238657</v>
      </c>
      <c r="J20" s="943">
        <f>transport!I14</f>
        <v>0</v>
      </c>
      <c r="K20" s="943">
        <f>transport!J14</f>
        <v>0</v>
      </c>
      <c r="L20" s="943">
        <f>transport!K14</f>
        <v>0</v>
      </c>
      <c r="M20" s="943">
        <f>transport!L14</f>
        <v>0</v>
      </c>
      <c r="N20" s="943">
        <f>transport!M14</f>
        <v>4748.8737287335798</v>
      </c>
      <c r="O20" s="943">
        <f>transport!N14</f>
        <v>0</v>
      </c>
      <c r="P20" s="943">
        <f>transport!O14</f>
        <v>0</v>
      </c>
      <c r="Q20" s="944">
        <f>transport!P14</f>
        <v>0</v>
      </c>
      <c r="R20" s="629">
        <f>SUM(C20:Q20)</f>
        <v>91811.00435250884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15.472638796686226</v>
      </c>
      <c r="D22" s="740">
        <f t="shared" ref="D22:R22" si="1">SUM(D18:D21)</f>
        <v>0</v>
      </c>
      <c r="E22" s="740">
        <f t="shared" si="1"/>
        <v>16.723198511526761</v>
      </c>
      <c r="F22" s="740">
        <f t="shared" si="1"/>
        <v>176.22579193723934</v>
      </c>
      <c r="G22" s="740">
        <f t="shared" si="1"/>
        <v>0</v>
      </c>
      <c r="H22" s="740">
        <f t="shared" si="1"/>
        <v>77149.211475557066</v>
      </c>
      <c r="I22" s="740">
        <f t="shared" si="1"/>
        <v>10441.808873238657</v>
      </c>
      <c r="J22" s="740">
        <f t="shared" si="1"/>
        <v>0</v>
      </c>
      <c r="K22" s="740">
        <f t="shared" si="1"/>
        <v>0</v>
      </c>
      <c r="L22" s="740">
        <f t="shared" si="1"/>
        <v>0</v>
      </c>
      <c r="M22" s="740">
        <f t="shared" si="1"/>
        <v>0</v>
      </c>
      <c r="N22" s="740">
        <f t="shared" si="1"/>
        <v>4791.0964685422714</v>
      </c>
      <c r="O22" s="740">
        <f t="shared" si="1"/>
        <v>0</v>
      </c>
      <c r="P22" s="740">
        <f t="shared" si="1"/>
        <v>0</v>
      </c>
      <c r="Q22" s="740">
        <f t="shared" si="1"/>
        <v>0</v>
      </c>
      <c r="R22" s="740">
        <f t="shared" si="1"/>
        <v>92590.538446583436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5360.9807999999994</v>
      </c>
      <c r="D24" s="943">
        <f>+landbouw!C8</f>
        <v>43997.142857142855</v>
      </c>
      <c r="E24" s="943">
        <f>+landbouw!D8</f>
        <v>1787.2764722787249</v>
      </c>
      <c r="F24" s="943">
        <f>+landbouw!E8</f>
        <v>114.95840298495634</v>
      </c>
      <c r="G24" s="943">
        <f>+landbouw!F8</f>
        <v>17389.303875080295</v>
      </c>
      <c r="H24" s="943">
        <f>+landbouw!G8</f>
        <v>0</v>
      </c>
      <c r="I24" s="943">
        <f>+landbouw!H8</f>
        <v>0</v>
      </c>
      <c r="J24" s="943">
        <f>+landbouw!I8</f>
        <v>0</v>
      </c>
      <c r="K24" s="943">
        <f>+landbouw!J8</f>
        <v>516.53333325329197</v>
      </c>
      <c r="L24" s="943">
        <f>+landbouw!K8</f>
        <v>0</v>
      </c>
      <c r="M24" s="943">
        <f>+landbouw!L8</f>
        <v>0</v>
      </c>
      <c r="N24" s="943">
        <f>+landbouw!M8</f>
        <v>0</v>
      </c>
      <c r="O24" s="943">
        <f>+landbouw!N8</f>
        <v>0</v>
      </c>
      <c r="P24" s="943">
        <f>+landbouw!O8</f>
        <v>0</v>
      </c>
      <c r="Q24" s="944">
        <f>+landbouw!P8</f>
        <v>0</v>
      </c>
      <c r="R24" s="629">
        <f>SUM(C24:Q24)</f>
        <v>69166.195740740121</v>
      </c>
      <c r="S24" s="67"/>
    </row>
    <row r="25" spans="1:19" s="438" customFormat="1" ht="15" thickBot="1">
      <c r="A25" s="759" t="s">
        <v>802</v>
      </c>
      <c r="B25" s="946"/>
      <c r="C25" s="947">
        <f>IF(Onbekend_ele_kWh="---",0,Onbekend_ele_kWh)/1000+IF(REST_rest_ele_kWh="---",0,REST_rest_ele_kWh)/1000</f>
        <v>814.11119999999994</v>
      </c>
      <c r="D25" s="947"/>
      <c r="E25" s="947">
        <f>IF(onbekend_gas_kWh="---",0,onbekend_gas_kWh)/1000+IF(REST_rest_gas_kWh="---",0,REST_rest_gas_kWh)/1000</f>
        <v>2140.2418993456499</v>
      </c>
      <c r="F25" s="947"/>
      <c r="G25" s="947"/>
      <c r="H25" s="947"/>
      <c r="I25" s="947"/>
      <c r="J25" s="947"/>
      <c r="K25" s="947"/>
      <c r="L25" s="947"/>
      <c r="M25" s="947"/>
      <c r="N25" s="947"/>
      <c r="O25" s="947"/>
      <c r="P25" s="947"/>
      <c r="Q25" s="948"/>
      <c r="R25" s="629">
        <f>SUM(C25:Q25)</f>
        <v>2954.3530993456498</v>
      </c>
      <c r="S25" s="67"/>
    </row>
    <row r="26" spans="1:19" s="438" customFormat="1" ht="15.75" thickBot="1">
      <c r="A26" s="634" t="s">
        <v>803</v>
      </c>
      <c r="B26" s="745"/>
      <c r="C26" s="740">
        <f>SUM(C24:C25)</f>
        <v>6175.0919999999996</v>
      </c>
      <c r="D26" s="740">
        <f t="shared" ref="D26:R26" si="2">SUM(D24:D25)</f>
        <v>43997.142857142855</v>
      </c>
      <c r="E26" s="740">
        <f t="shared" si="2"/>
        <v>3927.5183716243746</v>
      </c>
      <c r="F26" s="740">
        <f t="shared" si="2"/>
        <v>114.95840298495634</v>
      </c>
      <c r="G26" s="740">
        <f t="shared" si="2"/>
        <v>17389.303875080295</v>
      </c>
      <c r="H26" s="740">
        <f t="shared" si="2"/>
        <v>0</v>
      </c>
      <c r="I26" s="740">
        <f t="shared" si="2"/>
        <v>0</v>
      </c>
      <c r="J26" s="740">
        <f t="shared" si="2"/>
        <v>0</v>
      </c>
      <c r="K26" s="740">
        <f t="shared" si="2"/>
        <v>516.53333325329197</v>
      </c>
      <c r="L26" s="740">
        <f t="shared" si="2"/>
        <v>0</v>
      </c>
      <c r="M26" s="740">
        <f t="shared" si="2"/>
        <v>0</v>
      </c>
      <c r="N26" s="740">
        <f t="shared" si="2"/>
        <v>0</v>
      </c>
      <c r="O26" s="740">
        <f t="shared" si="2"/>
        <v>0</v>
      </c>
      <c r="P26" s="740">
        <f t="shared" si="2"/>
        <v>0</v>
      </c>
      <c r="Q26" s="740">
        <f t="shared" si="2"/>
        <v>0</v>
      </c>
      <c r="R26" s="740">
        <f t="shared" si="2"/>
        <v>72120.548840085772</v>
      </c>
      <c r="S26" s="67"/>
    </row>
    <row r="27" spans="1:19" s="438" customFormat="1" ht="17.25" thickTop="1" thickBot="1">
      <c r="A27" s="635" t="s">
        <v>109</v>
      </c>
      <c r="B27" s="733"/>
      <c r="C27" s="636">
        <f ca="1">C22+C16+C26</f>
        <v>89874.672273098578</v>
      </c>
      <c r="D27" s="636">
        <f t="shared" ref="D27:R27" ca="1" si="3">D22+D16+D26</f>
        <v>43997.142857142855</v>
      </c>
      <c r="E27" s="636">
        <f t="shared" ca="1" si="3"/>
        <v>76599.038255710475</v>
      </c>
      <c r="F27" s="636">
        <f t="shared" si="3"/>
        <v>3983.5565937469992</v>
      </c>
      <c r="G27" s="636">
        <f t="shared" ca="1" si="3"/>
        <v>62654.255109566955</v>
      </c>
      <c r="H27" s="636">
        <f t="shared" si="3"/>
        <v>77149.211475557066</v>
      </c>
      <c r="I27" s="636">
        <f t="shared" si="3"/>
        <v>10441.808873238657</v>
      </c>
      <c r="J27" s="636">
        <f t="shared" si="3"/>
        <v>0</v>
      </c>
      <c r="K27" s="636">
        <f t="shared" si="3"/>
        <v>1156.1976929011457</v>
      </c>
      <c r="L27" s="636">
        <f t="shared" si="3"/>
        <v>0</v>
      </c>
      <c r="M27" s="636">
        <f t="shared" ca="1" si="3"/>
        <v>0</v>
      </c>
      <c r="N27" s="636">
        <f t="shared" si="3"/>
        <v>4791.0964685422714</v>
      </c>
      <c r="O27" s="636">
        <f t="shared" ca="1" si="3"/>
        <v>10587.243766735744</v>
      </c>
      <c r="P27" s="636">
        <f t="shared" si="3"/>
        <v>261.07666666666665</v>
      </c>
      <c r="Q27" s="636">
        <f t="shared" si="3"/>
        <v>743.6</v>
      </c>
      <c r="R27" s="636">
        <f t="shared" ca="1" si="3"/>
        <v>382238.90003290738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2811.8817907949151</v>
      </c>
      <c r="D40" s="943">
        <f ca="1">tertiair!C20</f>
        <v>0</v>
      </c>
      <c r="E40" s="943">
        <f ca="1">tertiair!D20</f>
        <v>2421.8972300450832</v>
      </c>
      <c r="F40" s="943">
        <f>tertiair!E20</f>
        <v>147.11492669024676</v>
      </c>
      <c r="G40" s="943">
        <f ca="1">tertiair!F20</f>
        <v>2753.9507257441996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8134.8446732744451</v>
      </c>
    </row>
    <row r="41" spans="1:18">
      <c r="A41" s="750" t="s">
        <v>214</v>
      </c>
      <c r="B41" s="757"/>
      <c r="C41" s="943">
        <f ca="1">huishoudens!B12</f>
        <v>1434.3079386587133</v>
      </c>
      <c r="D41" s="943">
        <f ca="1">huishoudens!C12</f>
        <v>0</v>
      </c>
      <c r="E41" s="943">
        <f>huishoudens!D12</f>
        <v>10754.76268068116</v>
      </c>
      <c r="F41" s="943">
        <f>huishoudens!E12</f>
        <v>187.88790561304117</v>
      </c>
      <c r="G41" s="943">
        <f>huishoudens!F12</f>
        <v>6971.7313890995156</v>
      </c>
      <c r="H41" s="943">
        <f>huishoudens!G12</f>
        <v>0</v>
      </c>
      <c r="I41" s="943">
        <f>huishoudens!H12</f>
        <v>0</v>
      </c>
      <c r="J41" s="943">
        <f>huishoudens!I12</f>
        <v>0</v>
      </c>
      <c r="K41" s="943">
        <f>huishoudens!J12</f>
        <v>215.55618528047563</v>
      </c>
      <c r="L41" s="943">
        <f>huishoudens!K12</f>
        <v>0</v>
      </c>
      <c r="M41" s="943">
        <f>huishoudens!L12</f>
        <v>0</v>
      </c>
      <c r="N41" s="943">
        <f>huishoudens!M12</f>
        <v>0</v>
      </c>
      <c r="O41" s="943">
        <f>huishoudens!N12</f>
        <v>0</v>
      </c>
      <c r="P41" s="943">
        <f>huishoudens!O12</f>
        <v>0</v>
      </c>
      <c r="Q41" s="703">
        <f>huishoudens!P12</f>
        <v>0</v>
      </c>
      <c r="R41" s="778">
        <f t="shared" ca="1" si="4"/>
        <v>19564.246099332904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1277.2752180649063</v>
      </c>
      <c r="D43" s="943">
        <f ca="1">industrie!C22</f>
        <v>0</v>
      </c>
      <c r="E43" s="943">
        <f>industrie!D22</f>
        <v>1499.609019759821</v>
      </c>
      <c r="F43" s="943">
        <f>industrie!E22</f>
        <v>503.16570222994261</v>
      </c>
      <c r="G43" s="943">
        <f>industrie!F22</f>
        <v>2360.0598647642232</v>
      </c>
      <c r="H43" s="943">
        <f>industrie!G22</f>
        <v>0</v>
      </c>
      <c r="I43" s="943">
        <f>industrie!H22</f>
        <v>0</v>
      </c>
      <c r="J43" s="943">
        <f>industrie!I22</f>
        <v>0</v>
      </c>
      <c r="K43" s="943">
        <f>industrie!J22</f>
        <v>10.884998034864624</v>
      </c>
      <c r="L43" s="943">
        <f>industrie!K22</f>
        <v>0</v>
      </c>
      <c r="M43" s="943">
        <f>industrie!L22</f>
        <v>0</v>
      </c>
      <c r="N43" s="943">
        <f>industrie!M22</f>
        <v>0</v>
      </c>
      <c r="O43" s="943">
        <f>industrie!N22</f>
        <v>0</v>
      </c>
      <c r="P43" s="943">
        <f>industrie!O22</f>
        <v>0</v>
      </c>
      <c r="Q43" s="703">
        <f>industrie!P22</f>
        <v>0</v>
      </c>
      <c r="R43" s="777">
        <f t="shared" ca="1" si="4"/>
        <v>5650.9948028537583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5523.4649475185342</v>
      </c>
      <c r="D46" s="661">
        <f t="shared" ref="D46:Q46" ca="1" si="5">SUM(D39:D45)</f>
        <v>0</v>
      </c>
      <c r="E46" s="661">
        <f t="shared" ca="1" si="5"/>
        <v>14676.268930486065</v>
      </c>
      <c r="F46" s="661">
        <f t="shared" si="5"/>
        <v>838.16853453323051</v>
      </c>
      <c r="G46" s="661">
        <f t="shared" ca="1" si="5"/>
        <v>12085.741979607939</v>
      </c>
      <c r="H46" s="661">
        <f t="shared" si="5"/>
        <v>0</v>
      </c>
      <c r="I46" s="661">
        <f t="shared" si="5"/>
        <v>0</v>
      </c>
      <c r="J46" s="661">
        <f t="shared" si="5"/>
        <v>0</v>
      </c>
      <c r="K46" s="661">
        <f t="shared" si="5"/>
        <v>226.44118331534025</v>
      </c>
      <c r="L46" s="661">
        <f t="shared" si="5"/>
        <v>0</v>
      </c>
      <c r="M46" s="661">
        <f t="shared" ca="1" si="5"/>
        <v>0</v>
      </c>
      <c r="N46" s="661">
        <f t="shared" si="5"/>
        <v>0</v>
      </c>
      <c r="O46" s="661">
        <f t="shared" ca="1" si="5"/>
        <v>0</v>
      </c>
      <c r="P46" s="661">
        <f t="shared" si="5"/>
        <v>0</v>
      </c>
      <c r="Q46" s="661">
        <f t="shared" si="5"/>
        <v>0</v>
      </c>
      <c r="R46" s="661">
        <f ca="1">SUM(R39:R45)</f>
        <v>33350.085575461111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0.25547865935521702</v>
      </c>
      <c r="D49" s="943">
        <f ca="1">transport!C58</f>
        <v>0</v>
      </c>
      <c r="E49" s="943">
        <f>transport!D58</f>
        <v>0</v>
      </c>
      <c r="F49" s="943">
        <f>transport!E58</f>
        <v>0</v>
      </c>
      <c r="G49" s="943">
        <f>transport!F58</f>
        <v>0</v>
      </c>
      <c r="H49" s="943">
        <f>transport!G58</f>
        <v>195.82866301033383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196.08414166968905</v>
      </c>
    </row>
    <row r="50" spans="1:18">
      <c r="A50" s="753" t="s">
        <v>296</v>
      </c>
      <c r="B50" s="763"/>
      <c r="C50" s="632">
        <f ca="1">transport!B18</f>
        <v>0.7657735288449814</v>
      </c>
      <c r="D50" s="632">
        <f>transport!C18</f>
        <v>0</v>
      </c>
      <c r="E50" s="632">
        <f>transport!D18</f>
        <v>3.3780860993284056</v>
      </c>
      <c r="F50" s="632">
        <f>transport!E18</f>
        <v>40.003254769753333</v>
      </c>
      <c r="G50" s="632">
        <f>transport!F18</f>
        <v>0</v>
      </c>
      <c r="H50" s="632">
        <f>transport!G18</f>
        <v>20403.010800963402</v>
      </c>
      <c r="I50" s="632">
        <f>transport!H18</f>
        <v>2600.0104094364256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23047.168324797753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1.0212521882001984</v>
      </c>
      <c r="D52" s="661">
        <f t="shared" ref="D52:Q52" ca="1" si="6">SUM(D48:D51)</f>
        <v>0</v>
      </c>
      <c r="E52" s="661">
        <f t="shared" si="6"/>
        <v>3.3780860993284056</v>
      </c>
      <c r="F52" s="661">
        <f t="shared" si="6"/>
        <v>40.003254769753333</v>
      </c>
      <c r="G52" s="661">
        <f t="shared" si="6"/>
        <v>0</v>
      </c>
      <c r="H52" s="661">
        <f t="shared" si="6"/>
        <v>20598.839463973734</v>
      </c>
      <c r="I52" s="661">
        <f t="shared" si="6"/>
        <v>2600.0104094364256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23243.252466467442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353.84483828781754</v>
      </c>
      <c r="D54" s="632">
        <f ca="1">+landbouw!C12</f>
        <v>0</v>
      </c>
      <c r="E54" s="632">
        <f>+landbouw!D12</f>
        <v>361.02984740030246</v>
      </c>
      <c r="F54" s="632">
        <f>+landbouw!E12</f>
        <v>26.095557477585089</v>
      </c>
      <c r="G54" s="632">
        <f>+landbouw!F12</f>
        <v>4642.9441346464391</v>
      </c>
      <c r="H54" s="632">
        <f>+landbouw!G12</f>
        <v>0</v>
      </c>
      <c r="I54" s="632">
        <f>+landbouw!H12</f>
        <v>0</v>
      </c>
      <c r="J54" s="632">
        <f>+landbouw!I12</f>
        <v>0</v>
      </c>
      <c r="K54" s="632">
        <f>+landbouw!J12</f>
        <v>182.85279997166535</v>
      </c>
      <c r="L54" s="632">
        <f>+landbouw!K12</f>
        <v>0</v>
      </c>
      <c r="M54" s="632">
        <f>+landbouw!L12</f>
        <v>0</v>
      </c>
      <c r="N54" s="632">
        <f>+landbouw!M12</f>
        <v>0</v>
      </c>
      <c r="O54" s="632">
        <f>+landbouw!N12</f>
        <v>0</v>
      </c>
      <c r="P54" s="632">
        <f>+landbouw!O12</f>
        <v>0</v>
      </c>
      <c r="Q54" s="633">
        <f>+landbouw!P12</f>
        <v>0</v>
      </c>
      <c r="R54" s="660">
        <f ca="1">SUM(C54:Q54)</f>
        <v>5566.7671777838095</v>
      </c>
    </row>
    <row r="55" spans="1:18" ht="15" thickBot="1">
      <c r="A55" s="753" t="s">
        <v>802</v>
      </c>
      <c r="B55" s="763"/>
      <c r="C55" s="632">
        <f ca="1">C25*'EF ele_warmte'!B12</f>
        <v>53.734392391836415</v>
      </c>
      <c r="D55" s="632"/>
      <c r="E55" s="632">
        <f>E25*EF_CO2_aardgas</f>
        <v>432.32886366782134</v>
      </c>
      <c r="F55" s="632"/>
      <c r="G55" s="632"/>
      <c r="H55" s="632"/>
      <c r="I55" s="632"/>
      <c r="J55" s="632"/>
      <c r="K55" s="632"/>
      <c r="L55" s="632"/>
      <c r="M55" s="632"/>
      <c r="N55" s="632"/>
      <c r="O55" s="632"/>
      <c r="P55" s="632"/>
      <c r="Q55" s="633"/>
      <c r="R55" s="660">
        <f ca="1">SUM(C55:Q55)</f>
        <v>486.06325605965776</v>
      </c>
    </row>
    <row r="56" spans="1:18" ht="15.75" thickBot="1">
      <c r="A56" s="751" t="s">
        <v>803</v>
      </c>
      <c r="B56" s="764"/>
      <c r="C56" s="661">
        <f ca="1">SUM(C54:C55)</f>
        <v>407.57923067965396</v>
      </c>
      <c r="D56" s="661">
        <f t="shared" ref="D56:Q56" ca="1" si="7">SUM(D54:D55)</f>
        <v>0</v>
      </c>
      <c r="E56" s="661">
        <f t="shared" si="7"/>
        <v>793.35871106812374</v>
      </c>
      <c r="F56" s="661">
        <f t="shared" si="7"/>
        <v>26.095557477585089</v>
      </c>
      <c r="G56" s="661">
        <f t="shared" si="7"/>
        <v>4642.9441346464391</v>
      </c>
      <c r="H56" s="661">
        <f t="shared" si="7"/>
        <v>0</v>
      </c>
      <c r="I56" s="661">
        <f t="shared" si="7"/>
        <v>0</v>
      </c>
      <c r="J56" s="661">
        <f t="shared" si="7"/>
        <v>0</v>
      </c>
      <c r="K56" s="661">
        <f t="shared" si="7"/>
        <v>182.85279997166535</v>
      </c>
      <c r="L56" s="661">
        <f t="shared" si="7"/>
        <v>0</v>
      </c>
      <c r="M56" s="661">
        <f t="shared" si="7"/>
        <v>0</v>
      </c>
      <c r="N56" s="661">
        <f t="shared" si="7"/>
        <v>0</v>
      </c>
      <c r="O56" s="661">
        <f t="shared" si="7"/>
        <v>0</v>
      </c>
      <c r="P56" s="661">
        <f t="shared" si="7"/>
        <v>0</v>
      </c>
      <c r="Q56" s="662">
        <f t="shared" si="7"/>
        <v>0</v>
      </c>
      <c r="R56" s="663">
        <f ca="1">SUM(R54:R55)</f>
        <v>6052.8304338434673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5932.0654303863885</v>
      </c>
      <c r="D61" s="669">
        <f t="shared" ref="D61:Q61" ca="1" si="8">D46+D52+D56</f>
        <v>0</v>
      </c>
      <c r="E61" s="669">
        <f t="shared" ca="1" si="8"/>
        <v>15473.005727653517</v>
      </c>
      <c r="F61" s="669">
        <f t="shared" si="8"/>
        <v>904.26734678056891</v>
      </c>
      <c r="G61" s="669">
        <f t="shared" ca="1" si="8"/>
        <v>16728.686114254378</v>
      </c>
      <c r="H61" s="669">
        <f t="shared" si="8"/>
        <v>20598.839463973734</v>
      </c>
      <c r="I61" s="669">
        <f t="shared" si="8"/>
        <v>2600.0104094364256</v>
      </c>
      <c r="J61" s="669">
        <f t="shared" si="8"/>
        <v>0</v>
      </c>
      <c r="K61" s="669">
        <f t="shared" si="8"/>
        <v>409.29398328700563</v>
      </c>
      <c r="L61" s="669">
        <f t="shared" si="8"/>
        <v>0</v>
      </c>
      <c r="M61" s="669">
        <f t="shared" ca="1" si="8"/>
        <v>0</v>
      </c>
      <c r="N61" s="669">
        <f t="shared" si="8"/>
        <v>0</v>
      </c>
      <c r="O61" s="669">
        <f t="shared" ca="1" si="8"/>
        <v>0</v>
      </c>
      <c r="P61" s="669">
        <f t="shared" si="8"/>
        <v>0</v>
      </c>
      <c r="Q61" s="669">
        <f t="shared" si="8"/>
        <v>0</v>
      </c>
      <c r="R61" s="669">
        <f ca="1">R46+R52+R56</f>
        <v>62646.168475772021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6.6003750337590747E-2</v>
      </c>
      <c r="D63" s="710">
        <f t="shared" ca="1" si="9"/>
        <v>0</v>
      </c>
      <c r="E63" s="954">
        <f t="shared" ca="1" si="9"/>
        <v>0.20200000000000001</v>
      </c>
      <c r="F63" s="710">
        <f t="shared" si="9"/>
        <v>0.22700000000000004</v>
      </c>
      <c r="G63" s="710">
        <f t="shared" ca="1" si="9"/>
        <v>0.26700000000000002</v>
      </c>
      <c r="H63" s="710">
        <f t="shared" si="9"/>
        <v>0.26699999999999996</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24176.78066596196</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8057.9665827638146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30798</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36232.941176470587</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63032.747248725776</v>
      </c>
      <c r="C78" s="684">
        <f>SUM(C72:C77)</f>
        <v>0</v>
      </c>
      <c r="D78" s="685">
        <f t="shared" ref="D78:H78" si="10">SUM(D76:D77)</f>
        <v>0</v>
      </c>
      <c r="E78" s="685">
        <f t="shared" si="10"/>
        <v>0</v>
      </c>
      <c r="F78" s="685">
        <f t="shared" si="10"/>
        <v>0</v>
      </c>
      <c r="G78" s="685">
        <f t="shared" si="10"/>
        <v>0</v>
      </c>
      <c r="H78" s="685">
        <f t="shared" si="10"/>
        <v>0</v>
      </c>
      <c r="I78" s="685">
        <f>SUM(I76:I77)</f>
        <v>0</v>
      </c>
      <c r="J78" s="685">
        <f>SUM(J76:J77)</f>
        <v>36232.941176470587</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43997.142857142855</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51761.344537815123</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43997.142857142855</v>
      </c>
      <c r="C90" s="684">
        <f>SUM(C87:C89)</f>
        <v>0</v>
      </c>
      <c r="D90" s="684">
        <f t="shared" ref="D90:H90" si="12">SUM(D87:D89)</f>
        <v>0</v>
      </c>
      <c r="E90" s="684">
        <f t="shared" si="12"/>
        <v>0</v>
      </c>
      <c r="F90" s="684">
        <f t="shared" si="12"/>
        <v>0</v>
      </c>
      <c r="G90" s="684">
        <f t="shared" si="12"/>
        <v>0</v>
      </c>
      <c r="H90" s="684">
        <f t="shared" si="12"/>
        <v>0</v>
      </c>
      <c r="I90" s="684">
        <f>SUM(I87:I89)</f>
        <v>0</v>
      </c>
      <c r="J90" s="684">
        <f>SUM(J87:J89)</f>
        <v>51761.344537815123</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21730.703654301891</v>
      </c>
      <c r="C4" s="442">
        <f>huishoudens!C8</f>
        <v>0</v>
      </c>
      <c r="D4" s="442">
        <f>huishoudens!D8</f>
        <v>53241.399409312675</v>
      </c>
      <c r="E4" s="442">
        <f>huishoudens!E8</f>
        <v>827.70002472705357</v>
      </c>
      <c r="F4" s="442">
        <f>huishoudens!F8</f>
        <v>26111.353517226649</v>
      </c>
      <c r="G4" s="442">
        <f>huishoudens!G8</f>
        <v>0</v>
      </c>
      <c r="H4" s="442">
        <f>huishoudens!H8</f>
        <v>0</v>
      </c>
      <c r="I4" s="442">
        <f>huishoudens!I8</f>
        <v>0</v>
      </c>
      <c r="J4" s="442">
        <f>huishoudens!J8</f>
        <v>608.91577762846225</v>
      </c>
      <c r="K4" s="442">
        <f>huishoudens!K8</f>
        <v>0</v>
      </c>
      <c r="L4" s="442">
        <f>huishoudens!L8</f>
        <v>0</v>
      </c>
      <c r="M4" s="442">
        <f>huishoudens!M8</f>
        <v>0</v>
      </c>
      <c r="N4" s="442">
        <f>huishoudens!N8</f>
        <v>5784.0171176205622</v>
      </c>
      <c r="O4" s="442">
        <f>huishoudens!O8</f>
        <v>253.26</v>
      </c>
      <c r="P4" s="443">
        <f>huishoudens!P8</f>
        <v>705.4666666666667</v>
      </c>
      <c r="Q4" s="444">
        <f>SUM(B4:P4)</f>
        <v>109262.81616748395</v>
      </c>
    </row>
    <row r="5" spans="1:17">
      <c r="A5" s="441" t="s">
        <v>149</v>
      </c>
      <c r="B5" s="442">
        <f ca="1">tertiair!B16</f>
        <v>41787.548779999997</v>
      </c>
      <c r="C5" s="442">
        <f ca="1">tertiair!C16</f>
        <v>0</v>
      </c>
      <c r="D5" s="442">
        <f ca="1">tertiair!D16</f>
        <v>11989.590247747936</v>
      </c>
      <c r="E5" s="442">
        <f>tertiair!E16</f>
        <v>648.08337749007387</v>
      </c>
      <c r="F5" s="442">
        <f ca="1">tertiair!F16</f>
        <v>10314.4221937985</v>
      </c>
      <c r="G5" s="442">
        <f>tertiair!G16</f>
        <v>0</v>
      </c>
      <c r="H5" s="442">
        <f>tertiair!H16</f>
        <v>0</v>
      </c>
      <c r="I5" s="442">
        <f>tertiair!I16</f>
        <v>0</v>
      </c>
      <c r="J5" s="442">
        <f>tertiair!J16</f>
        <v>0</v>
      </c>
      <c r="K5" s="442">
        <f>tertiair!K16</f>
        <v>0</v>
      </c>
      <c r="L5" s="442">
        <f ca="1">tertiair!L16</f>
        <v>0</v>
      </c>
      <c r="M5" s="442">
        <f>tertiair!M16</f>
        <v>0</v>
      </c>
      <c r="N5" s="442">
        <f ca="1">tertiair!N16</f>
        <v>3562.7468486916127</v>
      </c>
      <c r="O5" s="442">
        <f>tertiair!O16</f>
        <v>7.8166666666666664</v>
      </c>
      <c r="P5" s="443">
        <f>tertiair!P16</f>
        <v>38.133333333333333</v>
      </c>
      <c r="Q5" s="441">
        <f t="shared" ref="Q5:Q14" ca="1" si="0">SUM(B5:P5)</f>
        <v>68348.341447728119</v>
      </c>
    </row>
    <row r="6" spans="1:17">
      <c r="A6" s="441" t="s">
        <v>187</v>
      </c>
      <c r="B6" s="442">
        <f>'openbare verlichting'!B8</f>
        <v>814.3</v>
      </c>
      <c r="C6" s="442"/>
      <c r="D6" s="442"/>
      <c r="E6" s="442"/>
      <c r="F6" s="442"/>
      <c r="G6" s="442"/>
      <c r="H6" s="442"/>
      <c r="I6" s="442"/>
      <c r="J6" s="442"/>
      <c r="K6" s="442"/>
      <c r="L6" s="442"/>
      <c r="M6" s="442"/>
      <c r="N6" s="442"/>
      <c r="O6" s="442"/>
      <c r="P6" s="443"/>
      <c r="Q6" s="441">
        <f t="shared" si="0"/>
        <v>814.3</v>
      </c>
    </row>
    <row r="7" spans="1:17">
      <c r="A7" s="441" t="s">
        <v>105</v>
      </c>
      <c r="B7" s="442">
        <f>landbouw!B8</f>
        <v>5360.9807999999994</v>
      </c>
      <c r="C7" s="442">
        <f>landbouw!C8</f>
        <v>43997.142857142855</v>
      </c>
      <c r="D7" s="442">
        <f>landbouw!D8</f>
        <v>1787.2764722787249</v>
      </c>
      <c r="E7" s="442">
        <f>landbouw!E8</f>
        <v>114.95840298495634</v>
      </c>
      <c r="F7" s="442">
        <f>landbouw!F8</f>
        <v>17389.303875080295</v>
      </c>
      <c r="G7" s="442">
        <f>landbouw!G8</f>
        <v>0</v>
      </c>
      <c r="H7" s="442">
        <f>landbouw!H8</f>
        <v>0</v>
      </c>
      <c r="I7" s="442">
        <f>landbouw!I8</f>
        <v>0</v>
      </c>
      <c r="J7" s="442">
        <f>landbouw!J8</f>
        <v>516.53333325329197</v>
      </c>
      <c r="K7" s="442">
        <f>landbouw!K8</f>
        <v>0</v>
      </c>
      <c r="L7" s="442">
        <f>landbouw!L8</f>
        <v>0</v>
      </c>
      <c r="M7" s="442">
        <f>landbouw!M8</f>
        <v>0</v>
      </c>
      <c r="N7" s="442">
        <f>landbouw!N8</f>
        <v>0</v>
      </c>
      <c r="O7" s="442">
        <f>landbouw!O8</f>
        <v>0</v>
      </c>
      <c r="P7" s="443">
        <f>landbouw!P8</f>
        <v>0</v>
      </c>
      <c r="Q7" s="441">
        <f t="shared" si="0"/>
        <v>69166.195740740121</v>
      </c>
    </row>
    <row r="8" spans="1:17">
      <c r="A8" s="441" t="s">
        <v>612</v>
      </c>
      <c r="B8" s="442">
        <f>industrie!B18</f>
        <v>19351.555200000003</v>
      </c>
      <c r="C8" s="442">
        <f>industrie!C18</f>
        <v>0</v>
      </c>
      <c r="D8" s="442">
        <f>industrie!D18</f>
        <v>7423.8070285139647</v>
      </c>
      <c r="E8" s="442">
        <f>industrie!E18</f>
        <v>2216.5889966076766</v>
      </c>
      <c r="F8" s="442">
        <f>industrie!F18</f>
        <v>8839.1755234615102</v>
      </c>
      <c r="G8" s="442">
        <f>industrie!G18</f>
        <v>0</v>
      </c>
      <c r="H8" s="442">
        <f>industrie!H18</f>
        <v>0</v>
      </c>
      <c r="I8" s="442">
        <f>industrie!I18</f>
        <v>0</v>
      </c>
      <c r="J8" s="442">
        <f>industrie!J18</f>
        <v>30.748582019391598</v>
      </c>
      <c r="K8" s="442">
        <f>industrie!K18</f>
        <v>0</v>
      </c>
      <c r="L8" s="442">
        <f>industrie!L18</f>
        <v>0</v>
      </c>
      <c r="M8" s="442">
        <f>industrie!M18</f>
        <v>0</v>
      </c>
      <c r="N8" s="442">
        <f>industrie!N18</f>
        <v>1240.479800423569</v>
      </c>
      <c r="O8" s="442">
        <f>industrie!O18</f>
        <v>0</v>
      </c>
      <c r="P8" s="443">
        <f>industrie!P18</f>
        <v>0</v>
      </c>
      <c r="Q8" s="441">
        <f t="shared" si="0"/>
        <v>39102.355131026117</v>
      </c>
    </row>
    <row r="9" spans="1:17" s="447" customFormat="1">
      <c r="A9" s="445" t="s">
        <v>556</v>
      </c>
      <c r="B9" s="446">
        <f>transport!B14</f>
        <v>11.601969962740958</v>
      </c>
      <c r="C9" s="446">
        <f>transport!C14</f>
        <v>0</v>
      </c>
      <c r="D9" s="446">
        <f>transport!D14</f>
        <v>16.723198511526761</v>
      </c>
      <c r="E9" s="446">
        <f>transport!E14</f>
        <v>176.22579193723934</v>
      </c>
      <c r="F9" s="446">
        <f>transport!F14</f>
        <v>0</v>
      </c>
      <c r="G9" s="446">
        <f>transport!G14</f>
        <v>76415.770790125098</v>
      </c>
      <c r="H9" s="446">
        <f>transport!H14</f>
        <v>10441.808873238657</v>
      </c>
      <c r="I9" s="446">
        <f>transport!I14</f>
        <v>0</v>
      </c>
      <c r="J9" s="446">
        <f>transport!J14</f>
        <v>0</v>
      </c>
      <c r="K9" s="446">
        <f>transport!K14</f>
        <v>0</v>
      </c>
      <c r="L9" s="446">
        <f>transport!L14</f>
        <v>0</v>
      </c>
      <c r="M9" s="446">
        <f>transport!M14</f>
        <v>4748.8737287335798</v>
      </c>
      <c r="N9" s="446">
        <f>transport!N14</f>
        <v>0</v>
      </c>
      <c r="O9" s="446">
        <f>transport!O14</f>
        <v>0</v>
      </c>
      <c r="P9" s="446">
        <f>transport!P14</f>
        <v>0</v>
      </c>
      <c r="Q9" s="445">
        <f>SUM(B9:P9)</f>
        <v>91811.00435250884</v>
      </c>
    </row>
    <row r="10" spans="1:17">
      <c r="A10" s="441" t="s">
        <v>546</v>
      </c>
      <c r="B10" s="442">
        <f>transport!B54</f>
        <v>3.8706688339452677</v>
      </c>
      <c r="C10" s="442">
        <f>transport!C54</f>
        <v>0</v>
      </c>
      <c r="D10" s="442">
        <f>transport!D54</f>
        <v>0</v>
      </c>
      <c r="E10" s="442">
        <f>transport!E54</f>
        <v>0</v>
      </c>
      <c r="F10" s="442">
        <f>transport!F54</f>
        <v>0</v>
      </c>
      <c r="G10" s="442">
        <f>transport!G54</f>
        <v>733.44068543196181</v>
      </c>
      <c r="H10" s="442">
        <f>transport!H54</f>
        <v>0</v>
      </c>
      <c r="I10" s="442">
        <f>transport!I54</f>
        <v>0</v>
      </c>
      <c r="J10" s="442">
        <f>transport!J54</f>
        <v>0</v>
      </c>
      <c r="K10" s="442">
        <f>transport!K54</f>
        <v>0</v>
      </c>
      <c r="L10" s="442">
        <f>transport!L54</f>
        <v>0</v>
      </c>
      <c r="M10" s="442">
        <f>transport!M54</f>
        <v>42.222739808691635</v>
      </c>
      <c r="N10" s="442">
        <f>transport!N54</f>
        <v>0</v>
      </c>
      <c r="O10" s="442">
        <f>transport!O54</f>
        <v>0</v>
      </c>
      <c r="P10" s="443">
        <f>transport!P54</f>
        <v>0</v>
      </c>
      <c r="Q10" s="441">
        <f t="shared" si="0"/>
        <v>779.53409407459867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814.11119999999994</v>
      </c>
      <c r="C14" s="449"/>
      <c r="D14" s="449">
        <f>'SEAP template'!E25</f>
        <v>2140.2418993456499</v>
      </c>
      <c r="E14" s="449"/>
      <c r="F14" s="449"/>
      <c r="G14" s="449"/>
      <c r="H14" s="449"/>
      <c r="I14" s="449"/>
      <c r="J14" s="449"/>
      <c r="K14" s="449"/>
      <c r="L14" s="449"/>
      <c r="M14" s="449"/>
      <c r="N14" s="449"/>
      <c r="O14" s="449"/>
      <c r="P14" s="450"/>
      <c r="Q14" s="441">
        <f t="shared" si="0"/>
        <v>2954.3530993456498</v>
      </c>
    </row>
    <row r="15" spans="1:17" s="451" customFormat="1">
      <c r="A15" s="969" t="s">
        <v>550</v>
      </c>
      <c r="B15" s="909">
        <f ca="1">SUM(B4:B14)</f>
        <v>89874.672273098578</v>
      </c>
      <c r="C15" s="909">
        <f t="shared" ref="C15:Q15" ca="1" si="1">SUM(C4:C14)</f>
        <v>43997.142857142855</v>
      </c>
      <c r="D15" s="909">
        <f t="shared" ca="1" si="1"/>
        <v>76599.038255710475</v>
      </c>
      <c r="E15" s="909">
        <f t="shared" si="1"/>
        <v>3983.5565937469996</v>
      </c>
      <c r="F15" s="909">
        <f t="shared" ca="1" si="1"/>
        <v>62654.255109566955</v>
      </c>
      <c r="G15" s="909">
        <f t="shared" si="1"/>
        <v>77149.211475557066</v>
      </c>
      <c r="H15" s="909">
        <f t="shared" si="1"/>
        <v>10441.808873238657</v>
      </c>
      <c r="I15" s="909">
        <f t="shared" si="1"/>
        <v>0</v>
      </c>
      <c r="J15" s="909">
        <f t="shared" si="1"/>
        <v>1156.1976929011457</v>
      </c>
      <c r="K15" s="909">
        <f t="shared" si="1"/>
        <v>0</v>
      </c>
      <c r="L15" s="909">
        <f t="shared" ca="1" si="1"/>
        <v>0</v>
      </c>
      <c r="M15" s="909">
        <f t="shared" si="1"/>
        <v>4791.0964685422714</v>
      </c>
      <c r="N15" s="909">
        <f t="shared" ca="1" si="1"/>
        <v>10587.243766735744</v>
      </c>
      <c r="O15" s="909">
        <f t="shared" si="1"/>
        <v>261.07666666666665</v>
      </c>
      <c r="P15" s="909">
        <f t="shared" si="1"/>
        <v>743.6</v>
      </c>
      <c r="Q15" s="909">
        <f t="shared" ca="1" si="1"/>
        <v>382238.90003290743</v>
      </c>
    </row>
    <row r="17" spans="1:17">
      <c r="A17" s="452" t="s">
        <v>551</v>
      </c>
      <c r="B17" s="715">
        <f ca="1">huishoudens!B10</f>
        <v>6.6003750337590761E-2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1434.3079386587133</v>
      </c>
      <c r="C22" s="442">
        <f t="shared" ref="C22:C32" ca="1" si="3">C4*$C$17</f>
        <v>0</v>
      </c>
      <c r="D22" s="442">
        <f t="shared" ref="D22:D32" si="4">D4*$D$17</f>
        <v>10754.76268068116</v>
      </c>
      <c r="E22" s="442">
        <f t="shared" ref="E22:E32" si="5">E4*$E$17</f>
        <v>187.88790561304117</v>
      </c>
      <c r="F22" s="442">
        <f t="shared" ref="F22:F32" si="6">F4*$F$17</f>
        <v>6971.7313890995156</v>
      </c>
      <c r="G22" s="442">
        <f t="shared" ref="G22:G32" si="7">G4*$G$17</f>
        <v>0</v>
      </c>
      <c r="H22" s="442">
        <f t="shared" ref="H22:H32" si="8">H4*$H$17</f>
        <v>0</v>
      </c>
      <c r="I22" s="442">
        <f t="shared" ref="I22:I32" si="9">I4*$I$17</f>
        <v>0</v>
      </c>
      <c r="J22" s="442">
        <f t="shared" ref="J22:J32" si="10">J4*$J$17</f>
        <v>215.55618528047563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19564.246099332904</v>
      </c>
    </row>
    <row r="23" spans="1:17">
      <c r="A23" s="441" t="s">
        <v>149</v>
      </c>
      <c r="B23" s="442">
        <f t="shared" ca="1" si="2"/>
        <v>2758.134936895015</v>
      </c>
      <c r="C23" s="442">
        <f t="shared" ca="1" si="3"/>
        <v>0</v>
      </c>
      <c r="D23" s="442">
        <f t="shared" ca="1" si="4"/>
        <v>2421.8972300450832</v>
      </c>
      <c r="E23" s="442">
        <f t="shared" si="5"/>
        <v>147.11492669024676</v>
      </c>
      <c r="F23" s="442">
        <f t="shared" ca="1" si="6"/>
        <v>2753.9507257441996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8081.097819374545</v>
      </c>
    </row>
    <row r="24" spans="1:17">
      <c r="A24" s="441" t="s">
        <v>187</v>
      </c>
      <c r="B24" s="442">
        <f t="shared" ca="1" si="2"/>
        <v>53.746853899900152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53.746853899900152</v>
      </c>
    </row>
    <row r="25" spans="1:17">
      <c r="A25" s="441" t="s">
        <v>105</v>
      </c>
      <c r="B25" s="442">
        <f t="shared" ca="1" si="2"/>
        <v>353.84483828781754</v>
      </c>
      <c r="C25" s="442">
        <f t="shared" ca="1" si="3"/>
        <v>0</v>
      </c>
      <c r="D25" s="442">
        <f t="shared" si="4"/>
        <v>361.02984740030246</v>
      </c>
      <c r="E25" s="442">
        <f t="shared" si="5"/>
        <v>26.095557477585089</v>
      </c>
      <c r="F25" s="442">
        <f t="shared" si="6"/>
        <v>4642.9441346464391</v>
      </c>
      <c r="G25" s="442">
        <f t="shared" si="7"/>
        <v>0</v>
      </c>
      <c r="H25" s="442">
        <f t="shared" si="8"/>
        <v>0</v>
      </c>
      <c r="I25" s="442">
        <f t="shared" si="9"/>
        <v>0</v>
      </c>
      <c r="J25" s="442">
        <f t="shared" si="10"/>
        <v>182.85279997166535</v>
      </c>
      <c r="K25" s="442">
        <f t="shared" si="11"/>
        <v>0</v>
      </c>
      <c r="L25" s="442">
        <f t="shared" si="12"/>
        <v>0</v>
      </c>
      <c r="M25" s="442">
        <f t="shared" si="13"/>
        <v>0</v>
      </c>
      <c r="N25" s="442">
        <f t="shared" si="14"/>
        <v>0</v>
      </c>
      <c r="O25" s="442">
        <f t="shared" si="15"/>
        <v>0</v>
      </c>
      <c r="P25" s="443">
        <f t="shared" si="16"/>
        <v>0</v>
      </c>
      <c r="Q25" s="441">
        <f t="shared" ca="1" si="17"/>
        <v>5566.7671777838095</v>
      </c>
    </row>
    <row r="26" spans="1:17">
      <c r="A26" s="441" t="s">
        <v>612</v>
      </c>
      <c r="B26" s="442">
        <f t="shared" ca="1" si="2"/>
        <v>1277.2752180649063</v>
      </c>
      <c r="C26" s="442">
        <f t="shared" ca="1" si="3"/>
        <v>0</v>
      </c>
      <c r="D26" s="442">
        <f t="shared" si="4"/>
        <v>1499.609019759821</v>
      </c>
      <c r="E26" s="442">
        <f t="shared" si="5"/>
        <v>503.16570222994261</v>
      </c>
      <c r="F26" s="442">
        <f t="shared" si="6"/>
        <v>2360.0598647642232</v>
      </c>
      <c r="G26" s="442">
        <f t="shared" si="7"/>
        <v>0</v>
      </c>
      <c r="H26" s="442">
        <f t="shared" si="8"/>
        <v>0</v>
      </c>
      <c r="I26" s="442">
        <f t="shared" si="9"/>
        <v>0</v>
      </c>
      <c r="J26" s="442">
        <f t="shared" si="10"/>
        <v>10.884998034864624</v>
      </c>
      <c r="K26" s="442">
        <f t="shared" si="11"/>
        <v>0</v>
      </c>
      <c r="L26" s="442">
        <f t="shared" si="12"/>
        <v>0</v>
      </c>
      <c r="M26" s="442">
        <f t="shared" si="13"/>
        <v>0</v>
      </c>
      <c r="N26" s="442">
        <f t="shared" si="14"/>
        <v>0</v>
      </c>
      <c r="O26" s="442">
        <f t="shared" si="15"/>
        <v>0</v>
      </c>
      <c r="P26" s="443">
        <f t="shared" si="16"/>
        <v>0</v>
      </c>
      <c r="Q26" s="441">
        <f t="shared" ca="1" si="17"/>
        <v>5650.9948028537583</v>
      </c>
    </row>
    <row r="27" spans="1:17" s="447" customFormat="1">
      <c r="A27" s="445" t="s">
        <v>556</v>
      </c>
      <c r="B27" s="709">
        <f t="shared" ca="1" si="2"/>
        <v>0.7657735288449814</v>
      </c>
      <c r="C27" s="446">
        <f t="shared" ca="1" si="3"/>
        <v>0</v>
      </c>
      <c r="D27" s="446">
        <f t="shared" si="4"/>
        <v>3.3780860993284056</v>
      </c>
      <c r="E27" s="446">
        <f t="shared" si="5"/>
        <v>40.003254769753333</v>
      </c>
      <c r="F27" s="446">
        <f t="shared" si="6"/>
        <v>0</v>
      </c>
      <c r="G27" s="446">
        <f t="shared" si="7"/>
        <v>20403.010800963402</v>
      </c>
      <c r="H27" s="446">
        <f t="shared" si="8"/>
        <v>2600.0104094364256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23047.168324797753</v>
      </c>
    </row>
    <row r="28" spans="1:17">
      <c r="A28" s="441" t="s">
        <v>546</v>
      </c>
      <c r="B28" s="442">
        <f t="shared" ca="1" si="2"/>
        <v>0.25547865935521702</v>
      </c>
      <c r="C28" s="442">
        <f t="shared" ca="1" si="3"/>
        <v>0</v>
      </c>
      <c r="D28" s="442">
        <f t="shared" si="4"/>
        <v>0</v>
      </c>
      <c r="E28" s="442">
        <f t="shared" si="5"/>
        <v>0</v>
      </c>
      <c r="F28" s="442">
        <f t="shared" si="6"/>
        <v>0</v>
      </c>
      <c r="G28" s="442">
        <f t="shared" si="7"/>
        <v>195.82866301033383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196.08414166968905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53.734392391836415</v>
      </c>
      <c r="C32" s="442">
        <f t="shared" ca="1" si="3"/>
        <v>0</v>
      </c>
      <c r="D32" s="442">
        <f t="shared" si="4"/>
        <v>432.32886366782134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486.06325605965776</v>
      </c>
    </row>
    <row r="33" spans="1:17" s="451" customFormat="1">
      <c r="A33" s="969" t="s">
        <v>550</v>
      </c>
      <c r="B33" s="909">
        <f ca="1">SUM(B22:B32)</f>
        <v>5932.0654303863885</v>
      </c>
      <c r="C33" s="909">
        <f t="shared" ref="C33:Q33" ca="1" si="18">SUM(C22:C32)</f>
        <v>0</v>
      </c>
      <c r="D33" s="909">
        <f t="shared" ca="1" si="18"/>
        <v>15473.005727653517</v>
      </c>
      <c r="E33" s="909">
        <f t="shared" si="18"/>
        <v>904.26734678056891</v>
      </c>
      <c r="F33" s="909">
        <f t="shared" ca="1" si="18"/>
        <v>16728.686114254378</v>
      </c>
      <c r="G33" s="909">
        <f t="shared" si="18"/>
        <v>20598.839463973734</v>
      </c>
      <c r="H33" s="909">
        <f t="shared" si="18"/>
        <v>2600.0104094364256</v>
      </c>
      <c r="I33" s="909">
        <f t="shared" si="18"/>
        <v>0</v>
      </c>
      <c r="J33" s="909">
        <f t="shared" si="18"/>
        <v>409.29398328700557</v>
      </c>
      <c r="K33" s="909">
        <f t="shared" si="18"/>
        <v>0</v>
      </c>
      <c r="L33" s="909">
        <f t="shared" ca="1" si="18"/>
        <v>0</v>
      </c>
      <c r="M33" s="909">
        <f t="shared" si="18"/>
        <v>0</v>
      </c>
      <c r="N33" s="909">
        <f t="shared" ca="1" si="18"/>
        <v>0</v>
      </c>
      <c r="O33" s="909">
        <f t="shared" si="18"/>
        <v>0</v>
      </c>
      <c r="P33" s="909">
        <f t="shared" si="18"/>
        <v>0</v>
      </c>
      <c r="Q33" s="909">
        <f t="shared" ca="1" si="18"/>
        <v>62646.168475772014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24176.78066596196</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8057.9665827638146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30798</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36232.941176470587</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63032.747248725776</v>
      </c>
      <c r="C10" s="990">
        <f>SUM(C4:C9)</f>
        <v>0</v>
      </c>
      <c r="D10" s="990">
        <f t="shared" ref="D10:H10" si="0">SUM(D8:D9)</f>
        <v>0</v>
      </c>
      <c r="E10" s="990">
        <f t="shared" si="0"/>
        <v>0</v>
      </c>
      <c r="F10" s="990">
        <f t="shared" si="0"/>
        <v>0</v>
      </c>
      <c r="G10" s="990">
        <f t="shared" si="0"/>
        <v>0</v>
      </c>
      <c r="H10" s="990">
        <f t="shared" si="0"/>
        <v>0</v>
      </c>
      <c r="I10" s="990">
        <f>SUM(I8:I9)</f>
        <v>0</v>
      </c>
      <c r="J10" s="990">
        <f>SUM(J8:J9)</f>
        <v>36232.941176470587</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6.6003750337590761E-2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43997.142857142855</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51761.344537815123</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43997.142857142855</v>
      </c>
      <c r="C20" s="990">
        <f>SUM(C17:C19)</f>
        <v>0</v>
      </c>
      <c r="D20" s="990">
        <f t="shared" ref="D20:H20" si="2">SUM(D17:D19)</f>
        <v>0</v>
      </c>
      <c r="E20" s="990">
        <f t="shared" si="2"/>
        <v>0</v>
      </c>
      <c r="F20" s="990">
        <f t="shared" si="2"/>
        <v>0</v>
      </c>
      <c r="G20" s="990">
        <f t="shared" si="2"/>
        <v>0</v>
      </c>
      <c r="H20" s="990">
        <f t="shared" si="2"/>
        <v>0</v>
      </c>
      <c r="I20" s="990">
        <f>SUM(I17:I19)</f>
        <v>0</v>
      </c>
      <c r="J20" s="990">
        <f>SUM(J17:J19)</f>
        <v>51761.344537815123</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6.6003750337590761E-2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2022-07-26T11:26:06Z</dcterms:modified>
</cp:coreProperties>
</file>