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2E3144ED-7C1F-4F7D-A06A-8366FADCA57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<sst xmlns="http://schemas.openxmlformats.org/spreadsheetml/2006/main" count="2441" uniqueCount="908">
  <si>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</si>
  <si>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</si>
  <si>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</si>
  <si>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</si>
  <si>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</si>
  <si>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</si>
  <si>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</si>
  <si>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</si>
  <si>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</si>
  <si>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</si>
  <si>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</si>
  <si>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</si>
  <si>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</si>
  <si>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</si>
  <si>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</si>
  <si>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</si>
  <si>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</si>
  <si>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</si>
  <si>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</si>
  <si>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</si>
  <si>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</si>
  <si>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</si>
  <si>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</si>
  <si>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</si>
  <si>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</si>
  <si>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</si>
  <si>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</si>
  <si>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</si>
  <si>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</si>
  <si>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</si>
  <si>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</si>
  <si>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</si>
  <si>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</si>
  <si>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</si>
  <si>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</si>
  <si>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</si>
  <si>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</si>
  <si>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</si>
  <si>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</si>
  <si>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</si>
  <si>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</si>
  <si>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</si>
  <si>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</si>
  <si>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</si>
  <si>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</si>
  <si>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</si>
  <si>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</si>
  <si>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</si>
  <si>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</si>
  <si>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</si>
  <si>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</si>
  <si>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</si>
  <si>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</si>
  <si>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</si>
  <si>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</si>
  <si>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</si>
  <si>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</si>
  <si>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</si>
  <si>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</si>
  <si>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</si>
  <si>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</si>
  <si>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</si>
  <si>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</si>
  <si>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</si>
  <si>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</si>
  <si>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</si>
  <si>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</si>
  <si>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</si>
  <si>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</si>
  <si>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</si>
  <si>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</si>
  <si>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</si>
  <si>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</si>
  <si>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</si>
  <si>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</si>
  <si>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</si>
  <si>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</si>
  <si>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</si>
  <si>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</si>
  <si>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</si>
  <si>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</si>
  <si>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</si>
  <si>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</si>
  <si>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</si>
  <si>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</si>
  <si>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</si>
  <si>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</si>
  <si>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</si>
  <si>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</si>
  <si>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</si>
  <si>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</si>
  <si>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</si>
  <si>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</si>
  <si>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</si>
  <si>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</si>
  <si>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</si>
  <si>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</si>
  <si>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</si>
  <si>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</si>
  <si>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</si>
  <si>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</si>
  <si>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</si>
  <si>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</si>
  <si>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</si>
  <si>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</si>
  <si>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</si>
  <si>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</si>
  <si>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</si>
  <si>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</si>
  <si>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</si>
  <si>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</si>
  <si>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</si>
  <si>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</si>
  <si>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</si>
  <si>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</si>
  <si>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</si>
  <si>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</si>
  <si>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</si>
  <si>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</si>
  <si>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</si>
  <si>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</si>
  <si>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</si>
  <si>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</si>
  <si>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</si>
  <si>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</si>
  <si>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</si>
  <si>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</si>
  <si>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</si>
  <si>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</si>
  <si>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</si>
  <si>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</si>
  <si>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</si>
  <si>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</si>
  <si>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</si>
  <si>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</si>
  <si>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</si>
  <si>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</si>
  <si>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</si>
  <si>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</si>
  <si>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</si>
  <si>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</si>
  <si>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</si>
  <si>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</si>
  <si>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</si>
  <si>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</si>
  <si>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</si>
  <si>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</si>
  <si>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</si>
  <si>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</si>
  <si>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</si>
  <si>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</si>
  <si>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</si>
  <si>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</si>
  <si>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</si>
  <si>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</si>
  <si>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</si>
  <si>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</si>
  <si>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</si>
  <si>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</si>
  <si>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</si>
  <si>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</si>
  <si>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</si>
  <si>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</si>
  <si>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</si>
  <si>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</si>
  <si>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</si>
  <si>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</si>
  <si>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</si>
  <si>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</si>
  <si>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</si>
  <si>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</si>
  <si>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</si>
  <si>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</si>
  <si>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</si>
  <si>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</si>
  <si>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</si>
  <si>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</si>
  <si>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</si>
  <si>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</si>
  <si>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</si>
  <si>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</si>
  <si>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</si>
  <si>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</si>
  <si>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</si>
  <si>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</si>
  <si>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</si>
  <si>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</si>
  <si>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</si>
  <si>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</si>
  <si>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</si>
  <si>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</si>
  <si>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</si>
  <si>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</si>
  <si>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</si>
  <si>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</si>
  <si>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</si>
  <si>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</si>
  <si>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</si>
  <si>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</si>
  <si>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</si>
  <si>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</si>
  <si>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</si>
  <si>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</si>
  <si>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</si>
  <si>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</si>
  <si>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</si>
  <si>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</si>
  <si>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</si>
  <si>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</si>
  <si>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</si>
  <si>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</si>
  <si>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</si>
  <si>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</si>
  <si>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</si>
  <si>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</si>
  <si>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</si>
  <si>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</si>
  <si>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</si>
  <si>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</si>
  <si>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</si>
  <si>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</si>
  <si>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</si>
  <si>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</si>
  <si>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</si>
  <si>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</si>
  <si>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</si>
  <si>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</si>
  <si>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</si>
  <si>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</si>
  <si>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</si>
  <si>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</si>
  <si>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</si>
  <si>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</si>
  <si>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</si>
  <si>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</si>
  <si>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</si>
  <si>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</si>
  <si>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</si>
  <si>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</si>
  <si>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</si>
  <si>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</si>
  <si>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</si>
  <si>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</si>
  <si>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</si>
  <si>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</si>
  <si>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</si>
  <si>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</si>
  <si>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</si>
  <si>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</si>
  <si>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</si>
  <si>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</si>
  <si>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</si>
  <si>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</si>
  <si>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</si>
  <si>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</si>
  <si>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</si>
  <si>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</si>
  <si>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</si>
  <si>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</si>
  <si>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</si>
  <si>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</si>
  <si>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</si>
  <si>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</si>
  <si>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</si>
  <si>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</si>
  <si>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</si>
  <si>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</si>
  <si>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</si>
  <si>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</si>
  <si>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</si>
  <si>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</si>
  <si>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</si>
  <si>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</si>
  <si>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</si>
  <si>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</si>
  <si>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</si>
  <si>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</si>
  <si>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</si>
  <si>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</si>
  <si>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</si>
  <si>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</si>
  <si>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</si>
  <si>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</si>
  <si>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</si>
  <si>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</si>
  <si>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</si>
  <si>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</si>
  <si>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</si>
  <si>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</si>
  <si>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</si>
  <si>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</si>
  <si>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</si>
  <si>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</si>
  <si>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</si>
  <si>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</si>
  <si>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</si>
  <si>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</si>
  <si>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</si>
  <si>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</si>
  <si>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</si>
  <si>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</si>
  <si>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</si>
  <si>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</si>
  <si>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</si>
  <si>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</si>
  <si>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</si>
  <si>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</si>
  <si>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</si>
  <si>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</si>
  <si>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</si>
  <si>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</si>
  <si>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</si>
  <si>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</si>
  <si>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</si>
  <si>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</si>
  <si>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</si>
  <si>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</si>
  <si>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</si>
  <si>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</si>
  <si>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</si>
  <si>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</si>
  <si>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</si>
  <si>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</si>
  <si>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</si>
  <si>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</si>
  <si>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</si>
  <si>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</si>
  <si>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</si>
  <si>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</si>
  <si>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</si>
  <si>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</si>
  <si>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</si>
  <si>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</si>
  <si>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</si>
  <si>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</si>
  <si>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</si>
  <si>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</si>
  <si>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</si>
  <si>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</si>
  <si>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</si>
  <si>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</si>
  <si>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</si>
  <si>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</si>
  <si>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</si>
  <si>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</si>
  <si>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</si>
  <si>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</si>
  <si>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</si>
  <si>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</si>
  <si>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</si>
  <si>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</si>
  <si>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</si>
  <si>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</si>
  <si>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</si>
  <si>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</si>
  <si>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</si>
  <si>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</si>
  <si>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</si>
  <si>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</si>
  <si>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</si>
  <si>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</si>
  <si>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</si>
  <si>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</si>
  <si>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</si>
  <si>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</si>
  <si>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</si>
  <si>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</si>
  <si>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</si>
  <si>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</si>
  <si>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</si>
  <si>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</si>
  <si>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</si>
  <si>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</si>
  <si>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</si>
  <si>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</si>
  <si>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</si>
  <si>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</si>
  <si>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</si>
  <si>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</si>
  <si>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</si>
  <si>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</si>
  <si>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</si>
  <si>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</si>
  <si>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</si>
  <si>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</si>
  <si>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</si>
  <si>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</si>
  <si>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</si>
  <si>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</si>
  <si>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</si>
  <si>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</si>
  <si>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</si>
  <si>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</si>
  <si>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</si>
  <si>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</si>
  <si>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</si>
  <si>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</si>
  <si>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</si>
  <si>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</si>
  <si>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</si>
  <si>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</si>
  <si>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</si>
  <si>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</si>
  <si>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</si>
  <si>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</si>
  <si>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</si>
  <si>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</si>
  <si>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</si>
  <si>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</si>
  <si>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</si>
  <si>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</si>
  <si>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</si>
  <si>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</si>
  <si>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</si>
  <si>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</si>
  <si>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</si>
  <si>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</si>
  <si>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</si>
  <si>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</si>
  <si>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</si>
  <si>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</si>
  <si>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</si>
  <si>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</si>
  <si>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</si>
  <si>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</si>
  <si>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</si>
  <si>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</si>
  <si>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</si>
  <si>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</si>
  <si>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</si>
  <si>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</si>
  <si>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</si>
  <si>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</si>
  <si>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</si>
  <si>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</si>
  <si>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</si>
  <si>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</si>
  <si>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</si>
  <si>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</si>
  <si>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</si>
  <si>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</si>
  <si>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</si>
  <si>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</si>
  <si>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</si>
  <si>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</si>
  <si>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</si>
  <si>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</si>
  <si>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</si>
  <si>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</si>
  <si>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</si>
  <si>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</si>
  <si>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</si>
  <si>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</si>
  <si>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</si>
  <si>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</si>
  <si>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</si>
  <si>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</si>
  <si>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</si>
  <si>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</si>
  <si>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</si>
  <si>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</si>
  <si>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</si>
  <si>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</si>
  <si>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</si>
  <si>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</si>
  <si>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</si>
  <si>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</si>
  <si>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</si>
  <si>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</si>
  <si>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</si>
  <si>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</si>
  <si>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</si>
  <si>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</si>
  <si>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</si>
  <si>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</si>
  <si>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</si>
  <si>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</si>
  <si>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</si>
  <si>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</si>
  <si>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</si>
  <si>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</si>
  <si>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</si>
  <si>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</si>
  <si>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</si>
  <si>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</si>
  <si>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</si>
  <si>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</si>
  <si>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</si>
  <si>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</si>
  <si>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</si>
  <si>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</si>
  <si>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</si>
  <si>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</si>
  <si>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</si>
  <si>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</si>
  <si>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</si>
  <si>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</si>
  <si>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</si>
  <si>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</si>
  <si>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</si>
  <si>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</si>
  <si>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</si>
  <si>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</si>
  <si>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</si>
  <si>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</si>
  <si>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</si>
  <si>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</si>
  <si>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</si>
  <si>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</si>
  <si>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</si>
  <si>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</si>
  <si>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</si>
  <si>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</si>
  <si>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</si>
  <si>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</si>
  <si>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</si>
  <si>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</si>
  <si>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</si>
  <si>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</si>
  <si>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</si>
  <si>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</si>
  <si>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</si>
  <si>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</si>
  <si>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</si>
  <si>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</si>
  <si>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</si>
  <si>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</si>
  <si>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</si>
  <si>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</si>
  <si>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</si>
  <si>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</si>
  <si>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</si>
  <si>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</si>
  <si>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</si>
  <si>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</si>
  <si>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</si>
  <si>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</si>
  <si>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</si>
  <si>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</si>
  <si>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</si>
  <si>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</si>
  <si>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</si>
  <si>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</si>
  <si>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</si>
  <si>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</si>
  <si>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</si>
  <si>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</si>
  <si>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</si>
  <si>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</si>
  <si>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</si>
  <si>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</si>
  <si>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</si>
  <si>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</si>
  <si>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</si>
  <si>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</si>
  <si>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</si>
  <si>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</si>
  <si>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</si>
  <si>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</si>
  <si>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</si>
  <si>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</si>
  <si>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</si>
  <si>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</si>
  <si>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</si>
  <si>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</si>
  <si>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</si>
  <si>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</si>
  <si>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</si>
  <si>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</si>
  <si>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</si>
  <si>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</si>
  <si>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</si>
  <si>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</si>
  <si>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</si>
  <si>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</si>
  <si>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</si>
  <si>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</si>
  <si>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</si>
  <si>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</si>
  <si>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</si>
  <si>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</si>
  <si>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</si>
  <si>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</si>
  <si>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</si>
  <si>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</si>
  <si>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</si>
  <si>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</si>
  <si>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</si>
  <si>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</si>
  <si>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</si>
  <si>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</si>
  <si>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</si>
  <si>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</si>
  <si>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</si>
  <si>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</si>
  <si>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</si>
  <si>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</si>
  <si>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</si>
  <si>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</si>
  <si>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</si>
  <si>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</si>
  <si>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</si>
  <si>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</si>
  <si>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</si>
  <si>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</si>
  <si>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</si>
  <si>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</si>
  <si>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</si>
  <si>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</si>
  <si>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</si>
  <si>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</si>
  <si>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</si>
  <si>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</si>
  <si>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</si>
  <si>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</si>
  <si>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</si>
  <si>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</si>
  <si>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</si>
  <si>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</si>
  <si>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</si>
  <si>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</si>
  <si>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</si>
  <si>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</si>
  <si>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</si>
  <si>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</si>
  <si>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</si>
  <si>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</si>
  <si>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</si>
  <si>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</si>
  <si>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</si>
  <si>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</si>
  <si>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</si>
  <si>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</si>
  <si>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</si>
  <si>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</si>
  <si>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</si>
  <si>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</si>
  <si>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</si>
  <si>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</si>
  <si>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</si>
  <si>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</si>
  <si>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</si>
  <si>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</si>
  <si>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</si>
  <si>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</si>
  <si>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</si>
  <si>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</si>
  <si>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</si>
  <si>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</si>
  <si>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</si>
  <si>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</si>
  <si>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</si>
  <si>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</si>
  <si>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</si>
  <si>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</si>
  <si>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</si>
  <si>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</si>
  <si>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</si>
  <si>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</si>
  <si>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</si>
  <si>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</si>
  <si>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</si>
  <si>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</si>
  <si>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</si>
  <si>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</si>
  <si>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</si>
  <si>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</si>
  <si>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</si>
  <si>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</si>
  <si>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</si>
  <si>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</si>
  <si>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</si>
  <si>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</si>
  <si>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</si>
  <si>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</si>
  <si>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</si>
  <si>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</si>
  <si>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</si>
  <si>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</si>
  <si>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</si>
  <si>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</si>
  <si>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</si>
  <si>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</si>
  <si>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</si>
  <si>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</si>
  <si>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</si>
  <si>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</si>
  <si>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</si>
  <si>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</si>
  <si>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</si>
  <si>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</si>
  <si>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</si>
  <si>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</si>
  <si>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</si>
  <si>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</si>
  <si>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</si>
  <si>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</si>
  <si>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</si>
  <si>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</si>
  <si>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</si>
  <si>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</si>
  <si>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</si>
  <si>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</si>
  <si>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</si>
  <si>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</si>
  <si>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</si>
  <si>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</si>
  <si>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</si>
  <si>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</si>
  <si>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</si>
  <si>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</si>
  <si>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</si>
  <si>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</si>
  <si>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</si>
  <si>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</si>
  <si>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</si>
  <si>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</si>
  <si>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</si>
  <si>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</si>
  <si>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</si>
  <si>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</si>
  <si>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</si>
  <si>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</si>
  <si>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</si>
  <si>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</si>
  <si>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</si>
  <si>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</si>
  <si>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</si>
  <si>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</si>
  <si>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</si>
  <si>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</si>
  <si>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</si>
  <si>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</si>
  <si>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</si>
  <si>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</si>
  <si>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</si>
  <si>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</si>
  <si>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</si>
  <si>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</si>
  <si>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</si>
  <si>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</si>
  <si>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</si>
  <si>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</si>
  <si>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</si>
  <si>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</si>
  <si>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</si>
  <si>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</si>
  <si>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</si>
  <si>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</si>
  <si>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</si>
  <si>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</si>
  <si>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</si>
  <si>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</si>
  <si>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</si>
  <si>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</si>
  <si>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</si>
  <si>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</si>
  <si>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</si>
  <si>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</si>
  <si>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</si>
  <si>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</si>
  <si>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</si>
  <si>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</si>
  <si>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</si>
  <si>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</si>
  <si>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</si>
  <si>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</si>
  <si>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</si>
  <si>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</si>
  <si>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</si>
  <si>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</si>
  <si>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</si>
  <si>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</si>
  <si>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</si>
  <si>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</si>
  <si>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</si>
  <si>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</si>
  <si>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</si>
  <si>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</si>
  <si>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</si>
  <si>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</si>
  <si>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</si>
  <si>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</si>
  <si>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</si>
  <si>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</si>
  <si>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</si>
  <si>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</si>
  <si>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</si>
  <si>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</si>
  <si>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</si>
  <si>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</si>
  <si>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</si>
  <si>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</si>
  <si>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</si>
  <si>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</si>
  <si>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</si>
  <si>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</si>
  <si>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</si>
  <si>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</si>
  <si>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</si>
  <si>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</si>
  <si>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</si>
  <si>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</si>
  <si>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</si>
  <si>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</si>
  <si>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</si>
  <si>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</si>
  <si>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</si>
  <si>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</si>
  <si>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</si>
  <si>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</si>
  <si>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</si>
  <si>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</si>
  <si>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</si>
  <si>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</si>
  <si>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</si>
  <si>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</si>
  <si>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</si>
  <si>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</si>
  <si>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</si>
  <si>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</si>
  <si>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</si>
  <si>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</si>
  <si>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</si>
  <si>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</si>
  <si>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</si>
  <si>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</si>
  <si>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</si>
  <si>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</si>
  <si>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</si>
  <si>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</si>
  <si>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</si>
  <si>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</si>
  <si>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</si>
  <si>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</si>
  <si>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</si>
  <si>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</si>
  <si>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</si>
  <si>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</si>
  <si>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</si>
  <si>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</si>
  <si>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</si>
  <si>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</si>
  <si>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</si>
  <si>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</si>
  <si>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</si>
  <si>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</si>
  <si>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</si>
  <si>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</si>
  <si>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</si>
  <si>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</si>
  <si>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</si>
  <si>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</si>
  <si>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</si>
  <si>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</si>
  <si>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</si>
  <si>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</si>
  <si>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</si>
  <si>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</si>
  <si>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</si>
  <si>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</si>
  <si>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</si>
  <si>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</si>
  <si>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</si>
  <si>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</si>
  <si>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</si>
  <si>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</si>
  <si>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</si>
  <si>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</si>
  <si>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</si>
  <si>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</si>
  <si>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</si>
  <si>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</si>
  <si>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</si>
  <si>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</si>
  <si>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</si>
  <si>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</si>
  <si>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</si>
  <si>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</si>
  <si>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</si>
  <si>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</si>
  <si>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</si>
  <si>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</si>
  <si>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</si>
  <si>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</si>
  <si>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</si>
  <si>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</si>
  <si>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</si>
  <si>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</si>
  <si>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</si>
  <si>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</si>
  <si>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</si>
  <si>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</si>
  <si>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</si>
  <si>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</si>
  <si>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</si>
  <si>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</si>
  <si>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</si>
  <si>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</si>
  <si>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</si>
  <si>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</si>
  <si>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</si>
  <si>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73098</t>
  </si>
  <si>
    <t>WELLEN</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</si>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</sst>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32CBC853-867C-473F-8A71-6916C4BF3CD1}"/>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73351.46225163198</c:v>
                </c:pt>
                <c:pt idx="1">
                  <c:v>10668.767635891554</c:v>
                </c:pt>
                <c:pt idx="2">
                  <c:v>556.55499999999995</c:v>
                </c:pt>
                <c:pt idx="3">
                  <c:v>7028.7152853398757</c:v>
                </c:pt>
                <c:pt idx="4">
                  <c:v>98220.274728451463</c:v>
                </c:pt>
                <c:pt idx="5">
                  <c:v>33455.128761134823</c:v>
                </c:pt>
                <c:pt idx="6">
                  <c:v>460.47585831232976</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73351.46225163198</c:v>
                </c:pt>
                <c:pt idx="1">
                  <c:v>10668.767635891554</c:v>
                </c:pt>
                <c:pt idx="2">
                  <c:v>556.55499999999995</c:v>
                </c:pt>
                <c:pt idx="3">
                  <c:v>7028.7152853398757</c:v>
                </c:pt>
                <c:pt idx="4">
                  <c:v>98220.274728451463</c:v>
                </c:pt>
                <c:pt idx="5">
                  <c:v>33455.128761134823</c:v>
                </c:pt>
                <c:pt idx="6">
                  <c:v>460.47585831232976</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16084.261112456003</c:v>
                </c:pt>
                <c:pt idx="2">
                  <c:v>2097.8789398282511</c:v>
                </c:pt>
                <c:pt idx="3">
                  <c:v>115.26342696306472</c:v>
                </c:pt>
                <c:pt idx="4">
                  <c:v>1797.3125406703837</c:v>
                </c:pt>
                <c:pt idx="5">
                  <c:v>21497.438921596149</c:v>
                </c:pt>
                <c:pt idx="6">
                  <c:v>8446.637071565523</c:v>
                </c:pt>
                <c:pt idx="7">
                  <c:v>117.56146475117677</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16084.261112456003</c:v>
                </c:pt>
                <c:pt idx="2">
                  <c:v>2097.8789398282511</c:v>
                </c:pt>
                <c:pt idx="3">
                  <c:v>115.26342696306472</c:v>
                </c:pt>
                <c:pt idx="4">
                  <c:v>1797.3125406703837</c:v>
                </c:pt>
                <c:pt idx="5">
                  <c:v>21497.438921596149</c:v>
                </c:pt>
                <c:pt idx="6">
                  <c:v>8446.637071565523</c:v>
                </c:pt>
                <c:pt idx="7">
                  <c:v>117.56146475117677</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73098</v>
      </c>
      <c r="B6" s="385"/>
      <c r="C6" s="386"/>
    </row>
    <row r="7" spans="1:7" s="383" customFormat="1" ht="15.75" customHeight="1">
      <c r="A7" s="387" t="str">
        <f>txtMunicipality</f>
        <v>WELLEN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0.20710159276812665</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0.20710159276812665</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2988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1526</v>
      </c>
      <c r="C14" s="327"/>
      <c r="D14" s="327"/>
      <c r="E14" s="327"/>
      <c r="F14" s="327"/>
    </row>
    <row r="15" spans="1:6">
      <c r="A15" s="1258" t="s">
        <v>177</v>
      </c>
      <c r="B15" s="1259">
        <v>5</v>
      </c>
      <c r="C15" s="327"/>
      <c r="D15" s="327"/>
      <c r="E15" s="327"/>
      <c r="F15" s="327"/>
    </row>
    <row r="16" spans="1:6">
      <c r="A16" s="1258" t="s">
        <v>6</v>
      </c>
      <c r="B16" s="1259">
        <v>187</v>
      </c>
      <c r="C16" s="327"/>
      <c r="D16" s="327"/>
      <c r="E16" s="327"/>
      <c r="F16" s="327"/>
    </row>
    <row r="17" spans="1:6">
      <c r="A17" s="1258" t="s">
        <v>7</v>
      </c>
      <c r="B17" s="1259">
        <v>76</v>
      </c>
      <c r="C17" s="327"/>
      <c r="D17" s="327"/>
      <c r="E17" s="327"/>
      <c r="F17" s="327"/>
    </row>
    <row r="18" spans="1:6">
      <c r="A18" s="1258" t="s">
        <v>8</v>
      </c>
      <c r="B18" s="1259">
        <v>170</v>
      </c>
      <c r="C18" s="327"/>
      <c r="D18" s="327"/>
      <c r="E18" s="327"/>
      <c r="F18" s="327"/>
    </row>
    <row r="19" spans="1:6">
      <c r="A19" s="1258" t="s">
        <v>9</v>
      </c>
      <c r="B19" s="1259">
        <v>164</v>
      </c>
      <c r="C19" s="327"/>
      <c r="D19" s="327"/>
      <c r="E19" s="327"/>
      <c r="F19" s="327"/>
    </row>
    <row r="20" spans="1:6">
      <c r="A20" s="1258" t="s">
        <v>10</v>
      </c>
      <c r="B20" s="1259">
        <v>173</v>
      </c>
      <c r="C20" s="327"/>
      <c r="D20" s="327"/>
      <c r="E20" s="327"/>
      <c r="F20" s="327"/>
    </row>
    <row r="21" spans="1:6">
      <c r="A21" s="1258" t="s">
        <v>11</v>
      </c>
      <c r="B21" s="1259">
        <v>535</v>
      </c>
      <c r="C21" s="327"/>
      <c r="D21" s="327"/>
      <c r="E21" s="327"/>
      <c r="F21" s="327"/>
    </row>
    <row r="22" spans="1:6">
      <c r="A22" s="1258" t="s">
        <v>12</v>
      </c>
      <c r="B22" s="1259">
        <v>2219</v>
      </c>
      <c r="C22" s="327"/>
      <c r="D22" s="327"/>
      <c r="E22" s="327"/>
      <c r="F22" s="327"/>
    </row>
    <row r="23" spans="1:6">
      <c r="A23" s="1258" t="s">
        <v>13</v>
      </c>
      <c r="B23" s="1259">
        <v>19</v>
      </c>
      <c r="C23" s="327"/>
      <c r="D23" s="327"/>
      <c r="E23" s="327"/>
      <c r="F23" s="327"/>
    </row>
    <row r="24" spans="1:6">
      <c r="A24" s="1258" t="s">
        <v>14</v>
      </c>
      <c r="B24" s="1259">
        <v>3</v>
      </c>
      <c r="C24" s="327"/>
      <c r="D24" s="327"/>
      <c r="E24" s="327"/>
      <c r="F24" s="327"/>
    </row>
    <row r="25" spans="1:6">
      <c r="A25" s="1258" t="s">
        <v>15</v>
      </c>
      <c r="B25" s="1259">
        <v>225</v>
      </c>
      <c r="C25" s="327"/>
      <c r="D25" s="327"/>
      <c r="E25" s="327"/>
      <c r="F25" s="327"/>
    </row>
    <row r="26" spans="1:6">
      <c r="A26" s="1258" t="s">
        <v>16</v>
      </c>
      <c r="B26" s="1259">
        <v>32</v>
      </c>
      <c r="C26" s="327"/>
      <c r="D26" s="327"/>
      <c r="E26" s="327"/>
      <c r="F26" s="327"/>
    </row>
    <row r="27" spans="1:6">
      <c r="A27" s="1258" t="s">
        <v>17</v>
      </c>
      <c r="B27" s="1259">
        <v>0</v>
      </c>
      <c r="C27" s="327"/>
      <c r="D27" s="327"/>
      <c r="E27" s="327"/>
      <c r="F27" s="327"/>
    </row>
    <row r="28" spans="1:6">
      <c r="A28" s="1258" t="s">
        <v>18</v>
      </c>
      <c r="B28" s="1260">
        <v>725</v>
      </c>
      <c r="C28" s="327"/>
      <c r="D28" s="327"/>
      <c r="E28" s="327"/>
      <c r="F28" s="327"/>
    </row>
    <row r="29" spans="1:6">
      <c r="A29" s="1258" t="s">
        <v>905</v>
      </c>
      <c r="B29" s="1260">
        <v>54</v>
      </c>
      <c r="C29" s="327"/>
      <c r="D29" s="327"/>
      <c r="E29" s="327"/>
      <c r="F29" s="327"/>
    </row>
    <row r="30" spans="1:6">
      <c r="A30" s="1253" t="s">
        <v>906</v>
      </c>
      <c r="B30" s="1261">
        <v>14</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5370</v>
      </c>
    </row>
    <row r="39" spans="1:6">
      <c r="A39" s="1258" t="s">
        <v>29</v>
      </c>
      <c r="B39" s="1258" t="s">
        <v>30</v>
      </c>
      <c r="C39" s="1259">
        <v>1116</v>
      </c>
      <c r="D39" s="1259">
        <v>20381025</v>
      </c>
      <c r="E39" s="1259">
        <v>2998</v>
      </c>
      <c r="F39" s="1259">
        <v>11649469</v>
      </c>
    </row>
    <row r="40" spans="1:6">
      <c r="A40" s="1258" t="s">
        <v>29</v>
      </c>
      <c r="B40" s="1258" t="s">
        <v>28</v>
      </c>
      <c r="C40" s="1259">
        <v>0</v>
      </c>
      <c r="D40" s="1259">
        <v>0</v>
      </c>
      <c r="E40" s="1259">
        <v>0</v>
      </c>
      <c r="F40" s="1259">
        <v>0</v>
      </c>
    </row>
    <row r="41" spans="1:6">
      <c r="A41" s="1258" t="s">
        <v>31</v>
      </c>
      <c r="B41" s="1258" t="s">
        <v>32</v>
      </c>
      <c r="C41" s="1259">
        <v>13</v>
      </c>
      <c r="D41" s="1259">
        <v>6808344</v>
      </c>
      <c r="E41" s="1259">
        <v>45</v>
      </c>
      <c r="F41" s="1259">
        <v>43863322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7</v>
      </c>
      <c r="F44" s="1259">
        <v>178103</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1225796</v>
      </c>
    </row>
    <row r="48" spans="1:6">
      <c r="A48" s="1258" t="s">
        <v>31</v>
      </c>
      <c r="B48" s="1258" t="s">
        <v>28</v>
      </c>
      <c r="C48" s="1259">
        <v>2</v>
      </c>
      <c r="D48" s="1259">
        <v>296267</v>
      </c>
      <c r="E48" s="1259">
        <v>0</v>
      </c>
      <c r="F48" s="1259">
        <v>0</v>
      </c>
    </row>
    <row r="49" spans="1:6">
      <c r="A49" s="1258" t="s">
        <v>31</v>
      </c>
      <c r="B49" s="1258" t="s">
        <v>39</v>
      </c>
      <c r="C49" s="1259">
        <v>0</v>
      </c>
      <c r="D49" s="1259">
        <v>0</v>
      </c>
      <c r="E49" s="1259">
        <v>0</v>
      </c>
      <c r="F49" s="1259">
        <v>0</v>
      </c>
    </row>
    <row r="50" spans="1:6">
      <c r="A50" s="1258" t="s">
        <v>31</v>
      </c>
      <c r="B50" s="1258" t="s">
        <v>40</v>
      </c>
      <c r="C50" s="1259">
        <v>3</v>
      </c>
      <c r="D50" s="1259">
        <v>340586</v>
      </c>
      <c r="E50" s="1259">
        <v>8</v>
      </c>
      <c r="F50" s="1259">
        <v>367258</v>
      </c>
    </row>
    <row r="51" spans="1:6">
      <c r="A51" s="1258" t="s">
        <v>41</v>
      </c>
      <c r="B51" s="1258" t="s">
        <v>42</v>
      </c>
      <c r="C51" s="1259">
        <v>0</v>
      </c>
      <c r="D51" s="1259">
        <v>0</v>
      </c>
      <c r="E51" s="1259">
        <v>57</v>
      </c>
      <c r="F51" s="1259">
        <v>1493525</v>
      </c>
    </row>
    <row r="52" spans="1:6">
      <c r="A52" s="1258" t="s">
        <v>41</v>
      </c>
      <c r="B52" s="1258" t="s">
        <v>28</v>
      </c>
      <c r="C52" s="1259">
        <v>2</v>
      </c>
      <c r="D52" s="1259">
        <v>60670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37</v>
      </c>
      <c r="F54" s="1259">
        <v>556555</v>
      </c>
    </row>
    <row r="55" spans="1:6">
      <c r="A55" s="1258" t="s">
        <v>45</v>
      </c>
      <c r="B55" s="1258" t="s">
        <v>28</v>
      </c>
      <c r="C55" s="1259">
        <v>0</v>
      </c>
      <c r="D55" s="1259">
        <v>0</v>
      </c>
      <c r="E55" s="1259">
        <v>0</v>
      </c>
      <c r="F55" s="1259">
        <v>0</v>
      </c>
    </row>
    <row r="56" spans="1:6">
      <c r="A56" s="1258" t="s">
        <v>47</v>
      </c>
      <c r="B56" s="1258" t="s">
        <v>28</v>
      </c>
      <c r="C56" s="1259">
        <v>25</v>
      </c>
      <c r="D56" s="1259">
        <v>3856735</v>
      </c>
      <c r="E56" s="1259">
        <v>35</v>
      </c>
      <c r="F56" s="1259">
        <v>208438</v>
      </c>
    </row>
    <row r="57" spans="1:6">
      <c r="A57" s="1258" t="s">
        <v>48</v>
      </c>
      <c r="B57" s="1258" t="s">
        <v>49</v>
      </c>
      <c r="C57" s="1259">
        <v>13</v>
      </c>
      <c r="D57" s="1259">
        <v>895963</v>
      </c>
      <c r="E57" s="1259">
        <v>36</v>
      </c>
      <c r="F57" s="1259">
        <v>1052910</v>
      </c>
    </row>
    <row r="58" spans="1:6">
      <c r="A58" s="1258" t="s">
        <v>48</v>
      </c>
      <c r="B58" s="1258" t="s">
        <v>50</v>
      </c>
      <c r="C58" s="1259">
        <v>3</v>
      </c>
      <c r="D58" s="1259">
        <v>678835</v>
      </c>
      <c r="E58" s="1259">
        <v>8</v>
      </c>
      <c r="F58" s="1259">
        <v>252340</v>
      </c>
    </row>
    <row r="59" spans="1:6">
      <c r="A59" s="1258" t="s">
        <v>48</v>
      </c>
      <c r="B59" s="1258" t="s">
        <v>51</v>
      </c>
      <c r="C59" s="1259">
        <v>32</v>
      </c>
      <c r="D59" s="1259">
        <v>893961</v>
      </c>
      <c r="E59" s="1259">
        <v>83</v>
      </c>
      <c r="F59" s="1259">
        <v>2410374</v>
      </c>
    </row>
    <row r="60" spans="1:6">
      <c r="A60" s="1258" t="s">
        <v>48</v>
      </c>
      <c r="B60" s="1258" t="s">
        <v>52</v>
      </c>
      <c r="C60" s="1259">
        <v>16</v>
      </c>
      <c r="D60" s="1259">
        <v>497664</v>
      </c>
      <c r="E60" s="1259">
        <v>25</v>
      </c>
      <c r="F60" s="1259">
        <v>511796</v>
      </c>
    </row>
    <row r="61" spans="1:6">
      <c r="A61" s="1258" t="s">
        <v>48</v>
      </c>
      <c r="B61" s="1258" t="s">
        <v>53</v>
      </c>
      <c r="C61" s="1259">
        <v>19</v>
      </c>
      <c r="D61" s="1259">
        <v>769283</v>
      </c>
      <c r="E61" s="1259">
        <v>114</v>
      </c>
      <c r="F61" s="1259">
        <v>1360972</v>
      </c>
    </row>
    <row r="62" spans="1:6">
      <c r="A62" s="1258" t="s">
        <v>48</v>
      </c>
      <c r="B62" s="1258" t="s">
        <v>54</v>
      </c>
      <c r="C62" s="1259">
        <v>0</v>
      </c>
      <c r="D62" s="1259">
        <v>0</v>
      </c>
      <c r="E62" s="1259">
        <v>6</v>
      </c>
      <c r="F62" s="1259">
        <v>85141</v>
      </c>
    </row>
    <row r="63" spans="1:6">
      <c r="A63" s="1258" t="s">
        <v>48</v>
      </c>
      <c r="B63" s="1258" t="s">
        <v>28</v>
      </c>
      <c r="C63" s="1259">
        <v>2</v>
      </c>
      <c r="D63" s="1259">
        <v>233598</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12</v>
      </c>
      <c r="F67" s="1259">
        <v>160278</v>
      </c>
    </row>
    <row r="68" spans="1:6">
      <c r="A68" s="1253" t="s">
        <v>55</v>
      </c>
      <c r="B68" s="1253" t="s">
        <v>59</v>
      </c>
      <c r="C68" s="1261">
        <v>0</v>
      </c>
      <c r="D68" s="1261">
        <v>0</v>
      </c>
      <c r="E68" s="1261">
        <v>6</v>
      </c>
      <c r="F68" s="1261">
        <v>29343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31067511</v>
      </c>
      <c r="E73" s="446"/>
      <c r="F73" s="327"/>
    </row>
    <row r="74" spans="1:6">
      <c r="A74" s="1258" t="s">
        <v>63</v>
      </c>
      <c r="B74" s="1258" t="s">
        <v>681</v>
      </c>
      <c r="C74" s="1271" t="s">
        <v>682</v>
      </c>
      <c r="D74" s="1259">
        <v>2117375.8320241706</v>
      </c>
      <c r="E74" s="446"/>
      <c r="F74" s="327"/>
    </row>
    <row r="75" spans="1:6">
      <c r="A75" s="1258" t="s">
        <v>64</v>
      </c>
      <c r="B75" s="1258" t="s">
        <v>679</v>
      </c>
      <c r="C75" s="1271" t="s">
        <v>683</v>
      </c>
      <c r="D75" s="1259">
        <v>8617382</v>
      </c>
      <c r="E75" s="446"/>
      <c r="F75" s="327"/>
    </row>
    <row r="76" spans="1:6">
      <c r="A76" s="1258" t="s">
        <v>64</v>
      </c>
      <c r="B76" s="1258" t="s">
        <v>681</v>
      </c>
      <c r="C76" s="1271" t="s">
        <v>684</v>
      </c>
      <c r="D76" s="1259">
        <v>214915.83202417046</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121874.33595165906</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2512.7899041997066</v>
      </c>
      <c r="C91" s="327"/>
      <c r="D91" s="327"/>
      <c r="E91" s="327"/>
      <c r="F91" s="327"/>
    </row>
    <row r="92" spans="1:6">
      <c r="A92" s="1253" t="s">
        <v>68</v>
      </c>
      <c r="B92" s="1254">
        <v>1746.9150729879284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226</v>
      </c>
      <c r="C97" s="327"/>
      <c r="D97" s="327"/>
      <c r="E97" s="327"/>
      <c r="F97" s="327"/>
    </row>
    <row r="98" spans="1:6">
      <c r="A98" s="1258" t="s">
        <v>71</v>
      </c>
      <c r="B98" s="1259">
        <v>2</v>
      </c>
      <c r="C98" s="327"/>
      <c r="D98" s="327"/>
      <c r="E98" s="327"/>
      <c r="F98" s="327"/>
    </row>
    <row r="99" spans="1:6">
      <c r="A99" s="1258" t="s">
        <v>72</v>
      </c>
      <c r="B99" s="1259">
        <v>18</v>
      </c>
      <c r="C99" s="327"/>
      <c r="D99" s="327"/>
      <c r="E99" s="327"/>
      <c r="F99" s="327"/>
    </row>
    <row r="100" spans="1:6">
      <c r="A100" s="1258" t="s">
        <v>73</v>
      </c>
      <c r="B100" s="1259">
        <v>72</v>
      </c>
      <c r="C100" s="327"/>
      <c r="D100" s="327"/>
      <c r="E100" s="327"/>
      <c r="F100" s="327"/>
    </row>
    <row r="101" spans="1:6">
      <c r="A101" s="1258" t="s">
        <v>74</v>
      </c>
      <c r="B101" s="1259">
        <v>39</v>
      </c>
      <c r="C101" s="327"/>
      <c r="D101" s="327"/>
      <c r="E101" s="327"/>
      <c r="F101" s="327"/>
    </row>
    <row r="102" spans="1:6">
      <c r="A102" s="1258" t="s">
        <v>75</v>
      </c>
      <c r="B102" s="1259">
        <v>22</v>
      </c>
      <c r="C102" s="327"/>
      <c r="D102" s="327"/>
      <c r="E102" s="327"/>
      <c r="F102" s="327"/>
    </row>
    <row r="103" spans="1:6">
      <c r="A103" s="1258" t="s">
        <v>76</v>
      </c>
      <c r="B103" s="1259">
        <v>103</v>
      </c>
      <c r="C103" s="327"/>
      <c r="D103" s="327"/>
      <c r="E103" s="327"/>
      <c r="F103" s="327"/>
    </row>
    <row r="104" spans="1:6">
      <c r="A104" s="1258" t="s">
        <v>77</v>
      </c>
      <c r="B104" s="1259">
        <v>2047</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13</v>
      </c>
      <c r="C123" s="1259">
        <v>3</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55</v>
      </c>
      <c r="C129" s="327"/>
      <c r="D129" s="327"/>
      <c r="E129" s="327"/>
      <c r="F129" s="327"/>
    </row>
    <row r="130" spans="1:6">
      <c r="A130" s="1258" t="s">
        <v>284</v>
      </c>
      <c r="B130" s="1259">
        <v>0</v>
      </c>
      <c r="C130" s="327"/>
      <c r="D130" s="327"/>
      <c r="E130" s="327"/>
      <c r="F130" s="327"/>
    </row>
    <row r="131" spans="1:6">
      <c r="A131" s="1258" t="s">
        <v>285</v>
      </c>
      <c r="B131" s="1259">
        <v>1</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67734.006080895153</v>
      </c>
      <c r="C3" s="43" t="s">
        <v>163</v>
      </c>
      <c r="D3" s="43"/>
      <c r="E3" s="156"/>
      <c r="F3" s="43"/>
      <c r="G3" s="43"/>
      <c r="H3" s="43"/>
      <c r="I3" s="43"/>
      <c r="J3" s="43"/>
      <c r="K3" s="96"/>
    </row>
    <row r="4" spans="1:11">
      <c r="A4" s="353" t="s">
        <v>164</v>
      </c>
      <c r="B4" s="49">
        <f>IF(ISERROR('SEAP template'!B78+'SEAP template'!C78),0,'SEAP template'!B78+'SEAP template'!C78)</f>
        <v>4259.7049771876354</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0.20710159276812665</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556.55499999999995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556.55499999999995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0.20710159276812665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115.26342696306472</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11649.468999999999</v>
      </c>
      <c r="C5" s="17">
        <f>IF(ISERROR('Eigen informatie GS &amp; warmtenet'!B57),0,'Eigen informatie GS &amp; warmtenet'!B57)</f>
        <v>0</v>
      </c>
      <c r="D5" s="30">
        <f>(SUM(HH_hh_gas_kWh,HH_rest_gas_kWh)/1000)*0.902</f>
        <v>18383.684550000002</v>
      </c>
      <c r="E5" s="17">
        <f>B32*B41</f>
        <v>1095.5264465751106</v>
      </c>
      <c r="F5" s="17">
        <f>B36*B45</f>
        <v>33572.925872644097</v>
      </c>
      <c r="G5" s="18"/>
      <c r="H5" s="17"/>
      <c r="I5" s="17"/>
      <c r="J5" s="17">
        <f>B35*B44+C35*C44</f>
        <v>635.80436647778185</v>
      </c>
      <c r="K5" s="17"/>
      <c r="L5" s="17"/>
      <c r="M5" s="17"/>
      <c r="N5" s="17">
        <f>B34*B43+C34*C43</f>
        <v>5029.2554450686121</v>
      </c>
      <c r="O5" s="17">
        <f>B52*B53*B54</f>
        <v>90.673333333333346</v>
      </c>
      <c r="P5" s="17">
        <f>B60*B61*B62/1000-B60*B61*B62/1000/B63</f>
        <v>381.33333333333337</v>
      </c>
    </row>
    <row r="6" spans="1:16">
      <c r="A6" s="16" t="s">
        <v>592</v>
      </c>
      <c r="B6" s="733">
        <f>kWh_PV_kleiner_dan_10kW</f>
        <v>2512.7899041997066</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14162.258904199705</v>
      </c>
      <c r="C8" s="21">
        <f>C5</f>
        <v>0</v>
      </c>
      <c r="D8" s="21">
        <f>D5</f>
        <v>18383.684550000002</v>
      </c>
      <c r="E8" s="21">
        <f>E5</f>
        <v>1095.5264465751106</v>
      </c>
      <c r="F8" s="21">
        <f>F5</f>
        <v>33572.925872644097</v>
      </c>
      <c r="G8" s="21"/>
      <c r="H8" s="21"/>
      <c r="I8" s="21"/>
      <c r="J8" s="21">
        <f>J5</f>
        <v>635.80436647778185</v>
      </c>
      <c r="K8" s="21"/>
      <c r="L8" s="21">
        <f>L5</f>
        <v>0</v>
      </c>
      <c r="M8" s="21">
        <f>M5</f>
        <v>0</v>
      </c>
      <c r="N8" s="21">
        <f>N5</f>
        <v>5029.2554450686121</v>
      </c>
      <c r="O8" s="21">
        <f>O5</f>
        <v>90.673333333333346</v>
      </c>
      <c r="P8" s="21">
        <f>P5</f>
        <v>381.33333333333337</v>
      </c>
    </row>
    <row r="9" spans="1:16">
      <c r="B9" s="19"/>
      <c r="C9" s="19"/>
      <c r="D9" s="257"/>
      <c r="E9" s="19"/>
      <c r="F9" s="19"/>
      <c r="G9" s="19"/>
      <c r="H9" s="19"/>
      <c r="I9" s="19"/>
      <c r="J9" s="19"/>
      <c r="K9" s="19"/>
      <c r="L9" s="19"/>
      <c r="M9" s="19"/>
      <c r="N9" s="19"/>
      <c r="O9" s="19"/>
      <c r="P9" s="19"/>
    </row>
    <row r="10" spans="1:16">
      <c r="A10" s="24" t="s">
        <v>207</v>
      </c>
      <c r="B10" s="25">
        <f ca="1">'EF ele_warmte'!B12</f>
        <v>0.20710159276812665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2933.0263762543427</v>
      </c>
      <c r="C12" s="23">
        <f ca="1">C10*C8</f>
        <v>0</v>
      </c>
      <c r="D12" s="23">
        <f>D8*D10</f>
        <v>3713.5042791000005</v>
      </c>
      <c r="E12" s="23">
        <f>E10*E8</f>
        <v>248.68450337255013</v>
      </c>
      <c r="F12" s="23">
        <f>F10*F8</f>
        <v>8963.9712079959736</v>
      </c>
      <c r="G12" s="23"/>
      <c r="H12" s="23"/>
      <c r="I12" s="23"/>
      <c r="J12" s="23">
        <f>J10*J8</f>
        <v>225.07474573313476</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2988</v>
      </c>
      <c r="C26" s="36"/>
      <c r="D26" s="227"/>
    </row>
    <row r="27" spans="1:5" s="15" customFormat="1">
      <c r="A27" s="229" t="s">
        <v>697</v>
      </c>
      <c r="B27" s="37">
        <f>SUM(HH_hh_gas_aantal,HH_rest_gas_aantal)</f>
        <v>1116</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1060.2</v>
      </c>
      <c r="C31" s="34" t="s">
        <v>104</v>
      </c>
      <c r="D31" s="173"/>
    </row>
    <row r="32" spans="1:5">
      <c r="A32" s="170" t="s">
        <v>72</v>
      </c>
      <c r="B32" s="33">
        <f>IF((B21*($B$26-($B$27-0.05*$B$27)-$B$60))&lt;0,0,B21*($B$26-($B$27-0.05*$B$27)-$B$60))</f>
        <v>47.774292091594845</v>
      </c>
      <c r="C32" s="34" t="s">
        <v>104</v>
      </c>
      <c r="D32" s="173"/>
    </row>
    <row r="33" spans="1:6">
      <c r="A33" s="170" t="s">
        <v>73</v>
      </c>
      <c r="B33" s="33">
        <f>IF((B22*($B$26-($B$27-0.05*$B$27)-$B$60))&lt;0,0,B22*($B$26-($B$27-0.05*$B$27)-$B$60))</f>
        <v>321.57701735357784</v>
      </c>
      <c r="C33" s="34" t="s">
        <v>104</v>
      </c>
      <c r="D33" s="173"/>
    </row>
    <row r="34" spans="1:6">
      <c r="A34" s="170" t="s">
        <v>74</v>
      </c>
      <c r="B34" s="33">
        <f>IF((B24*($B$26-($B$27-0.05*$B$27)-$B$60))&lt;0,0,B24*($B$26-($B$27-0.05*$B$27)-$B$60))</f>
        <v>81.588448124018697</v>
      </c>
      <c r="C34" s="33">
        <f>B26*C24</f>
        <v>611.22548207479133</v>
      </c>
      <c r="D34" s="232"/>
    </row>
    <row r="35" spans="1:6">
      <c r="A35" s="170" t="s">
        <v>76</v>
      </c>
      <c r="B35" s="33">
        <f>IF((B19*($B$26-($B$27-0.05*$B$27)-$B$60))&lt;0,0,B19*($B$26-($B$27-0.05*$B$27)-$B$60))</f>
        <v>30.320947316157266</v>
      </c>
      <c r="C35" s="33">
        <f>B35/2</f>
        <v>15.160473658078633</v>
      </c>
      <c r="D35" s="232"/>
    </row>
    <row r="36" spans="1:6">
      <c r="A36" s="170" t="s">
        <v>77</v>
      </c>
      <c r="B36" s="33">
        <f>IF((B18*($B$26-($B$27-0.05*$B$27)-$B$60))&lt;0,0,B18*($B$26-($B$27-0.05*$B$27)-$B$60))</f>
        <v>1426.5392951146514</v>
      </c>
      <c r="C36" s="34" t="s">
        <v>104</v>
      </c>
      <c r="D36" s="173"/>
    </row>
    <row r="37" spans="1:6">
      <c r="A37" s="170" t="s">
        <v>78</v>
      </c>
      <c r="B37" s="33">
        <f>B60</f>
        <v>20</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58</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20</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5673.5329999999994</v>
      </c>
      <c r="C5" s="17">
        <f>IF(ISERROR('Eigen informatie GS &amp; warmtenet'!B58),0,'Eigen informatie GS &amp; warmtenet'!B58)</f>
        <v>0</v>
      </c>
      <c r="D5" s="30">
        <f>SUM(D6:D12)</f>
        <v>3580.3122079999998</v>
      </c>
      <c r="E5" s="17">
        <f>SUM(E6:E12)</f>
        <v>29.542417251254566</v>
      </c>
      <c r="F5" s="17">
        <f>SUM(F6:F12)</f>
        <v>708.78879098906668</v>
      </c>
      <c r="G5" s="18"/>
      <c r="H5" s="17"/>
      <c r="I5" s="17"/>
      <c r="J5" s="17">
        <f>SUM(J6:J12)</f>
        <v>10.46727960341139</v>
      </c>
      <c r="K5" s="17"/>
      <c r="L5" s="17"/>
      <c r="M5" s="17"/>
      <c r="N5" s="17">
        <f>SUM(N6:N12)</f>
        <v>647.0572733811548</v>
      </c>
      <c r="O5" s="17">
        <f>B38*B39*B40</f>
        <v>0</v>
      </c>
      <c r="P5" s="17">
        <f>B46*B47*B48/1000-B46*B47*B48/1000/B49</f>
        <v>19.066666666666666</v>
      </c>
      <c r="R5" s="32"/>
    </row>
    <row r="6" spans="1:18">
      <c r="A6" s="32" t="s">
        <v>53</v>
      </c>
      <c r="B6" s="37">
        <f>B26</f>
        <v>1360.972</v>
      </c>
      <c r="C6" s="33"/>
      <c r="D6" s="37">
        <f>IF(ISERROR(TER_kantoor_gas_kWh/1000),0,TER_kantoor_gas_kWh/1000)*0.902</f>
        <v>693.89326600000004</v>
      </c>
      <c r="E6" s="33">
        <f>$C$26*'E Balans VL '!I12/100/3.6*1000000</f>
        <v>11.48779070734926</v>
      </c>
      <c r="F6" s="33">
        <f>$C$26*('E Balans VL '!L12+'E Balans VL '!N12)/100/3.6*1000000</f>
        <v>182.49127640140253</v>
      </c>
      <c r="G6" s="34"/>
      <c r="H6" s="33"/>
      <c r="I6" s="33"/>
      <c r="J6" s="33">
        <f>$C$26*('E Balans VL '!D12+'E Balans VL '!E12)/100/3.6*1000000</f>
        <v>0</v>
      </c>
      <c r="K6" s="33"/>
      <c r="L6" s="33"/>
      <c r="M6" s="33"/>
      <c r="N6" s="33">
        <f>$C$26*'E Balans VL '!Y12/100/3.6*1000000</f>
        <v>11.969327818112991</v>
      </c>
      <c r="O6" s="33"/>
      <c r="P6" s="33"/>
      <c r="R6" s="32"/>
    </row>
    <row r="7" spans="1:18">
      <c r="A7" s="32" t="s">
        <v>52</v>
      </c>
      <c r="B7" s="37">
        <f t="shared" ref="B7:B12" si="0">B27</f>
        <v>511.79599999999999</v>
      </c>
      <c r="C7" s="33"/>
      <c r="D7" s="37">
        <f>IF(ISERROR(TER_horeca_gas_kWh/1000),0,TER_horeca_gas_kWh/1000)*0.902</f>
        <v>448.89292799999998</v>
      </c>
      <c r="E7" s="33">
        <f>$C$27*'E Balans VL '!I9/100/3.6*1000000</f>
        <v>6.7290956371319695</v>
      </c>
      <c r="F7" s="33">
        <f>$C$27*('E Balans VL '!L9+'E Balans VL '!N9)/100/3.6*1000000</f>
        <v>128.53109001501338</v>
      </c>
      <c r="G7" s="34"/>
      <c r="H7" s="33"/>
      <c r="I7" s="33"/>
      <c r="J7" s="33">
        <f>$C$27*('E Balans VL '!D9+'E Balans VL '!E9)/100/3.6*1000000</f>
        <v>0</v>
      </c>
      <c r="K7" s="33"/>
      <c r="L7" s="33"/>
      <c r="M7" s="33"/>
      <c r="N7" s="33">
        <f>$C$27*'E Balans VL '!Y9/100/3.6*1000000</f>
        <v>0.13933017876726089</v>
      </c>
      <c r="O7" s="33"/>
      <c r="P7" s="33"/>
      <c r="R7" s="32"/>
    </row>
    <row r="8" spans="1:18">
      <c r="A8" s="6" t="s">
        <v>51</v>
      </c>
      <c r="B8" s="37">
        <f t="shared" si="0"/>
        <v>2410.3739999999998</v>
      </c>
      <c r="C8" s="33"/>
      <c r="D8" s="37">
        <f>IF(ISERROR(TER_handel_gas_kWh/1000),0,TER_handel_gas_kWh/1000)*0.902</f>
        <v>806.35282200000006</v>
      </c>
      <c r="E8" s="33">
        <f>$C$28*'E Balans VL '!I13/100/3.6*1000000</f>
        <v>10.555914447980181</v>
      </c>
      <c r="F8" s="33">
        <f>$C$28*('E Balans VL '!L13+'E Balans VL '!N13)/100/3.6*1000000</f>
        <v>162.01237666197196</v>
      </c>
      <c r="G8" s="34"/>
      <c r="H8" s="33"/>
      <c r="I8" s="33"/>
      <c r="J8" s="33">
        <f>$C$28*('E Balans VL '!D13+'E Balans VL '!E13)/100/3.6*1000000</f>
        <v>0</v>
      </c>
      <c r="K8" s="33"/>
      <c r="L8" s="33"/>
      <c r="M8" s="33"/>
      <c r="N8" s="33">
        <f>$C$28*'E Balans VL '!Y13/100/3.6*1000000</f>
        <v>7.1208601122976036</v>
      </c>
      <c r="O8" s="33"/>
      <c r="P8" s="33"/>
      <c r="R8" s="32"/>
    </row>
    <row r="9" spans="1:18">
      <c r="A9" s="32" t="s">
        <v>50</v>
      </c>
      <c r="B9" s="37">
        <f t="shared" si="0"/>
        <v>252.34</v>
      </c>
      <c r="C9" s="33"/>
      <c r="D9" s="37">
        <f>IF(ISERROR(TER_gezond_gas_kWh/1000),0,TER_gezond_gas_kWh/1000)*0.902</f>
        <v>612.30916999999999</v>
      </c>
      <c r="E9" s="33">
        <f>$C$29*'E Balans VL '!I10/100/3.6*1000000</f>
        <v>8.6780840089876757E-2</v>
      </c>
      <c r="F9" s="33">
        <f>$C$29*('E Balans VL '!L10+'E Balans VL '!N10)/100/3.6*1000000</f>
        <v>22.055509917631859</v>
      </c>
      <c r="G9" s="34"/>
      <c r="H9" s="33"/>
      <c r="I9" s="33"/>
      <c r="J9" s="33">
        <f>$C$29*('E Balans VL '!D10+'E Balans VL '!E10)/100/3.6*1000000</f>
        <v>10.46727960341139</v>
      </c>
      <c r="K9" s="33"/>
      <c r="L9" s="33"/>
      <c r="M9" s="33"/>
      <c r="N9" s="33">
        <f>$C$29*'E Balans VL '!Y10/100/3.6*1000000</f>
        <v>2.6456916509185935</v>
      </c>
      <c r="O9" s="33"/>
      <c r="P9" s="33"/>
      <c r="R9" s="32"/>
    </row>
    <row r="10" spans="1:18">
      <c r="A10" s="32" t="s">
        <v>49</v>
      </c>
      <c r="B10" s="37">
        <f t="shared" si="0"/>
        <v>1052.9100000000001</v>
      </c>
      <c r="C10" s="33"/>
      <c r="D10" s="37">
        <f>IF(ISERROR(TER_ander_gas_kWh/1000),0,TER_ander_gas_kWh/1000)*0.902</f>
        <v>808.15862600000003</v>
      </c>
      <c r="E10" s="33">
        <f>$C$30*'E Balans VL '!I14/100/3.6*1000000</f>
        <v>0.6262039954439671</v>
      </c>
      <c r="F10" s="33">
        <f>$C$30*('E Balans VL '!L14+'E Balans VL '!N14)/100/3.6*1000000</f>
        <v>186.42102054953924</v>
      </c>
      <c r="G10" s="34"/>
      <c r="H10" s="33"/>
      <c r="I10" s="33"/>
      <c r="J10" s="33">
        <f>$C$30*('E Balans VL '!D14+'E Balans VL '!E14)/100/3.6*1000000</f>
        <v>0</v>
      </c>
      <c r="K10" s="33"/>
      <c r="L10" s="33"/>
      <c r="M10" s="33"/>
      <c r="N10" s="33">
        <f>$C$30*'E Balans VL '!Y14/100/3.6*1000000</f>
        <v>625.18206362105832</v>
      </c>
      <c r="O10" s="33"/>
      <c r="P10" s="33"/>
      <c r="R10" s="32"/>
    </row>
    <row r="11" spans="1:18">
      <c r="A11" s="32" t="s">
        <v>54</v>
      </c>
      <c r="B11" s="37">
        <f t="shared" si="0"/>
        <v>85.141000000000005</v>
      </c>
      <c r="C11" s="33"/>
      <c r="D11" s="37">
        <f>IF(ISERROR(TER_onderwijs_gas_kWh/1000),0,TER_onderwijs_gas_kWh/1000)*0.902</f>
        <v>0</v>
      </c>
      <c r="E11" s="33">
        <f>$C$31*'E Balans VL '!I11/100/3.6*1000000</f>
        <v>5.6631623259313646E-2</v>
      </c>
      <c r="F11" s="33">
        <f>$C$31*('E Balans VL '!L11+'E Balans VL '!N11)/100/3.6*1000000</f>
        <v>27.277517443507701</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210.70539600000001</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5673.5329999999994</v>
      </c>
      <c r="C16" s="21">
        <f t="shared" ca="1" si="1"/>
        <v>0</v>
      </c>
      <c r="D16" s="21">
        <f t="shared" ca="1" si="1"/>
        <v>3580.3122079999998</v>
      </c>
      <c r="E16" s="21">
        <f t="shared" si="1"/>
        <v>29.542417251254566</v>
      </c>
      <c r="F16" s="21">
        <f t="shared" ca="1" si="1"/>
        <v>708.78879098906668</v>
      </c>
      <c r="G16" s="21">
        <f t="shared" si="1"/>
        <v>0</v>
      </c>
      <c r="H16" s="21">
        <f t="shared" si="1"/>
        <v>0</v>
      </c>
      <c r="I16" s="21">
        <f t="shared" si="1"/>
        <v>0</v>
      </c>
      <c r="J16" s="21">
        <f t="shared" si="1"/>
        <v>10.46727960341139</v>
      </c>
      <c r="K16" s="21">
        <f t="shared" si="1"/>
        <v>0</v>
      </c>
      <c r="L16" s="21">
        <f t="shared" ca="1" si="1"/>
        <v>0</v>
      </c>
      <c r="M16" s="21">
        <f t="shared" si="1"/>
        <v>0</v>
      </c>
      <c r="N16" s="21">
        <f t="shared" ca="1" si="1"/>
        <v>647.0572733811548</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0.20710159276812665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1174.9977209225278</v>
      </c>
      <c r="C20" s="23">
        <f t="shared" ref="C20:P20" ca="1" si="2">C16*C18</f>
        <v>0</v>
      </c>
      <c r="D20" s="23">
        <f t="shared" ca="1" si="2"/>
        <v>723.22306601599996</v>
      </c>
      <c r="E20" s="23">
        <f t="shared" si="2"/>
        <v>6.7061287160347867</v>
      </c>
      <c r="F20" s="23">
        <f t="shared" ca="1" si="2"/>
        <v>189.24660719408081</v>
      </c>
      <c r="G20" s="23">
        <f t="shared" si="2"/>
        <v>0</v>
      </c>
      <c r="H20" s="23">
        <f t="shared" si="2"/>
        <v>0</v>
      </c>
      <c r="I20" s="23">
        <f t="shared" si="2"/>
        <v>0</v>
      </c>
      <c r="J20" s="23">
        <f t="shared" si="2"/>
        <v>3.7054169796076319</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1360.972</v>
      </c>
      <c r="C26" s="39">
        <f>IF(ISERROR(B26*3.6/1000000/'E Balans VL '!Z12*100),0,B26*3.6/1000000/'E Balans VL '!Z12*100)</f>
        <v>2.8524283529270698E-2</v>
      </c>
      <c r="D26" s="235" t="s">
        <v>647</v>
      </c>
      <c r="F26" s="6"/>
    </row>
    <row r="27" spans="1:18">
      <c r="A27" s="230" t="s">
        <v>52</v>
      </c>
      <c r="B27" s="33">
        <f>IF(ISERROR(TER_horeca_ele_kWh/1000),0,TER_horeca_ele_kWh/1000)</f>
        <v>511.79599999999999</v>
      </c>
      <c r="C27" s="39">
        <f>IF(ISERROR(B27*3.6/1000000/'E Balans VL '!Z9*100),0,B27*3.6/1000000/'E Balans VL '!Z9*100)</f>
        <v>3.9239311254974374E-2</v>
      </c>
      <c r="D27" s="235" t="s">
        <v>647</v>
      </c>
      <c r="F27" s="6"/>
    </row>
    <row r="28" spans="1:18">
      <c r="A28" s="170" t="s">
        <v>51</v>
      </c>
      <c r="B28" s="33">
        <f>IF(ISERROR(TER_handel_ele_kWh/1000),0,TER_handel_ele_kWh/1000)</f>
        <v>2410.3739999999998</v>
      </c>
      <c r="C28" s="39">
        <f>IF(ISERROR(B28*3.6/1000000/'E Balans VL '!Z13*100),0,B28*3.6/1000000/'E Balans VL '!Z13*100)</f>
        <v>6.8000206371140223E-2</v>
      </c>
      <c r="D28" s="235" t="s">
        <v>647</v>
      </c>
      <c r="F28" s="6"/>
    </row>
    <row r="29" spans="1:18">
      <c r="A29" s="230" t="s">
        <v>50</v>
      </c>
      <c r="B29" s="33">
        <f>IF(ISERROR(TER_gezond_ele_kWh/1000),0,TER_gezond_ele_kWh/1000)</f>
        <v>252.34</v>
      </c>
      <c r="C29" s="39">
        <f>IF(ISERROR(B29*3.6/1000000/'E Balans VL '!Z10*100),0,B29*3.6/1000000/'E Balans VL '!Z10*100)</f>
        <v>2.8019218639928768E-2</v>
      </c>
      <c r="D29" s="235" t="s">
        <v>647</v>
      </c>
      <c r="F29" s="6"/>
    </row>
    <row r="30" spans="1:18">
      <c r="A30" s="230" t="s">
        <v>49</v>
      </c>
      <c r="B30" s="33">
        <f>IF(ISERROR(TER_ander_ele_kWh/1000),0,TER_ander_ele_kWh/1000)</f>
        <v>1052.9100000000001</v>
      </c>
      <c r="C30" s="39">
        <f>IF(ISERROR(B30*3.6/1000000/'E Balans VL '!Z14*100),0,B30*3.6/1000000/'E Balans VL '!Z14*100)</f>
        <v>7.5973173419117496E-2</v>
      </c>
      <c r="D30" s="235" t="s">
        <v>647</v>
      </c>
      <c r="F30" s="6"/>
    </row>
    <row r="31" spans="1:18">
      <c r="A31" s="230" t="s">
        <v>54</v>
      </c>
      <c r="B31" s="33">
        <f>IF(ISERROR(TER_onderwijs_ele_kWh/1000),0,TER_onderwijs_ele_kWh/1000)</f>
        <v>85.141000000000005</v>
      </c>
      <c r="C31" s="39">
        <f>IF(ISERROR(B31*3.6/1000000/'E Balans VL '!Z11*100),0,B31*3.6/1000000/'E Balans VL '!Z11*100)</f>
        <v>2.3600410789275193E-2</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45634.479000000007</v>
      </c>
      <c r="C5" s="17">
        <f>IF(ISERROR('Eigen informatie GS &amp; warmtenet'!B59),0,'Eigen informatie GS &amp; warmtenet'!B59)</f>
        <v>0</v>
      </c>
      <c r="D5" s="30">
        <f>SUM(D6:D15)</f>
        <v>6715.5676940000012</v>
      </c>
      <c r="E5" s="17">
        <f>SUM(E6:E15)</f>
        <v>11920.635435265627</v>
      </c>
      <c r="F5" s="17">
        <f>SUM(F6:F15)</f>
        <v>29902.37826851524</v>
      </c>
      <c r="G5" s="18"/>
      <c r="H5" s="17"/>
      <c r="I5" s="17"/>
      <c r="J5" s="17">
        <f>SUM(J6:J15)</f>
        <v>4.8583775485911895E-3</v>
      </c>
      <c r="K5" s="17"/>
      <c r="L5" s="17"/>
      <c r="M5" s="17"/>
      <c r="N5" s="17">
        <f>SUM(N6:N15)</f>
        <v>4047.2094722930315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178.10300000000001</v>
      </c>
      <c r="C8" s="33"/>
      <c r="D8" s="37">
        <f>IF( ISERROR(IND_metaal_Gas_kWH/1000),0,IND_metaal_Gas_kWH/1000)*0.902</f>
        <v>0</v>
      </c>
      <c r="E8" s="33">
        <f>C30*'E Balans VL '!I18/100/3.6*1000000</f>
        <v>5.1157866766493436</v>
      </c>
      <c r="F8" s="33">
        <f>C30*'E Balans VL '!L18/100/3.6*1000000+C30*'E Balans VL '!N18/100/3.6*1000000</f>
        <v>45.67999408703951</v>
      </c>
      <c r="G8" s="34"/>
      <c r="H8" s="33"/>
      <c r="I8" s="33"/>
      <c r="J8" s="40">
        <f>C30*'E Balans VL '!D18/100/3.6*1000000+C30*'E Balans VL '!E18/100/3.6*1000000</f>
        <v>0</v>
      </c>
      <c r="K8" s="33"/>
      <c r="L8" s="33"/>
      <c r="M8" s="33"/>
      <c r="N8" s="33">
        <f>C30*'E Balans VL '!Y18/100/3.6*1000000</f>
        <v>4.8358600097313165</v>
      </c>
      <c r="O8" s="33"/>
      <c r="P8" s="33"/>
      <c r="R8" s="32"/>
    </row>
    <row r="9" spans="1:18">
      <c r="A9" s="6" t="s">
        <v>32</v>
      </c>
      <c r="B9" s="37">
        <f t="shared" si="0"/>
        <v>43863.322</v>
      </c>
      <c r="C9" s="33"/>
      <c r="D9" s="37">
        <f>IF( ISERROR(IND_andere_gas_kWh/1000),0,IND_andere_gas_kWh/1000)*0.902</f>
        <v>6141.1262880000004</v>
      </c>
      <c r="E9" s="33">
        <f>C31*'E Balans VL '!I19/100/3.6*1000000</f>
        <v>11872.722796127899</v>
      </c>
      <c r="F9" s="33">
        <f>C31*'E Balans VL '!L19/100/3.6*1000000+C31*'E Balans VL '!N19/100/3.6*1000000</f>
        <v>29217.614161075369</v>
      </c>
      <c r="G9" s="34"/>
      <c r="H9" s="33"/>
      <c r="I9" s="33"/>
      <c r="J9" s="40">
        <f>C31*'E Balans VL '!D19/100/3.6*1000000+C31*'E Balans VL '!E19/100/3.6*1000000</f>
        <v>0</v>
      </c>
      <c r="K9" s="33"/>
      <c r="L9" s="33"/>
      <c r="M9" s="33"/>
      <c r="N9" s="33">
        <f>C31*'E Balans VL '!Y19/100/3.6*1000000</f>
        <v>3708.3533137720447</v>
      </c>
      <c r="O9" s="33"/>
      <c r="P9" s="33"/>
      <c r="R9" s="32"/>
    </row>
    <row r="10" spans="1:18">
      <c r="A10" s="6" t="s">
        <v>40</v>
      </c>
      <c r="B10" s="37">
        <f t="shared" si="0"/>
        <v>367.25799999999998</v>
      </c>
      <c r="C10" s="33"/>
      <c r="D10" s="37">
        <f>IF( ISERROR(IND_voed_gas_kWh/1000),0,IND_voed_gas_kWh/1000)*0.902</f>
        <v>307.208572</v>
      </c>
      <c r="E10" s="33">
        <f>C32*'E Balans VL '!I20/100/3.6*1000000</f>
        <v>29.954406233299395</v>
      </c>
      <c r="F10" s="33">
        <f>C32*'E Balans VL '!L20/100/3.6*1000000+C32*'E Balans VL '!N20/100/3.6*1000000</f>
        <v>547.61499856535079</v>
      </c>
      <c r="G10" s="34"/>
      <c r="H10" s="33"/>
      <c r="I10" s="33"/>
      <c r="J10" s="40">
        <f>C32*'E Balans VL '!D20/100/3.6*1000000+C32*'E Balans VL '!E20/100/3.6*1000000</f>
        <v>4.8583775485911895E-3</v>
      </c>
      <c r="K10" s="33"/>
      <c r="L10" s="33"/>
      <c r="M10" s="33"/>
      <c r="N10" s="33">
        <f>C32*'E Balans VL '!Y20/100/3.6*1000000</f>
        <v>107.88744126253604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1225.796</v>
      </c>
      <c r="C13" s="33"/>
      <c r="D13" s="37">
        <f>IF( ISERROR(IND_papier_gas_kWh/1000),0,IND_papier_gas_kWh/1000)*0.902</f>
        <v>0</v>
      </c>
      <c r="E13" s="33">
        <f>C35*'E Balans VL '!I23/100/3.6*1000000</f>
        <v>12.842446227780517</v>
      </c>
      <c r="F13" s="33">
        <f>C35*'E Balans VL '!L23/100/3.6*1000000+C35*'E Balans VL '!N23/100/3.6*1000000</f>
        <v>91.469114787478276</v>
      </c>
      <c r="G13" s="34"/>
      <c r="H13" s="33"/>
      <c r="I13" s="33"/>
      <c r="J13" s="40">
        <f>C35*'E Balans VL '!D23/100/3.6*1000000+C35*'E Balans VL '!E23/100/3.6*1000000</f>
        <v>0</v>
      </c>
      <c r="K13" s="33"/>
      <c r="L13" s="33"/>
      <c r="M13" s="33"/>
      <c r="N13" s="33">
        <f>C35*'E Balans VL '!Y23/100/3.6*1000000</f>
        <v>226.13285724871952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ISERROR(IND_rest_gas_kWh/1000),0,IND_rest_gas_kWh/1000)*0.902</f>
        <v>267.23283400000003</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45634.479000000007</v>
      </c>
      <c r="C18" s="21">
        <f>C5+C16</f>
        <v>0</v>
      </c>
      <c r="D18" s="21">
        <f>MAX((D5+D16),0)</f>
        <v>6715.5676940000012</v>
      </c>
      <c r="E18" s="21">
        <f>MAX((E5+E16),0)</f>
        <v>11920.635435265627</v>
      </c>
      <c r="F18" s="21">
        <f>MAX((F5+F16),0)</f>
        <v>29902.37826851524</v>
      </c>
      <c r="G18" s="21"/>
      <c r="H18" s="21"/>
      <c r="I18" s="21"/>
      <c r="J18" s="21">
        <f>MAX((J5+J16),0)</f>
        <v>4.8583775485911895E-3</v>
      </c>
      <c r="K18" s="21"/>
      <c r="L18" s="21">
        <f>MAX((L5+L16),0)</f>
        <v>0</v>
      </c>
      <c r="M18" s="21"/>
      <c r="N18" s="21">
        <f>MAX((N5+N16),0)</f>
        <v>4047.2094722930315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0.20710159276812665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9450.9732860436288</v>
      </c>
      <c r="C22" s="23">
        <f ca="1">C18*C20</f>
        <v>0</v>
      </c>
      <c r="D22" s="23">
        <f>D18*D20</f>
        <v>1356.5446741880003</v>
      </c>
      <c r="E22" s="23">
        <f>E18*E20</f>
        <v>2705.9842438052974</v>
      </c>
      <c r="F22" s="23">
        <f>F18*F20</f>
        <v>7983.9349976935691</v>
      </c>
      <c r="G22" s="23"/>
      <c r="H22" s="23"/>
      <c r="I22" s="23"/>
      <c r="J22" s="23">
        <f>J18*J20</f>
        <v>1.7198656522012809E-3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178.10300000000001</v>
      </c>
      <c r="C30" s="39">
        <f>IF(ISERROR(B30*3.6/1000000/'E Balans VL '!Z18*100),0,B30*3.6/1000000/'E Balans VL '!Z18*100)</f>
        <v>1.7524880551472465E-2</v>
      </c>
      <c r="D30" s="235" t="s">
        <v>647</v>
      </c>
    </row>
    <row r="31" spans="1:18">
      <c r="A31" s="6" t="s">
        <v>32</v>
      </c>
      <c r="B31" s="37">
        <f>IF( ISERROR(IND_ander_ele_kWh/1000),0,IND_ander_ele_kWh/1000)</f>
        <v>43863.322</v>
      </c>
      <c r="C31" s="39">
        <f>IF(ISERROR(B31*3.6/1000000/'E Balans VL '!Z19*100),0,B31*3.6/1000000/'E Balans VL '!Z19*100)</f>
        <v>1.9102126836727091</v>
      </c>
      <c r="D31" s="235" t="s">
        <v>647</v>
      </c>
    </row>
    <row r="32" spans="1:18">
      <c r="A32" s="170" t="s">
        <v>40</v>
      </c>
      <c r="B32" s="37">
        <f>IF( ISERROR(IND_voed_ele_kWh/1000),0,IND_voed_ele_kWh/1000)</f>
        <v>367.25799999999998</v>
      </c>
      <c r="C32" s="39">
        <f>IF(ISERROR(B32*3.6/1000000/'E Balans VL '!Z20*100),0,B32*3.6/1000000/'E Balans VL '!Z20*100)</f>
        <v>6.9681909063456546E-2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1225.796</v>
      </c>
      <c r="C35" s="39">
        <f>IF(ISERROR(B35*3.6/1000000/'E Balans VL '!Z22*100),0,B35*3.6/1000000/'E Balans VL '!Z22*100)</f>
        <v>0.17235922665976314</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0</v>
      </c>
      <c r="C37" s="39">
        <f>IF(ISERROR(B37*3.6/1000000/'E Balans VL '!Z15*100),0,B37*3.6/1000000/'E Balans VL '!Z15*100)</f>
        <v>0</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1493.5250000000001</v>
      </c>
      <c r="C5" s="17">
        <f>'Eigen informatie GS &amp; warmtenet'!B60</f>
        <v>0</v>
      </c>
      <c r="D5" s="30">
        <f>IF(ISERROR(SUM(LB_lb_gas_kWh,LB_rest_gas_kWh)/1000),0,SUM(LB_lb_gas_kWh,LB_rest_gas_kWh)/1000)*0.902</f>
        <v>54.724340000000005</v>
      </c>
      <c r="E5" s="17">
        <f>B17*'E Balans VL '!I25/3.6*1000000/100</f>
        <v>31.012613736425031</v>
      </c>
      <c r="F5" s="17">
        <f>B17*('E Balans VL '!L25/3.6*1000000+'E Balans VL '!N25/3.6*1000000)/100</f>
        <v>5278.1554603956638</v>
      </c>
      <c r="G5" s="18"/>
      <c r="H5" s="17"/>
      <c r="I5" s="17"/>
      <c r="J5" s="17">
        <f>('E Balans VL '!D25+'E Balans VL '!E25)/3.6*1000000*landbouw!B17/100</f>
        <v>171.29787120778695</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1493.5250000000001</v>
      </c>
      <c r="C8" s="21">
        <f>C5+C6</f>
        <v>0</v>
      </c>
      <c r="D8" s="21">
        <f>MAX((D5+D6),0)</f>
        <v>54.724340000000005</v>
      </c>
      <c r="E8" s="21">
        <f>MAX((E5+E6),0)</f>
        <v>31.012613736425031</v>
      </c>
      <c r="F8" s="21">
        <f>MAX((F5+F6),0)</f>
        <v>5278.1554603956638</v>
      </c>
      <c r="G8" s="21"/>
      <c r="H8" s="21"/>
      <c r="I8" s="21"/>
      <c r="J8" s="21">
        <f>MAX((J5+J6),0)</f>
        <v>171.29787120778695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0.20710159276812665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309.31140633901634</v>
      </c>
      <c r="C12" s="23">
        <f ca="1">C8*C10</f>
        <v>0</v>
      </c>
      <c r="D12" s="23">
        <f>D8*D10</f>
        <v>11.054316680000001</v>
      </c>
      <c r="E12" s="23">
        <f>E8*E10</f>
        <v>7.0398633181684822</v>
      </c>
      <c r="F12" s="23">
        <f>F8*F10</f>
        <v>1409.2675079256423</v>
      </c>
      <c r="G12" s="23"/>
      <c r="H12" s="23"/>
      <c r="I12" s="23"/>
      <c r="J12" s="23">
        <f>J8*J10</f>
        <v>60.639446407556576</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0.20829966432442368</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54.459094942622187</v>
      </c>
      <c r="C26" s="245">
        <f>B26*'GWP N2O_CH4'!B5</f>
        <v>1143.6409937950659</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22.018291220899837</v>
      </c>
      <c r="C27" s="245">
        <f>B27*'GWP N2O_CH4'!B5</f>
        <v>462.38411563889656</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0.81685081342854637</v>
      </c>
      <c r="C28" s="245">
        <f>B28*'GWP N2O_CH4'!B4</f>
        <v>253.22375216284937</v>
      </c>
      <c r="D28" s="50"/>
    </row>
    <row r="29" spans="1:4">
      <c r="A29" s="41" t="s">
        <v>266</v>
      </c>
      <c r="B29" s="245">
        <f>B34*'ha_N2O bodem landbouw'!B4</f>
        <v>9.0898084615653723</v>
      </c>
      <c r="C29" s="245">
        <f>B29*'GWP N2O_CH4'!B4</f>
        <v>2817.8406230852652</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2.2696343449516996E-3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1.0670596840561236E-5</v>
      </c>
      <c r="C5" s="434" t="s">
        <v>204</v>
      </c>
      <c r="D5" s="419">
        <f>SUM(D6:D11)</f>
        <v>1.0575339243768662E-5</v>
      </c>
      <c r="E5" s="419">
        <f>SUM(E6:E11)</f>
        <v>3.7358842371087986E-4</v>
      </c>
      <c r="F5" s="432" t="s">
        <v>204</v>
      </c>
      <c r="G5" s="419">
        <f>SUM(G6:G11)</f>
        <v>9.5620386933679219E-2</v>
      </c>
      <c r="H5" s="419">
        <f>SUM(H6:H11)</f>
        <v>1.92293150924998E-2</v>
      </c>
      <c r="I5" s="434" t="s">
        <v>204</v>
      </c>
      <c r="J5" s="434" t="s">
        <v>204</v>
      </c>
      <c r="K5" s="434" t="s">
        <v>204</v>
      </c>
      <c r="L5" s="434" t="s">
        <v>204</v>
      </c>
      <c r="M5" s="419">
        <f>SUM(M6:M11)</f>
        <v>5.1939271541111189E-3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8.0998018760333354E-6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7.1845886062411538E-6</v>
      </c>
      <c r="E6" s="836">
        <f>vkm_GW_PW*SUMIFS(TableVerdeelsleutelVkm[LPG],TableVerdeelsleutelVkm[Voertuigtype],"Lichte voertuigen")*SUMIFS(TableECFTransport[EnergieConsumptieFactor (PJ per km)],TableECFTransport[Index],CONCATENATE($A6,"_LPG_LPG"))</f>
        <v>2.5799264720777307E-4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5.1287501537802774E-2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1.3239556417734848E-2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2.9192162940994775E-3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1.2806475297298371E-7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2.004022969636347E-2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5.2717005230407996E-7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9.0485045684589641E-4</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2.4297315069688511E-6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3.390750637527509E-6</v>
      </c>
      <c r="E8" s="422">
        <f>vkm_NGW_PW*SUMIFS(TableVerdeelsleutelVkm[LPG],TableVerdeelsleutelVkm[Voertuigtype],"Lichte voertuigen")*SUMIFS(TableECFTransport[EnergieConsumptieFactor (PJ per km)],TableECFTransport[Index],CONCATENATE($A8,"_LPG_LPG"))</f>
        <v>1.1559577650310676E-4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2.1679813369185404E-2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5.9891669188247062E-3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1.2518863168440558E-3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1.2998704586066356E-8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2.6128423303275776E-3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6.4585887941387766E-8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1.1797408632168936E-4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2.9640546779336767</v>
      </c>
      <c r="C14" s="21"/>
      <c r="D14" s="21">
        <f t="shared" ref="D14:M14" si="0">((D5)*10^9/3600)+D12</f>
        <v>2.937594234380184</v>
      </c>
      <c r="E14" s="21">
        <f t="shared" si="0"/>
        <v>103.77456214191108</v>
      </c>
      <c r="F14" s="21"/>
      <c r="G14" s="21">
        <f t="shared" si="0"/>
        <v>26561.218592688674</v>
      </c>
      <c r="H14" s="21">
        <f t="shared" si="0"/>
        <v>5341.4764145832778</v>
      </c>
      <c r="I14" s="21"/>
      <c r="J14" s="21"/>
      <c r="K14" s="21"/>
      <c r="L14" s="21"/>
      <c r="M14" s="21">
        <f t="shared" si="0"/>
        <v>1442.7575428086441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0.20710159276812665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0.61386044485188107</v>
      </c>
      <c r="C18" s="23"/>
      <c r="D18" s="23">
        <f t="shared" ref="D18:M18" si="1">D14*D16</f>
        <v>0.59339403534479718</v>
      </c>
      <c r="E18" s="23">
        <f t="shared" si="1"/>
        <v>23.556825606213817</v>
      </c>
      <c r="F18" s="23"/>
      <c r="G18" s="23">
        <f t="shared" si="1"/>
        <v>7091.8453642478762</v>
      </c>
      <c r="H18" s="23">
        <f t="shared" si="1"/>
        <v>1330.0276272312362</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8.1112392630262624E-6</v>
      </c>
      <c r="C50" s="316">
        <f t="shared" ref="C50:P50" si="2">SUM(C51:C52)</f>
        <v>0</v>
      </c>
      <c r="D50" s="316">
        <f t="shared" si="2"/>
        <v>0</v>
      </c>
      <c r="E50" s="316">
        <f t="shared" si="2"/>
        <v>0</v>
      </c>
      <c r="F50" s="316">
        <f t="shared" si="2"/>
        <v>0</v>
      </c>
      <c r="G50" s="316">
        <f t="shared" si="2"/>
        <v>1.5788068259683155E-3</v>
      </c>
      <c r="H50" s="316">
        <f t="shared" si="2"/>
        <v>0</v>
      </c>
      <c r="I50" s="316">
        <f t="shared" si="2"/>
        <v>0</v>
      </c>
      <c r="J50" s="316">
        <f t="shared" si="2"/>
        <v>0</v>
      </c>
      <c r="K50" s="316">
        <f t="shared" si="2"/>
        <v>0</v>
      </c>
      <c r="L50" s="316">
        <f t="shared" si="2"/>
        <v>0</v>
      </c>
      <c r="M50" s="316">
        <f t="shared" si="2"/>
        <v>7.0795024693045367E-5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8.1112392630262624E-6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1.5788068259683155E-3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7.0795024693045367E-5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2.253122017507295</v>
      </c>
      <c r="C54" s="21">
        <f t="shared" ref="C54:P54" si="3">(C50)*10^9/3600</f>
        <v>0</v>
      </c>
      <c r="D54" s="21">
        <f t="shared" si="3"/>
        <v>0</v>
      </c>
      <c r="E54" s="21">
        <f t="shared" si="3"/>
        <v>0</v>
      </c>
      <c r="F54" s="21">
        <f t="shared" si="3"/>
        <v>0</v>
      </c>
      <c r="G54" s="21">
        <f t="shared" si="3"/>
        <v>438.55745165786544</v>
      </c>
      <c r="H54" s="21">
        <f t="shared" si="3"/>
        <v>0</v>
      </c>
      <c r="I54" s="21">
        <f t="shared" si="3"/>
        <v>0</v>
      </c>
      <c r="J54" s="21">
        <f t="shared" si="3"/>
        <v>0</v>
      </c>
      <c r="K54" s="21">
        <f t="shared" si="3"/>
        <v>0</v>
      </c>
      <c r="L54" s="21">
        <f t="shared" si="3"/>
        <v>0</v>
      </c>
      <c r="M54" s="21">
        <f t="shared" si="3"/>
        <v>19.665284636957047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0.20710159276812665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0.46662515852669573</v>
      </c>
      <c r="C58" s="23">
        <f t="shared" ref="C58:P58" ca="1" si="4">C54*C56</f>
        <v>0</v>
      </c>
      <c r="D58" s="23">
        <f t="shared" si="4"/>
        <v>0</v>
      </c>
      <c r="E58" s="23">
        <f t="shared" si="4"/>
        <v>0</v>
      </c>
      <c r="F58" s="23">
        <f t="shared" si="4"/>
        <v>0</v>
      </c>
      <c r="G58" s="23">
        <f t="shared" si="4"/>
        <v>117.09483959265008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4259.7049771876354</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4259.7049771876354</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6230.0879999999997</v>
      </c>
      <c r="D10" s="640">
        <f ca="1">tertiair!C16</f>
        <v>0</v>
      </c>
      <c r="E10" s="640">
        <f ca="1">tertiair!D16</f>
        <v>3580.3122079999998</v>
      </c>
      <c r="F10" s="640">
        <f>tertiair!E16</f>
        <v>29.542417251254566</v>
      </c>
      <c r="G10" s="640">
        <f ca="1">tertiair!F16</f>
        <v>708.78879098906668</v>
      </c>
      <c r="H10" s="640">
        <f>tertiair!G16</f>
        <v>0</v>
      </c>
      <c r="I10" s="640">
        <f>tertiair!H16</f>
        <v>0</v>
      </c>
      <c r="J10" s="640">
        <f>tertiair!I16</f>
        <v>0</v>
      </c>
      <c r="K10" s="640">
        <f>tertiair!J16</f>
        <v>10.46727960341139</v>
      </c>
      <c r="L10" s="640">
        <f>tertiair!K16</f>
        <v>0</v>
      </c>
      <c r="M10" s="640">
        <f ca="1">tertiair!L16</f>
        <v>0</v>
      </c>
      <c r="N10" s="640">
        <f>tertiair!M16</f>
        <v>0</v>
      </c>
      <c r="O10" s="640">
        <f ca="1">tertiair!N16</f>
        <v>647.0572733811548</v>
      </c>
      <c r="P10" s="640">
        <f>tertiair!O16</f>
        <v>0</v>
      </c>
      <c r="Q10" s="641">
        <f>tertiair!P16</f>
        <v>19.066666666666666</v>
      </c>
      <c r="R10" s="643">
        <f ca="1">SUM(C10:Q10)</f>
        <v>11225.322635891554</v>
      </c>
      <c r="S10" s="67"/>
    </row>
    <row r="11" spans="1:19" s="444" customFormat="1">
      <c r="A11" s="754" t="s">
        <v>214</v>
      </c>
      <c r="B11" s="759"/>
      <c r="C11" s="640">
        <f>huishoudens!B8</f>
        <v>14162.258904199705</v>
      </c>
      <c r="D11" s="640">
        <f>huishoudens!C8</f>
        <v>0</v>
      </c>
      <c r="E11" s="640">
        <f>huishoudens!D8</f>
        <v>18383.684550000002</v>
      </c>
      <c r="F11" s="640">
        <f>huishoudens!E8</f>
        <v>1095.5264465751106</v>
      </c>
      <c r="G11" s="640">
        <f>huishoudens!F8</f>
        <v>33572.925872644097</v>
      </c>
      <c r="H11" s="640">
        <f>huishoudens!G8</f>
        <v>0</v>
      </c>
      <c r="I11" s="640">
        <f>huishoudens!H8</f>
        <v>0</v>
      </c>
      <c r="J11" s="640">
        <f>huishoudens!I8</f>
        <v>0</v>
      </c>
      <c r="K11" s="640">
        <f>huishoudens!J8</f>
        <v>635.80436647778185</v>
      </c>
      <c r="L11" s="640">
        <f>huishoudens!K8</f>
        <v>0</v>
      </c>
      <c r="M11" s="640">
        <f>huishoudens!L8</f>
        <v>0</v>
      </c>
      <c r="N11" s="640">
        <f>huishoudens!M8</f>
        <v>0</v>
      </c>
      <c r="O11" s="640">
        <f>huishoudens!N8</f>
        <v>5029.2554450686121</v>
      </c>
      <c r="P11" s="640">
        <f>huishoudens!O8</f>
        <v>90.673333333333346</v>
      </c>
      <c r="Q11" s="641">
        <f>huishoudens!P8</f>
        <v>381.33333333333337</v>
      </c>
      <c r="R11" s="643">
        <f>SUM(C11:Q11)</f>
        <v>73351.46225163198</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45634.479000000007</v>
      </c>
      <c r="D13" s="640">
        <f>industrie!C18</f>
        <v>0</v>
      </c>
      <c r="E13" s="640">
        <f>industrie!D18</f>
        <v>6715.5676940000012</v>
      </c>
      <c r="F13" s="640">
        <f>industrie!E18</f>
        <v>11920.635435265627</v>
      </c>
      <c r="G13" s="640">
        <f>industrie!F18</f>
        <v>29902.37826851524</v>
      </c>
      <c r="H13" s="640">
        <f>industrie!G18</f>
        <v>0</v>
      </c>
      <c r="I13" s="640">
        <f>industrie!H18</f>
        <v>0</v>
      </c>
      <c r="J13" s="640">
        <f>industrie!I18</f>
        <v>0</v>
      </c>
      <c r="K13" s="640">
        <f>industrie!J18</f>
        <v>4.8583775485911895E-3</v>
      </c>
      <c r="L13" s="640">
        <f>industrie!K18</f>
        <v>0</v>
      </c>
      <c r="M13" s="640">
        <f>industrie!L18</f>
        <v>0</v>
      </c>
      <c r="N13" s="640">
        <f>industrie!M18</f>
        <v>0</v>
      </c>
      <c r="O13" s="640">
        <f>industrie!N18</f>
        <v>4047.2094722930315</v>
      </c>
      <c r="P13" s="640">
        <f>industrie!O18</f>
        <v>0</v>
      </c>
      <c r="Q13" s="641">
        <f>industrie!P18</f>
        <v>0</v>
      </c>
      <c r="R13" s="643">
        <f>SUM(C13:Q13)</f>
        <v>98220.274728451463</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66026.825904199708</v>
      </c>
      <c r="D16" s="675">
        <f t="shared" ref="D16:R16" ca="1" si="0">SUM(D9:D15)</f>
        <v>0</v>
      </c>
      <c r="E16" s="675">
        <f t="shared" ca="1" si="0"/>
        <v>28679.564452000002</v>
      </c>
      <c r="F16" s="675">
        <f t="shared" si="0"/>
        <v>13045.704299091993</v>
      </c>
      <c r="G16" s="675">
        <f t="shared" ca="1" si="0"/>
        <v>64184.0929321484</v>
      </c>
      <c r="H16" s="675">
        <f t="shared" si="0"/>
        <v>0</v>
      </c>
      <c r="I16" s="675">
        <f t="shared" si="0"/>
        <v>0</v>
      </c>
      <c r="J16" s="675">
        <f t="shared" si="0"/>
        <v>0</v>
      </c>
      <c r="K16" s="675">
        <f t="shared" si="0"/>
        <v>646.27650445874178</v>
      </c>
      <c r="L16" s="675">
        <f t="shared" si="0"/>
        <v>0</v>
      </c>
      <c r="M16" s="675">
        <f t="shared" ca="1" si="0"/>
        <v>0</v>
      </c>
      <c r="N16" s="675">
        <f t="shared" si="0"/>
        <v>0</v>
      </c>
      <c r="O16" s="675">
        <f t="shared" ca="1" si="0"/>
        <v>9723.5221907427986</v>
      </c>
      <c r="P16" s="675">
        <f t="shared" si="0"/>
        <v>90.673333333333346</v>
      </c>
      <c r="Q16" s="675">
        <f t="shared" si="0"/>
        <v>400.40000000000003</v>
      </c>
      <c r="R16" s="675">
        <f t="shared" ca="1" si="0"/>
        <v>182797.05961597501</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2.253122017507295</v>
      </c>
      <c r="D19" s="640">
        <f>transport!C54</f>
        <v>0</v>
      </c>
      <c r="E19" s="640">
        <f>transport!D54</f>
        <v>0</v>
      </c>
      <c r="F19" s="640">
        <f>transport!E54</f>
        <v>0</v>
      </c>
      <c r="G19" s="640">
        <f>transport!F54</f>
        <v>0</v>
      </c>
      <c r="H19" s="640">
        <f>transport!G54</f>
        <v>438.55745165786544</v>
      </c>
      <c r="I19" s="640">
        <f>transport!H54</f>
        <v>0</v>
      </c>
      <c r="J19" s="640">
        <f>transport!I54</f>
        <v>0</v>
      </c>
      <c r="K19" s="640">
        <f>transport!J54</f>
        <v>0</v>
      </c>
      <c r="L19" s="640">
        <f>transport!K54</f>
        <v>0</v>
      </c>
      <c r="M19" s="640">
        <f>transport!L54</f>
        <v>0</v>
      </c>
      <c r="N19" s="640">
        <f>transport!M54</f>
        <v>19.665284636957047</v>
      </c>
      <c r="O19" s="640">
        <f>transport!N54</f>
        <v>0</v>
      </c>
      <c r="P19" s="640">
        <f>transport!O54</f>
        <v>0</v>
      </c>
      <c r="Q19" s="641">
        <f>transport!P54</f>
        <v>0</v>
      </c>
      <c r="R19" s="643">
        <f>SUM(C19:Q19)</f>
        <v>460.47585831232976</v>
      </c>
      <c r="S19" s="67"/>
    </row>
    <row r="20" spans="1:19" s="444" customFormat="1">
      <c r="A20" s="754" t="s">
        <v>296</v>
      </c>
      <c r="B20" s="759"/>
      <c r="C20" s="640">
        <f>transport!B14</f>
        <v>2.9640546779336767</v>
      </c>
      <c r="D20" s="640">
        <f>transport!C14</f>
        <v>0</v>
      </c>
      <c r="E20" s="640">
        <f>transport!D14</f>
        <v>2.937594234380184</v>
      </c>
      <c r="F20" s="640">
        <f>transport!E14</f>
        <v>103.77456214191108</v>
      </c>
      <c r="G20" s="640">
        <f>transport!F14</f>
        <v>0</v>
      </c>
      <c r="H20" s="640">
        <f>transport!G14</f>
        <v>26561.218592688674</v>
      </c>
      <c r="I20" s="640">
        <f>transport!H14</f>
        <v>5341.4764145832778</v>
      </c>
      <c r="J20" s="640">
        <f>transport!I14</f>
        <v>0</v>
      </c>
      <c r="K20" s="640">
        <f>transport!J14</f>
        <v>0</v>
      </c>
      <c r="L20" s="640">
        <f>transport!K14</f>
        <v>0</v>
      </c>
      <c r="M20" s="640">
        <f>transport!L14</f>
        <v>0</v>
      </c>
      <c r="N20" s="640">
        <f>transport!M14</f>
        <v>1442.7575428086441</v>
      </c>
      <c r="O20" s="640">
        <f>transport!N14</f>
        <v>0</v>
      </c>
      <c r="P20" s="640">
        <f>transport!O14</f>
        <v>0</v>
      </c>
      <c r="Q20" s="641">
        <f>transport!P14</f>
        <v>0</v>
      </c>
      <c r="R20" s="643">
        <f>SUM(C20:Q20)</f>
        <v>33455.128761134823</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5.2171766954409717</v>
      </c>
      <c r="D22" s="757">
        <f t="shared" ref="D22:R22" si="1">SUM(D18:D21)</f>
        <v>0</v>
      </c>
      <c r="E22" s="757">
        <f t="shared" si="1"/>
        <v>2.937594234380184</v>
      </c>
      <c r="F22" s="757">
        <f t="shared" si="1"/>
        <v>103.77456214191108</v>
      </c>
      <c r="G22" s="757">
        <f t="shared" si="1"/>
        <v>0</v>
      </c>
      <c r="H22" s="757">
        <f t="shared" si="1"/>
        <v>26999.776044346541</v>
      </c>
      <c r="I22" s="757">
        <f t="shared" si="1"/>
        <v>5341.4764145832778</v>
      </c>
      <c r="J22" s="757">
        <f t="shared" si="1"/>
        <v>0</v>
      </c>
      <c r="K22" s="757">
        <f t="shared" si="1"/>
        <v>0</v>
      </c>
      <c r="L22" s="757">
        <f t="shared" si="1"/>
        <v>0</v>
      </c>
      <c r="M22" s="757">
        <f t="shared" si="1"/>
        <v>0</v>
      </c>
      <c r="N22" s="757">
        <f t="shared" si="1"/>
        <v>1462.4228274456011</v>
      </c>
      <c r="O22" s="757">
        <f t="shared" si="1"/>
        <v>0</v>
      </c>
      <c r="P22" s="757">
        <f t="shared" si="1"/>
        <v>0</v>
      </c>
      <c r="Q22" s="757">
        <f t="shared" si="1"/>
        <v>0</v>
      </c>
      <c r="R22" s="757">
        <f t="shared" si="1"/>
        <v>33915.604619447156</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1493.5250000000001</v>
      </c>
      <c r="D24" s="640">
        <f>+landbouw!C8</f>
        <v>0</v>
      </c>
      <c r="E24" s="640">
        <f>+landbouw!D8</f>
        <v>54.724340000000005</v>
      </c>
      <c r="F24" s="640">
        <f>+landbouw!E8</f>
        <v>31.012613736425031</v>
      </c>
      <c r="G24" s="640">
        <f>+landbouw!F8</f>
        <v>5278.1554603956638</v>
      </c>
      <c r="H24" s="640">
        <f>+landbouw!G8</f>
        <v>0</v>
      </c>
      <c r="I24" s="640">
        <f>+landbouw!H8</f>
        <v>0</v>
      </c>
      <c r="J24" s="640">
        <f>+landbouw!I8</f>
        <v>0</v>
      </c>
      <c r="K24" s="640">
        <f>+landbouw!J8</f>
        <v>171.29787120778695</v>
      </c>
      <c r="L24" s="640">
        <f>+landbouw!K8</f>
        <v>0</v>
      </c>
      <c r="M24" s="640">
        <f>+landbouw!L8</f>
        <v>0</v>
      </c>
      <c r="N24" s="640">
        <f>+landbouw!M8</f>
        <v>0</v>
      </c>
      <c r="O24" s="640">
        <f>+landbouw!N8</f>
        <v>0</v>
      </c>
      <c r="P24" s="640">
        <f>+landbouw!O8</f>
        <v>0</v>
      </c>
      <c r="Q24" s="641">
        <f>+landbouw!P8</f>
        <v>0</v>
      </c>
      <c r="R24" s="643">
        <f>SUM(C24:Q24)</f>
        <v>7028.7152853398757</v>
      </c>
      <c r="S24" s="67"/>
    </row>
    <row r="25" spans="1:19" s="444" customFormat="1" ht="15" thickBot="1">
      <c r="A25" s="776" t="s">
        <v>806</v>
      </c>
      <c r="B25" s="939"/>
      <c r="C25" s="940">
        <f>IF(Onbekend_ele_kWh="---",0,Onbekend_ele_kWh)/1000+IF(REST_rest_ele_kWh="---",0,REST_rest_ele_kWh)/1000</f>
        <v>208.43799999999999</v>
      </c>
      <c r="D25" s="940"/>
      <c r="E25" s="940">
        <f>IF(onbekend_gas_kWh="---",0,onbekend_gas_kWh)/1000+IF(REST_rest_gas_kWh="---",0,REST_rest_gas_kWh)/1000</f>
        <v>3856.7350000000001</v>
      </c>
      <c r="F25" s="940"/>
      <c r="G25" s="940"/>
      <c r="H25" s="940"/>
      <c r="I25" s="940"/>
      <c r="J25" s="940"/>
      <c r="K25" s="940"/>
      <c r="L25" s="940"/>
      <c r="M25" s="940"/>
      <c r="N25" s="940"/>
      <c r="O25" s="940"/>
      <c r="P25" s="940"/>
      <c r="Q25" s="941"/>
      <c r="R25" s="643">
        <f>SUM(C25:Q25)</f>
        <v>4065.1730000000002</v>
      </c>
      <c r="S25" s="67"/>
    </row>
    <row r="26" spans="1:19" s="444" customFormat="1" ht="15.75" thickBot="1">
      <c r="A26" s="648" t="s">
        <v>807</v>
      </c>
      <c r="B26" s="762"/>
      <c r="C26" s="757">
        <f>SUM(C24:C25)</f>
        <v>1701.9630000000002</v>
      </c>
      <c r="D26" s="757">
        <f t="shared" ref="D26:R26" si="2">SUM(D24:D25)</f>
        <v>0</v>
      </c>
      <c r="E26" s="757">
        <f t="shared" si="2"/>
        <v>3911.4593400000003</v>
      </c>
      <c r="F26" s="757">
        <f t="shared" si="2"/>
        <v>31.012613736425031</v>
      </c>
      <c r="G26" s="757">
        <f t="shared" si="2"/>
        <v>5278.1554603956638</v>
      </c>
      <c r="H26" s="757">
        <f t="shared" si="2"/>
        <v>0</v>
      </c>
      <c r="I26" s="757">
        <f t="shared" si="2"/>
        <v>0</v>
      </c>
      <c r="J26" s="757">
        <f t="shared" si="2"/>
        <v>0</v>
      </c>
      <c r="K26" s="757">
        <f t="shared" si="2"/>
        <v>171.29787120778695</v>
      </c>
      <c r="L26" s="757">
        <f t="shared" si="2"/>
        <v>0</v>
      </c>
      <c r="M26" s="757">
        <f t="shared" si="2"/>
        <v>0</v>
      </c>
      <c r="N26" s="757">
        <f t="shared" si="2"/>
        <v>0</v>
      </c>
      <c r="O26" s="757">
        <f t="shared" si="2"/>
        <v>0</v>
      </c>
      <c r="P26" s="757">
        <f t="shared" si="2"/>
        <v>0</v>
      </c>
      <c r="Q26" s="757">
        <f t="shared" si="2"/>
        <v>0</v>
      </c>
      <c r="R26" s="757">
        <f t="shared" si="2"/>
        <v>11093.888285339875</v>
      </c>
      <c r="S26" s="67"/>
    </row>
    <row r="27" spans="1:19" s="444" customFormat="1" ht="17.25" thickTop="1" thickBot="1">
      <c r="A27" s="649" t="s">
        <v>109</v>
      </c>
      <c r="B27" s="749"/>
      <c r="C27" s="650">
        <f ca="1">C22+C16+C26</f>
        <v>67734.006080895153</v>
      </c>
      <c r="D27" s="650">
        <f t="shared" ref="D27:R27" ca="1" si="3">D22+D16+D26</f>
        <v>0</v>
      </c>
      <c r="E27" s="650">
        <f t="shared" ca="1" si="3"/>
        <v>32593.961386234383</v>
      </c>
      <c r="F27" s="650">
        <f t="shared" si="3"/>
        <v>13180.491474970329</v>
      </c>
      <c r="G27" s="650">
        <f t="shared" ca="1" si="3"/>
        <v>69462.248392544061</v>
      </c>
      <c r="H27" s="650">
        <f t="shared" si="3"/>
        <v>26999.776044346541</v>
      </c>
      <c r="I27" s="650">
        <f t="shared" si="3"/>
        <v>5341.4764145832778</v>
      </c>
      <c r="J27" s="650">
        <f t="shared" si="3"/>
        <v>0</v>
      </c>
      <c r="K27" s="650">
        <f t="shared" si="3"/>
        <v>817.57437566652879</v>
      </c>
      <c r="L27" s="650">
        <f t="shared" si="3"/>
        <v>0</v>
      </c>
      <c r="M27" s="650">
        <f t="shared" ca="1" si="3"/>
        <v>0</v>
      </c>
      <c r="N27" s="650">
        <f t="shared" si="3"/>
        <v>1462.4228274456011</v>
      </c>
      <c r="O27" s="650">
        <f t="shared" ca="1" si="3"/>
        <v>9723.5221907427986</v>
      </c>
      <c r="P27" s="650">
        <f t="shared" si="3"/>
        <v>90.673333333333346</v>
      </c>
      <c r="Q27" s="650">
        <f t="shared" si="3"/>
        <v>400.40000000000003</v>
      </c>
      <c r="R27" s="650">
        <f t="shared" ca="1" si="3"/>
        <v>227806.55252076202</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1290.2611478855924</v>
      </c>
      <c r="D40" s="640">
        <f ca="1">tertiair!C20</f>
        <v>0</v>
      </c>
      <c r="E40" s="640">
        <f ca="1">tertiair!D20</f>
        <v>723.22306601599996</v>
      </c>
      <c r="F40" s="640">
        <f>tertiair!E20</f>
        <v>6.7061287160347867</v>
      </c>
      <c r="G40" s="640">
        <f ca="1">tertiair!F20</f>
        <v>189.24660719408081</v>
      </c>
      <c r="H40" s="640">
        <f>tertiair!G20</f>
        <v>0</v>
      </c>
      <c r="I40" s="640">
        <f>tertiair!H20</f>
        <v>0</v>
      </c>
      <c r="J40" s="640">
        <f>tertiair!I20</f>
        <v>0</v>
      </c>
      <c r="K40" s="640">
        <f>tertiair!J20</f>
        <v>3.7054169796076319</v>
      </c>
      <c r="L40" s="640">
        <f>tertiair!K20</f>
        <v>0</v>
      </c>
      <c r="M40" s="640">
        <f ca="1">tertiair!L20</f>
        <v>0</v>
      </c>
      <c r="N40" s="640">
        <f>tertiair!M20</f>
        <v>0</v>
      </c>
      <c r="O40" s="640">
        <f ca="1">tertiair!N20</f>
        <v>0</v>
      </c>
      <c r="P40" s="640">
        <f>tertiair!O20</f>
        <v>0</v>
      </c>
      <c r="Q40" s="717">
        <f>tertiair!P20</f>
        <v>0</v>
      </c>
      <c r="R40" s="795">
        <f t="shared" ca="1" si="4"/>
        <v>2213.1423667913155</v>
      </c>
    </row>
    <row r="41" spans="1:18">
      <c r="A41" s="767" t="s">
        <v>214</v>
      </c>
      <c r="B41" s="774"/>
      <c r="C41" s="640">
        <f ca="1">huishoudens!B12</f>
        <v>2933.0263762543427</v>
      </c>
      <c r="D41" s="640">
        <f ca="1">huishoudens!C12</f>
        <v>0</v>
      </c>
      <c r="E41" s="640">
        <f>huishoudens!D12</f>
        <v>3713.5042791000005</v>
      </c>
      <c r="F41" s="640">
        <f>huishoudens!E12</f>
        <v>248.68450337255013</v>
      </c>
      <c r="G41" s="640">
        <f>huishoudens!F12</f>
        <v>8963.9712079959736</v>
      </c>
      <c r="H41" s="640">
        <f>huishoudens!G12</f>
        <v>0</v>
      </c>
      <c r="I41" s="640">
        <f>huishoudens!H12</f>
        <v>0</v>
      </c>
      <c r="J41" s="640">
        <f>huishoudens!I12</f>
        <v>0</v>
      </c>
      <c r="K41" s="640">
        <f>huishoudens!J12</f>
        <v>225.07474573313476</v>
      </c>
      <c r="L41" s="640">
        <f>huishoudens!K12</f>
        <v>0</v>
      </c>
      <c r="M41" s="640">
        <f>huishoudens!L12</f>
        <v>0</v>
      </c>
      <c r="N41" s="640">
        <f>huishoudens!M12</f>
        <v>0</v>
      </c>
      <c r="O41" s="640">
        <f>huishoudens!N12</f>
        <v>0</v>
      </c>
      <c r="P41" s="640">
        <f>huishoudens!O12</f>
        <v>0</v>
      </c>
      <c r="Q41" s="717">
        <f>huishoudens!P12</f>
        <v>0</v>
      </c>
      <c r="R41" s="795">
        <f t="shared" ca="1" si="4"/>
        <v>16084.261112456003</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9450.9732860436288</v>
      </c>
      <c r="D43" s="640">
        <f ca="1">industrie!C22</f>
        <v>0</v>
      </c>
      <c r="E43" s="640">
        <f>industrie!D22</f>
        <v>1356.5446741880003</v>
      </c>
      <c r="F43" s="640">
        <f>industrie!E22</f>
        <v>2705.9842438052974</v>
      </c>
      <c r="G43" s="640">
        <f>industrie!F22</f>
        <v>7983.9349976935691</v>
      </c>
      <c r="H43" s="640">
        <f>industrie!G22</f>
        <v>0</v>
      </c>
      <c r="I43" s="640">
        <f>industrie!H22</f>
        <v>0</v>
      </c>
      <c r="J43" s="640">
        <f>industrie!I22</f>
        <v>0</v>
      </c>
      <c r="K43" s="640">
        <f>industrie!J22</f>
        <v>1.7198656522012809E-3</v>
      </c>
      <c r="L43" s="640">
        <f>industrie!K22</f>
        <v>0</v>
      </c>
      <c r="M43" s="640">
        <f>industrie!L22</f>
        <v>0</v>
      </c>
      <c r="N43" s="640">
        <f>industrie!M22</f>
        <v>0</v>
      </c>
      <c r="O43" s="640">
        <f>industrie!N22</f>
        <v>0</v>
      </c>
      <c r="P43" s="640">
        <f>industrie!O22</f>
        <v>0</v>
      </c>
      <c r="Q43" s="717">
        <f>industrie!P22</f>
        <v>0</v>
      </c>
      <c r="R43" s="794">
        <f t="shared" ca="1" si="4"/>
        <v>21497.438921596149</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13674.260810183565</v>
      </c>
      <c r="D46" s="675">
        <f t="shared" ref="D46:Q46" ca="1" si="5">SUM(D39:D45)</f>
        <v>0</v>
      </c>
      <c r="E46" s="675">
        <f t="shared" ca="1" si="5"/>
        <v>5793.2720193040013</v>
      </c>
      <c r="F46" s="675">
        <f t="shared" si="5"/>
        <v>2961.3748758938823</v>
      </c>
      <c r="G46" s="675">
        <f t="shared" ca="1" si="5"/>
        <v>17137.152812883625</v>
      </c>
      <c r="H46" s="675">
        <f t="shared" si="5"/>
        <v>0</v>
      </c>
      <c r="I46" s="675">
        <f t="shared" si="5"/>
        <v>0</v>
      </c>
      <c r="J46" s="675">
        <f t="shared" si="5"/>
        <v>0</v>
      </c>
      <c r="K46" s="675">
        <f t="shared" si="5"/>
        <v>228.7818825783946</v>
      </c>
      <c r="L46" s="675">
        <f t="shared" si="5"/>
        <v>0</v>
      </c>
      <c r="M46" s="675">
        <f t="shared" ca="1" si="5"/>
        <v>0</v>
      </c>
      <c r="N46" s="675">
        <f t="shared" si="5"/>
        <v>0</v>
      </c>
      <c r="O46" s="675">
        <f t="shared" ca="1" si="5"/>
        <v>0</v>
      </c>
      <c r="P46" s="675">
        <f t="shared" si="5"/>
        <v>0</v>
      </c>
      <c r="Q46" s="675">
        <f t="shared" si="5"/>
        <v>0</v>
      </c>
      <c r="R46" s="675">
        <f ca="1">SUM(R39:R45)</f>
        <v>39794.842400843467</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0.46662515852669573</v>
      </c>
      <c r="D49" s="640">
        <f ca="1">transport!C58</f>
        <v>0</v>
      </c>
      <c r="E49" s="640">
        <f>transport!D58</f>
        <v>0</v>
      </c>
      <c r="F49" s="640">
        <f>transport!E58</f>
        <v>0</v>
      </c>
      <c r="G49" s="640">
        <f>transport!F58</f>
        <v>0</v>
      </c>
      <c r="H49" s="640">
        <f>transport!G58</f>
        <v>117.09483959265008</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117.56146475117677</v>
      </c>
    </row>
    <row r="50" spans="1:18">
      <c r="A50" s="770" t="s">
        <v>296</v>
      </c>
      <c r="B50" s="780"/>
      <c r="C50" s="646">
        <f ca="1">transport!B18</f>
        <v>0.61386044485188107</v>
      </c>
      <c r="D50" s="646">
        <f>transport!C18</f>
        <v>0</v>
      </c>
      <c r="E50" s="646">
        <f>transport!D18</f>
        <v>0.59339403534479718</v>
      </c>
      <c r="F50" s="646">
        <f>transport!E18</f>
        <v>23.556825606213817</v>
      </c>
      <c r="G50" s="646">
        <f>transport!F18</f>
        <v>0</v>
      </c>
      <c r="H50" s="646">
        <f>transport!G18</f>
        <v>7091.8453642478762</v>
      </c>
      <c r="I50" s="646">
        <f>transport!H18</f>
        <v>1330.0276272312362</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8446.637071565523</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1.0804856033785768</v>
      </c>
      <c r="D52" s="675">
        <f t="shared" ref="D52:Q52" ca="1" si="6">SUM(D48:D51)</f>
        <v>0</v>
      </c>
      <c r="E52" s="675">
        <f t="shared" si="6"/>
        <v>0.59339403534479718</v>
      </c>
      <c r="F52" s="675">
        <f t="shared" si="6"/>
        <v>23.556825606213817</v>
      </c>
      <c r="G52" s="675">
        <f t="shared" si="6"/>
        <v>0</v>
      </c>
      <c r="H52" s="675">
        <f t="shared" si="6"/>
        <v>7208.940203840526</v>
      </c>
      <c r="I52" s="675">
        <f t="shared" si="6"/>
        <v>1330.0276272312362</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8564.1985363167005</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309.31140633901634</v>
      </c>
      <c r="D54" s="646">
        <f ca="1">+landbouw!C12</f>
        <v>0</v>
      </c>
      <c r="E54" s="646">
        <f>+landbouw!D12</f>
        <v>11.054316680000001</v>
      </c>
      <c r="F54" s="646">
        <f>+landbouw!E12</f>
        <v>7.0398633181684822</v>
      </c>
      <c r="G54" s="646">
        <f>+landbouw!F12</f>
        <v>1409.2675079256423</v>
      </c>
      <c r="H54" s="646">
        <f>+landbouw!G12</f>
        <v>0</v>
      </c>
      <c r="I54" s="646">
        <f>+landbouw!H12</f>
        <v>0</v>
      </c>
      <c r="J54" s="646">
        <f>+landbouw!I12</f>
        <v>0</v>
      </c>
      <c r="K54" s="646">
        <f>+landbouw!J12</f>
        <v>60.639446407556576</v>
      </c>
      <c r="L54" s="646">
        <f>+landbouw!K12</f>
        <v>0</v>
      </c>
      <c r="M54" s="646">
        <f>+landbouw!L12</f>
        <v>0</v>
      </c>
      <c r="N54" s="646">
        <f>+landbouw!M12</f>
        <v>0</v>
      </c>
      <c r="O54" s="646">
        <f>+landbouw!N12</f>
        <v>0</v>
      </c>
      <c r="P54" s="646">
        <f>+landbouw!O12</f>
        <v>0</v>
      </c>
      <c r="Q54" s="647">
        <f>+landbouw!P12</f>
        <v>0</v>
      </c>
      <c r="R54" s="674">
        <f ca="1">SUM(C54:Q54)</f>
        <v>1797.3125406703837</v>
      </c>
    </row>
    <row r="55" spans="1:18" ht="15" thickBot="1">
      <c r="A55" s="770" t="s">
        <v>806</v>
      </c>
      <c r="B55" s="780"/>
      <c r="C55" s="646">
        <f ca="1">C25*'EF ele_warmte'!B12</f>
        <v>43.167841793402779</v>
      </c>
      <c r="D55" s="646"/>
      <c r="E55" s="646">
        <f>E25*EF_CO2_aardgas</f>
        <v>779.06047000000012</v>
      </c>
      <c r="F55" s="646"/>
      <c r="G55" s="646"/>
      <c r="H55" s="646"/>
      <c r="I55" s="646"/>
      <c r="J55" s="646"/>
      <c r="K55" s="646"/>
      <c r="L55" s="646"/>
      <c r="M55" s="646"/>
      <c r="N55" s="646"/>
      <c r="O55" s="646"/>
      <c r="P55" s="646"/>
      <c r="Q55" s="647"/>
      <c r="R55" s="674">
        <f ca="1">SUM(C55:Q55)</f>
        <v>822.2283117934029</v>
      </c>
    </row>
    <row r="56" spans="1:18" ht="15.75" thickBot="1">
      <c r="A56" s="768" t="s">
        <v>807</v>
      </c>
      <c r="B56" s="781"/>
      <c r="C56" s="675">
        <f ca="1">SUM(C54:C55)</f>
        <v>352.47924813241912</v>
      </c>
      <c r="D56" s="675">
        <f t="shared" ref="D56:Q56" ca="1" si="7">SUM(D54:D55)</f>
        <v>0</v>
      </c>
      <c r="E56" s="675">
        <f t="shared" si="7"/>
        <v>790.11478668000018</v>
      </c>
      <c r="F56" s="675">
        <f t="shared" si="7"/>
        <v>7.0398633181684822</v>
      </c>
      <c r="G56" s="675">
        <f t="shared" si="7"/>
        <v>1409.2675079256423</v>
      </c>
      <c r="H56" s="675">
        <f t="shared" si="7"/>
        <v>0</v>
      </c>
      <c r="I56" s="675">
        <f t="shared" si="7"/>
        <v>0</v>
      </c>
      <c r="J56" s="675">
        <f t="shared" si="7"/>
        <v>0</v>
      </c>
      <c r="K56" s="675">
        <f t="shared" si="7"/>
        <v>60.639446407556576</v>
      </c>
      <c r="L56" s="675">
        <f t="shared" si="7"/>
        <v>0</v>
      </c>
      <c r="M56" s="675">
        <f t="shared" si="7"/>
        <v>0</v>
      </c>
      <c r="N56" s="675">
        <f t="shared" si="7"/>
        <v>0</v>
      </c>
      <c r="O56" s="675">
        <f t="shared" si="7"/>
        <v>0</v>
      </c>
      <c r="P56" s="675">
        <f t="shared" si="7"/>
        <v>0</v>
      </c>
      <c r="Q56" s="676">
        <f t="shared" si="7"/>
        <v>0</v>
      </c>
      <c r="R56" s="677">
        <f ca="1">SUM(R54:R55)</f>
        <v>2619.5408524637865</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14027.820543919363</v>
      </c>
      <c r="D61" s="683">
        <f t="shared" ref="D61:Q61" ca="1" si="8">D46+D52+D56</f>
        <v>0</v>
      </c>
      <c r="E61" s="683">
        <f t="shared" ca="1" si="8"/>
        <v>6583.9802000193467</v>
      </c>
      <c r="F61" s="683">
        <f t="shared" si="8"/>
        <v>2991.9715648182646</v>
      </c>
      <c r="G61" s="683">
        <f t="shared" ca="1" si="8"/>
        <v>18546.420320809266</v>
      </c>
      <c r="H61" s="683">
        <f t="shared" si="8"/>
        <v>7208.940203840526</v>
      </c>
      <c r="I61" s="683">
        <f t="shared" si="8"/>
        <v>1330.0276272312362</v>
      </c>
      <c r="J61" s="683">
        <f t="shared" si="8"/>
        <v>0</v>
      </c>
      <c r="K61" s="683">
        <f t="shared" si="8"/>
        <v>289.42132898595116</v>
      </c>
      <c r="L61" s="683">
        <f t="shared" si="8"/>
        <v>0</v>
      </c>
      <c r="M61" s="683">
        <f t="shared" ca="1" si="8"/>
        <v>0</v>
      </c>
      <c r="N61" s="683">
        <f t="shared" si="8"/>
        <v>0</v>
      </c>
      <c r="O61" s="683">
        <f t="shared" ca="1" si="8"/>
        <v>0</v>
      </c>
      <c r="P61" s="683">
        <f t="shared" si="8"/>
        <v>0</v>
      </c>
      <c r="Q61" s="683">
        <f t="shared" si="8"/>
        <v>0</v>
      </c>
      <c r="R61" s="683">
        <f ca="1">R46+R52+R56</f>
        <v>50978.581789623961</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0.20710159276812665</v>
      </c>
      <c r="D63" s="726">
        <f t="shared" ca="1" si="9"/>
        <v>0</v>
      </c>
      <c r="E63" s="946">
        <f t="shared" ca="1" si="9"/>
        <v>0.20200000000000004</v>
      </c>
      <c r="F63" s="726">
        <f t="shared" si="9"/>
        <v>0.22699999999999998</v>
      </c>
      <c r="G63" s="726">
        <f t="shared" ca="1" si="9"/>
        <v>0.26700000000000002</v>
      </c>
      <c r="H63" s="726">
        <f t="shared" si="9"/>
        <v>0.26699999999999996</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4259.7049771876354</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4259.7049771876354</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14162.258904199705</v>
      </c>
      <c r="C4" s="448">
        <f>huishoudens!C8</f>
        <v>0</v>
      </c>
      <c r="D4" s="448">
        <f>huishoudens!D8</f>
        <v>18383.684550000002</v>
      </c>
      <c r="E4" s="448">
        <f>huishoudens!E8</f>
        <v>1095.5264465751106</v>
      </c>
      <c r="F4" s="448">
        <f>huishoudens!F8</f>
        <v>33572.925872644097</v>
      </c>
      <c r="G4" s="448">
        <f>huishoudens!G8</f>
        <v>0</v>
      </c>
      <c r="H4" s="448">
        <f>huishoudens!H8</f>
        <v>0</v>
      </c>
      <c r="I4" s="448">
        <f>huishoudens!I8</f>
        <v>0</v>
      </c>
      <c r="J4" s="448">
        <f>huishoudens!J8</f>
        <v>635.80436647778185</v>
      </c>
      <c r="K4" s="448">
        <f>huishoudens!K8</f>
        <v>0</v>
      </c>
      <c r="L4" s="448">
        <f>huishoudens!L8</f>
        <v>0</v>
      </c>
      <c r="M4" s="448">
        <f>huishoudens!M8</f>
        <v>0</v>
      </c>
      <c r="N4" s="448">
        <f>huishoudens!N8</f>
        <v>5029.2554450686121</v>
      </c>
      <c r="O4" s="448">
        <f>huishoudens!O8</f>
        <v>90.673333333333346</v>
      </c>
      <c r="P4" s="449">
        <f>huishoudens!P8</f>
        <v>381.33333333333337</v>
      </c>
      <c r="Q4" s="450">
        <f>SUM(B4:P4)</f>
        <v>73351.46225163198</v>
      </c>
    </row>
    <row r="5" spans="1:17">
      <c r="A5" s="447" t="s">
        <v>149</v>
      </c>
      <c r="B5" s="448">
        <f ca="1">tertiair!B16</f>
        <v>5673.5329999999994</v>
      </c>
      <c r="C5" s="448">
        <f ca="1">tertiair!C16</f>
        <v>0</v>
      </c>
      <c r="D5" s="448">
        <f ca="1">tertiair!D16</f>
        <v>3580.3122079999998</v>
      </c>
      <c r="E5" s="448">
        <f>tertiair!E16</f>
        <v>29.542417251254566</v>
      </c>
      <c r="F5" s="448">
        <f ca="1">tertiair!F16</f>
        <v>708.78879098906668</v>
      </c>
      <c r="G5" s="448">
        <f>tertiair!G16</f>
        <v>0</v>
      </c>
      <c r="H5" s="448">
        <f>tertiair!H16</f>
        <v>0</v>
      </c>
      <c r="I5" s="448">
        <f>tertiair!I16</f>
        <v>0</v>
      </c>
      <c r="J5" s="448">
        <f>tertiair!J16</f>
        <v>10.46727960341139</v>
      </c>
      <c r="K5" s="448">
        <f>tertiair!K16</f>
        <v>0</v>
      </c>
      <c r="L5" s="448">
        <f ca="1">tertiair!L16</f>
        <v>0</v>
      </c>
      <c r="M5" s="448">
        <f>tertiair!M16</f>
        <v>0</v>
      </c>
      <c r="N5" s="448">
        <f ca="1">tertiair!N16</f>
        <v>647.0572733811548</v>
      </c>
      <c r="O5" s="448">
        <f>tertiair!O16</f>
        <v>0</v>
      </c>
      <c r="P5" s="449">
        <f>tertiair!P16</f>
        <v>19.066666666666666</v>
      </c>
      <c r="Q5" s="447">
        <f t="shared" ref="Q5:Q14" ca="1" si="0">SUM(B5:P5)</f>
        <v>10668.767635891554</v>
      </c>
    </row>
    <row r="6" spans="1:17">
      <c r="A6" s="447" t="s">
        <v>187</v>
      </c>
      <c r="B6" s="448">
        <f>'openbare verlichting'!B8</f>
        <v>556.55499999999995</v>
      </c>
      <c r="C6" s="448"/>
      <c r="D6" s="448"/>
      <c r="E6" s="448"/>
      <c r="F6" s="448"/>
      <c r="G6" s="448"/>
      <c r="H6" s="448"/>
      <c r="I6" s="448"/>
      <c r="J6" s="448"/>
      <c r="K6" s="448"/>
      <c r="L6" s="448"/>
      <c r="M6" s="448"/>
      <c r="N6" s="448"/>
      <c r="O6" s="448"/>
      <c r="P6" s="449"/>
      <c r="Q6" s="447">
        <f t="shared" si="0"/>
        <v>556.55499999999995</v>
      </c>
    </row>
    <row r="7" spans="1:17">
      <c r="A7" s="447" t="s">
        <v>105</v>
      </c>
      <c r="B7" s="448">
        <f>landbouw!B8</f>
        <v>1493.5250000000001</v>
      </c>
      <c r="C7" s="448">
        <f>landbouw!C8</f>
        <v>0</v>
      </c>
      <c r="D7" s="448">
        <f>landbouw!D8</f>
        <v>54.724340000000005</v>
      </c>
      <c r="E7" s="448">
        <f>landbouw!E8</f>
        <v>31.012613736425031</v>
      </c>
      <c r="F7" s="448">
        <f>landbouw!F8</f>
        <v>5278.1554603956638</v>
      </c>
      <c r="G7" s="448">
        <f>landbouw!G8</f>
        <v>0</v>
      </c>
      <c r="H7" s="448">
        <f>landbouw!H8</f>
        <v>0</v>
      </c>
      <c r="I7" s="448">
        <f>landbouw!I8</f>
        <v>0</v>
      </c>
      <c r="J7" s="448">
        <f>landbouw!J8</f>
        <v>171.29787120778695</v>
      </c>
      <c r="K7" s="448">
        <f>landbouw!K8</f>
        <v>0</v>
      </c>
      <c r="L7" s="448">
        <f>landbouw!L8</f>
        <v>0</v>
      </c>
      <c r="M7" s="448">
        <f>landbouw!M8</f>
        <v>0</v>
      </c>
      <c r="N7" s="448">
        <f>landbouw!N8</f>
        <v>0</v>
      </c>
      <c r="O7" s="448">
        <f>landbouw!O8</f>
        <v>0</v>
      </c>
      <c r="P7" s="449">
        <f>landbouw!P8</f>
        <v>0</v>
      </c>
      <c r="Q7" s="447">
        <f t="shared" si="0"/>
        <v>7028.7152853398757</v>
      </c>
    </row>
    <row r="8" spans="1:17">
      <c r="A8" s="447" t="s">
        <v>614</v>
      </c>
      <c r="B8" s="448">
        <f>industrie!B18</f>
        <v>45634.479000000007</v>
      </c>
      <c r="C8" s="448">
        <f>industrie!C18</f>
        <v>0</v>
      </c>
      <c r="D8" s="448">
        <f>industrie!D18</f>
        <v>6715.5676940000012</v>
      </c>
      <c r="E8" s="448">
        <f>industrie!E18</f>
        <v>11920.635435265627</v>
      </c>
      <c r="F8" s="448">
        <f>industrie!F18</f>
        <v>29902.37826851524</v>
      </c>
      <c r="G8" s="448">
        <f>industrie!G18</f>
        <v>0</v>
      </c>
      <c r="H8" s="448">
        <f>industrie!H18</f>
        <v>0</v>
      </c>
      <c r="I8" s="448">
        <f>industrie!I18</f>
        <v>0</v>
      </c>
      <c r="J8" s="448">
        <f>industrie!J18</f>
        <v>4.8583775485911895E-3</v>
      </c>
      <c r="K8" s="448">
        <f>industrie!K18</f>
        <v>0</v>
      </c>
      <c r="L8" s="448">
        <f>industrie!L18</f>
        <v>0</v>
      </c>
      <c r="M8" s="448">
        <f>industrie!M18</f>
        <v>0</v>
      </c>
      <c r="N8" s="448">
        <f>industrie!N18</f>
        <v>4047.2094722930315</v>
      </c>
      <c r="O8" s="448">
        <f>industrie!O18</f>
        <v>0</v>
      </c>
      <c r="P8" s="449">
        <f>industrie!P18</f>
        <v>0</v>
      </c>
      <c r="Q8" s="447">
        <f t="shared" si="0"/>
        <v>98220.274728451463</v>
      </c>
    </row>
    <row r="9" spans="1:17" s="453" customFormat="1">
      <c r="A9" s="451" t="s">
        <v>555</v>
      </c>
      <c r="B9" s="452">
        <f>transport!B14</f>
        <v>2.9640546779336767</v>
      </c>
      <c r="C9" s="452">
        <f>transport!C14</f>
        <v>0</v>
      </c>
      <c r="D9" s="452">
        <f>transport!D14</f>
        <v>2.937594234380184</v>
      </c>
      <c r="E9" s="452">
        <f>transport!E14</f>
        <v>103.77456214191108</v>
      </c>
      <c r="F9" s="452">
        <f>transport!F14</f>
        <v>0</v>
      </c>
      <c r="G9" s="452">
        <f>transport!G14</f>
        <v>26561.218592688674</v>
      </c>
      <c r="H9" s="452">
        <f>transport!H14</f>
        <v>5341.4764145832778</v>
      </c>
      <c r="I9" s="452">
        <f>transport!I14</f>
        <v>0</v>
      </c>
      <c r="J9" s="452">
        <f>transport!J14</f>
        <v>0</v>
      </c>
      <c r="K9" s="452">
        <f>transport!K14</f>
        <v>0</v>
      </c>
      <c r="L9" s="452">
        <f>transport!L14</f>
        <v>0</v>
      </c>
      <c r="M9" s="452">
        <f>transport!M14</f>
        <v>1442.7575428086441</v>
      </c>
      <c r="N9" s="452">
        <f>transport!N14</f>
        <v>0</v>
      </c>
      <c r="O9" s="452">
        <f>transport!O14</f>
        <v>0</v>
      </c>
      <c r="P9" s="452">
        <f>transport!P14</f>
        <v>0</v>
      </c>
      <c r="Q9" s="451">
        <f>SUM(B9:P9)</f>
        <v>33455.128761134823</v>
      </c>
    </row>
    <row r="10" spans="1:17">
      <c r="A10" s="447" t="s">
        <v>545</v>
      </c>
      <c r="B10" s="448">
        <f>transport!B54</f>
        <v>2.253122017507295</v>
      </c>
      <c r="C10" s="448">
        <f>transport!C54</f>
        <v>0</v>
      </c>
      <c r="D10" s="448">
        <f>transport!D54</f>
        <v>0</v>
      </c>
      <c r="E10" s="448">
        <f>transport!E54</f>
        <v>0</v>
      </c>
      <c r="F10" s="448">
        <f>transport!F54</f>
        <v>0</v>
      </c>
      <c r="G10" s="448">
        <f>transport!G54</f>
        <v>438.55745165786544</v>
      </c>
      <c r="H10" s="448">
        <f>transport!H54</f>
        <v>0</v>
      </c>
      <c r="I10" s="448">
        <f>transport!I54</f>
        <v>0</v>
      </c>
      <c r="J10" s="448">
        <f>transport!J54</f>
        <v>0</v>
      </c>
      <c r="K10" s="448">
        <f>transport!K54</f>
        <v>0</v>
      </c>
      <c r="L10" s="448">
        <f>transport!L54</f>
        <v>0</v>
      </c>
      <c r="M10" s="448">
        <f>transport!M54</f>
        <v>19.665284636957047</v>
      </c>
      <c r="N10" s="448">
        <f>transport!N54</f>
        <v>0</v>
      </c>
      <c r="O10" s="448">
        <f>transport!O54</f>
        <v>0</v>
      </c>
      <c r="P10" s="449">
        <f>transport!P54</f>
        <v>0</v>
      </c>
      <c r="Q10" s="447">
        <f t="shared" si="0"/>
        <v>460.47585831232976</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208.43799999999999</v>
      </c>
      <c r="C14" s="455"/>
      <c r="D14" s="455">
        <f>'SEAP template'!E25</f>
        <v>3856.7350000000001</v>
      </c>
      <c r="E14" s="455"/>
      <c r="F14" s="455"/>
      <c r="G14" s="455"/>
      <c r="H14" s="455"/>
      <c r="I14" s="455"/>
      <c r="J14" s="455"/>
      <c r="K14" s="455"/>
      <c r="L14" s="455"/>
      <c r="M14" s="455"/>
      <c r="N14" s="455"/>
      <c r="O14" s="455"/>
      <c r="P14" s="456"/>
      <c r="Q14" s="447">
        <f t="shared" si="0"/>
        <v>4065.1730000000002</v>
      </c>
    </row>
    <row r="15" spans="1:17" s="460" customFormat="1">
      <c r="A15" s="457" t="s">
        <v>549</v>
      </c>
      <c r="B15" s="458">
        <f ca="1">SUM(B4:B14)</f>
        <v>67734.006080895138</v>
      </c>
      <c r="C15" s="458">
        <f t="shared" ref="C15:Q15" ca="1" si="1">SUM(C4:C14)</f>
        <v>0</v>
      </c>
      <c r="D15" s="458">
        <f t="shared" ca="1" si="1"/>
        <v>32593.961386234383</v>
      </c>
      <c r="E15" s="458">
        <f t="shared" si="1"/>
        <v>13180.491474970328</v>
      </c>
      <c r="F15" s="458">
        <f t="shared" ca="1" si="1"/>
        <v>69462.248392544061</v>
      </c>
      <c r="G15" s="458">
        <f t="shared" si="1"/>
        <v>26999.776044346541</v>
      </c>
      <c r="H15" s="458">
        <f t="shared" si="1"/>
        <v>5341.4764145832778</v>
      </c>
      <c r="I15" s="458">
        <f t="shared" si="1"/>
        <v>0</v>
      </c>
      <c r="J15" s="458">
        <f t="shared" si="1"/>
        <v>817.57437566652879</v>
      </c>
      <c r="K15" s="458">
        <f t="shared" si="1"/>
        <v>0</v>
      </c>
      <c r="L15" s="458">
        <f t="shared" ca="1" si="1"/>
        <v>0</v>
      </c>
      <c r="M15" s="458">
        <f t="shared" si="1"/>
        <v>1462.4228274456011</v>
      </c>
      <c r="N15" s="458">
        <f t="shared" ca="1" si="1"/>
        <v>9723.5221907427986</v>
      </c>
      <c r="O15" s="458">
        <f t="shared" si="1"/>
        <v>90.673333333333346</v>
      </c>
      <c r="P15" s="458">
        <f t="shared" si="1"/>
        <v>400.40000000000003</v>
      </c>
      <c r="Q15" s="458">
        <f t="shared" ca="1" si="1"/>
        <v>227806.55252076202</v>
      </c>
    </row>
    <row r="17" spans="1:17">
      <c r="A17" s="461" t="s">
        <v>550</v>
      </c>
      <c r="B17" s="731">
        <f ca="1">huishoudens!B10</f>
        <v>0.20710159276812665</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2933.0263762543427</v>
      </c>
      <c r="C22" s="448">
        <f t="shared" ref="C22:C32" ca="1" si="3">C4*$C$17</f>
        <v>0</v>
      </c>
      <c r="D22" s="448">
        <f t="shared" ref="D22:D32" si="4">D4*$D$17</f>
        <v>3713.5042791000005</v>
      </c>
      <c r="E22" s="448">
        <f t="shared" ref="E22:E32" si="5">E4*$E$17</f>
        <v>248.68450337255013</v>
      </c>
      <c r="F22" s="448">
        <f t="shared" ref="F22:F32" si="6">F4*$F$17</f>
        <v>8963.9712079959736</v>
      </c>
      <c r="G22" s="448">
        <f t="shared" ref="G22:G32" si="7">G4*$G$17</f>
        <v>0</v>
      </c>
      <c r="H22" s="448">
        <f t="shared" ref="H22:H32" si="8">H4*$H$17</f>
        <v>0</v>
      </c>
      <c r="I22" s="448">
        <f t="shared" ref="I22:I32" si="9">I4*$I$17</f>
        <v>0</v>
      </c>
      <c r="J22" s="448">
        <f t="shared" ref="J22:J32" si="10">J4*$J$17</f>
        <v>225.07474573313476</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16084.261112456003</v>
      </c>
    </row>
    <row r="23" spans="1:17">
      <c r="A23" s="447" t="s">
        <v>149</v>
      </c>
      <c r="B23" s="448">
        <f t="shared" ca="1" si="2"/>
        <v>1174.9977209225278</v>
      </c>
      <c r="C23" s="448">
        <f t="shared" ca="1" si="3"/>
        <v>0</v>
      </c>
      <c r="D23" s="448">
        <f t="shared" ca="1" si="4"/>
        <v>723.22306601599996</v>
      </c>
      <c r="E23" s="448">
        <f t="shared" si="5"/>
        <v>6.7061287160347867</v>
      </c>
      <c r="F23" s="448">
        <f t="shared" ca="1" si="6"/>
        <v>189.24660719408081</v>
      </c>
      <c r="G23" s="448">
        <f t="shared" si="7"/>
        <v>0</v>
      </c>
      <c r="H23" s="448">
        <f t="shared" si="8"/>
        <v>0</v>
      </c>
      <c r="I23" s="448">
        <f t="shared" si="9"/>
        <v>0</v>
      </c>
      <c r="J23" s="448">
        <f t="shared" si="10"/>
        <v>3.7054169796076319</v>
      </c>
      <c r="K23" s="448">
        <f t="shared" si="11"/>
        <v>0</v>
      </c>
      <c r="L23" s="448">
        <f t="shared" ca="1" si="12"/>
        <v>0</v>
      </c>
      <c r="M23" s="448">
        <f t="shared" si="13"/>
        <v>0</v>
      </c>
      <c r="N23" s="448">
        <f t="shared" ca="1" si="14"/>
        <v>0</v>
      </c>
      <c r="O23" s="448">
        <f t="shared" si="15"/>
        <v>0</v>
      </c>
      <c r="P23" s="449">
        <f t="shared" si="16"/>
        <v>0</v>
      </c>
      <c r="Q23" s="447">
        <f t="shared" ref="Q23:Q32" ca="1" si="17">SUM(B23:P23)</f>
        <v>2097.8789398282511</v>
      </c>
    </row>
    <row r="24" spans="1:17">
      <c r="A24" s="447" t="s">
        <v>187</v>
      </c>
      <c r="B24" s="448">
        <f t="shared" ca="1" si="2"/>
        <v>115.26342696306472</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115.26342696306472</v>
      </c>
    </row>
    <row r="25" spans="1:17">
      <c r="A25" s="447" t="s">
        <v>105</v>
      </c>
      <c r="B25" s="448">
        <f t="shared" ca="1" si="2"/>
        <v>309.31140633901634</v>
      </c>
      <c r="C25" s="448">
        <f t="shared" ca="1" si="3"/>
        <v>0</v>
      </c>
      <c r="D25" s="448">
        <f t="shared" si="4"/>
        <v>11.054316680000001</v>
      </c>
      <c r="E25" s="448">
        <f t="shared" si="5"/>
        <v>7.0398633181684822</v>
      </c>
      <c r="F25" s="448">
        <f t="shared" si="6"/>
        <v>1409.2675079256423</v>
      </c>
      <c r="G25" s="448">
        <f t="shared" si="7"/>
        <v>0</v>
      </c>
      <c r="H25" s="448">
        <f t="shared" si="8"/>
        <v>0</v>
      </c>
      <c r="I25" s="448">
        <f t="shared" si="9"/>
        <v>0</v>
      </c>
      <c r="J25" s="448">
        <f t="shared" si="10"/>
        <v>60.639446407556576</v>
      </c>
      <c r="K25" s="448">
        <f t="shared" si="11"/>
        <v>0</v>
      </c>
      <c r="L25" s="448">
        <f t="shared" si="12"/>
        <v>0</v>
      </c>
      <c r="M25" s="448">
        <f t="shared" si="13"/>
        <v>0</v>
      </c>
      <c r="N25" s="448">
        <f t="shared" si="14"/>
        <v>0</v>
      </c>
      <c r="O25" s="448">
        <f t="shared" si="15"/>
        <v>0</v>
      </c>
      <c r="P25" s="449">
        <f t="shared" si="16"/>
        <v>0</v>
      </c>
      <c r="Q25" s="447">
        <f t="shared" ca="1" si="17"/>
        <v>1797.3125406703837</v>
      </c>
    </row>
    <row r="26" spans="1:17">
      <c r="A26" s="447" t="s">
        <v>614</v>
      </c>
      <c r="B26" s="448">
        <f t="shared" ca="1" si="2"/>
        <v>9450.9732860436288</v>
      </c>
      <c r="C26" s="448">
        <f t="shared" ca="1" si="3"/>
        <v>0</v>
      </c>
      <c r="D26" s="448">
        <f t="shared" si="4"/>
        <v>1356.5446741880003</v>
      </c>
      <c r="E26" s="448">
        <f t="shared" si="5"/>
        <v>2705.9842438052974</v>
      </c>
      <c r="F26" s="448">
        <f t="shared" si="6"/>
        <v>7983.9349976935691</v>
      </c>
      <c r="G26" s="448">
        <f t="shared" si="7"/>
        <v>0</v>
      </c>
      <c r="H26" s="448">
        <f t="shared" si="8"/>
        <v>0</v>
      </c>
      <c r="I26" s="448">
        <f t="shared" si="9"/>
        <v>0</v>
      </c>
      <c r="J26" s="448">
        <f t="shared" si="10"/>
        <v>1.7198656522012809E-3</v>
      </c>
      <c r="K26" s="448">
        <f t="shared" si="11"/>
        <v>0</v>
      </c>
      <c r="L26" s="448">
        <f t="shared" si="12"/>
        <v>0</v>
      </c>
      <c r="M26" s="448">
        <f t="shared" si="13"/>
        <v>0</v>
      </c>
      <c r="N26" s="448">
        <f t="shared" si="14"/>
        <v>0</v>
      </c>
      <c r="O26" s="448">
        <f t="shared" si="15"/>
        <v>0</v>
      </c>
      <c r="P26" s="449">
        <f t="shared" si="16"/>
        <v>0</v>
      </c>
      <c r="Q26" s="447">
        <f t="shared" ca="1" si="17"/>
        <v>21497.438921596149</v>
      </c>
    </row>
    <row r="27" spans="1:17" s="453" customFormat="1">
      <c r="A27" s="451" t="s">
        <v>555</v>
      </c>
      <c r="B27" s="725">
        <f t="shared" ca="1" si="2"/>
        <v>0.61386044485188107</v>
      </c>
      <c r="C27" s="452">
        <f t="shared" ca="1" si="3"/>
        <v>0</v>
      </c>
      <c r="D27" s="452">
        <f t="shared" si="4"/>
        <v>0.59339403534479718</v>
      </c>
      <c r="E27" s="452">
        <f t="shared" si="5"/>
        <v>23.556825606213817</v>
      </c>
      <c r="F27" s="452">
        <f t="shared" si="6"/>
        <v>0</v>
      </c>
      <c r="G27" s="452">
        <f t="shared" si="7"/>
        <v>7091.8453642478762</v>
      </c>
      <c r="H27" s="452">
        <f t="shared" si="8"/>
        <v>1330.0276272312362</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8446.637071565523</v>
      </c>
    </row>
    <row r="28" spans="1:17">
      <c r="A28" s="447" t="s">
        <v>545</v>
      </c>
      <c r="B28" s="448">
        <f t="shared" ca="1" si="2"/>
        <v>0.46662515852669573</v>
      </c>
      <c r="C28" s="448">
        <f t="shared" ca="1" si="3"/>
        <v>0</v>
      </c>
      <c r="D28" s="448">
        <f t="shared" si="4"/>
        <v>0</v>
      </c>
      <c r="E28" s="448">
        <f t="shared" si="5"/>
        <v>0</v>
      </c>
      <c r="F28" s="448">
        <f t="shared" si="6"/>
        <v>0</v>
      </c>
      <c r="G28" s="448">
        <f t="shared" si="7"/>
        <v>117.09483959265008</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117.56146475117677</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43.167841793402779</v>
      </c>
      <c r="C32" s="448">
        <f t="shared" ca="1" si="3"/>
        <v>0</v>
      </c>
      <c r="D32" s="448">
        <f t="shared" si="4"/>
        <v>779.06047000000012</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822.2283117934029</v>
      </c>
    </row>
    <row r="33" spans="1:17" s="460" customFormat="1">
      <c r="A33" s="457" t="s">
        <v>549</v>
      </c>
      <c r="B33" s="458">
        <f ca="1">SUM(B22:B32)</f>
        <v>14027.820543919363</v>
      </c>
      <c r="C33" s="458">
        <f t="shared" ref="C33:Q33" ca="1" si="18">SUM(C22:C32)</f>
        <v>0</v>
      </c>
      <c r="D33" s="458">
        <f t="shared" ca="1" si="18"/>
        <v>6583.9802000193467</v>
      </c>
      <c r="E33" s="458">
        <f t="shared" si="18"/>
        <v>2991.9715648182646</v>
      </c>
      <c r="F33" s="458">
        <f t="shared" ca="1" si="18"/>
        <v>18546.420320809266</v>
      </c>
      <c r="G33" s="458">
        <f t="shared" si="18"/>
        <v>7208.940203840526</v>
      </c>
      <c r="H33" s="458">
        <f t="shared" si="18"/>
        <v>1330.0276272312362</v>
      </c>
      <c r="I33" s="458">
        <f t="shared" si="18"/>
        <v>0</v>
      </c>
      <c r="J33" s="458">
        <f t="shared" si="18"/>
        <v>289.42132898595116</v>
      </c>
      <c r="K33" s="458">
        <f t="shared" si="18"/>
        <v>0</v>
      </c>
      <c r="L33" s="458">
        <f t="shared" ca="1" si="18"/>
        <v>0</v>
      </c>
      <c r="M33" s="458">
        <f t="shared" si="18"/>
        <v>0</v>
      </c>
      <c r="N33" s="458">
        <f t="shared" ca="1" si="18"/>
        <v>0</v>
      </c>
      <c r="O33" s="458">
        <f t="shared" si="18"/>
        <v>0</v>
      </c>
      <c r="P33" s="458">
        <f t="shared" si="18"/>
        <v>0</v>
      </c>
      <c r="Q33" s="458">
        <f t="shared" ca="1" si="18"/>
        <v>50978.581789623953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4259.7049771876354</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4259.7049771876354</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0.20710159276812665</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0.20710159276812665</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2022-07-26T12:14:55Z</dcterms:modified>
</cp:coreProperties>
</file>