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E41B3DF-DED1-408F-ADE4-EF1FD68E7F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<sst xmlns="http://schemas.openxmlformats.org/spreadsheetml/2006/main" count="2446" uniqueCount="911">
  <si>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</si>
  <si>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</si>
  <si>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</si>
  <si>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</si>
  <si>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</si>
  <si>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</si>
  <si>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</si>
  <si>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</si>
  <si>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</si>
  <si>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</si>
  <si>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</si>
  <si>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</si>
  <si>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</si>
  <si>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</si>
  <si>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</si>
  <si>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</si>
  <si>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</si>
  <si>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</si>
  <si>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</si>
  <si>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</si>
  <si>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</si>
  <si>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</si>
  <si>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</si>
  <si>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</si>
  <si>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</si>
  <si>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</si>
  <si>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</si>
  <si>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</si>
  <si>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</si>
  <si>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</si>
  <si>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</si>
  <si>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</si>
  <si>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</si>
  <si>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</si>
  <si>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</si>
  <si>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</si>
  <si>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</si>
  <si>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</si>
  <si>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</si>
  <si>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</si>
  <si>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</si>
  <si>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</si>
  <si>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</si>
  <si>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</si>
  <si>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</si>
  <si>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</si>
  <si>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</si>
  <si>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</si>
  <si>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</si>
  <si>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</si>
  <si>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</si>
  <si>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</si>
  <si>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</si>
  <si>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</si>
  <si>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</si>
  <si>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</si>
  <si>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</si>
  <si>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</si>
  <si>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</si>
  <si>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</si>
  <si>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</si>
  <si>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</si>
  <si>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</si>
  <si>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</si>
  <si>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</si>
  <si>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</si>
  <si>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</si>
  <si>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</si>
  <si>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</si>
  <si>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</si>
  <si>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</si>
  <si>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</si>
  <si>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</si>
  <si>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</si>
  <si>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</si>
  <si>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</si>
  <si>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</si>
  <si>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</si>
  <si>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</si>
  <si>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</si>
  <si>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</si>
  <si>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</si>
  <si>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</si>
  <si>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</si>
  <si>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</si>
  <si>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</si>
  <si>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</si>
  <si>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</si>
  <si>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</si>
  <si>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</si>
  <si>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</si>
  <si>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</si>
  <si>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</si>
  <si>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</si>
  <si>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</si>
  <si>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</si>
  <si>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</si>
  <si>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</si>
  <si>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</si>
  <si>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</si>
  <si>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</si>
  <si>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</si>
  <si>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</si>
  <si>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</si>
  <si>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</si>
  <si>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</si>
  <si>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</si>
  <si>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</si>
  <si>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</si>
  <si>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</si>
  <si>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</si>
  <si>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</si>
  <si>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</si>
  <si>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</si>
  <si>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</si>
  <si>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</si>
  <si>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</si>
  <si>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</si>
  <si>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</si>
  <si>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</si>
  <si>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</si>
  <si>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</si>
  <si>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</si>
  <si>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</si>
  <si>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</si>
  <si>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</si>
  <si>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</si>
  <si>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</si>
  <si>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</si>
  <si>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</si>
  <si>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</si>
  <si>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</si>
  <si>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</si>
  <si>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</si>
  <si>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</si>
  <si>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</si>
  <si>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</si>
  <si>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</si>
  <si>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</si>
  <si>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</si>
  <si>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</si>
  <si>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</si>
  <si>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</si>
  <si>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</si>
  <si>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</si>
  <si>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</si>
  <si>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</si>
  <si>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</si>
  <si>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</si>
  <si>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</si>
  <si>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</si>
  <si>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</si>
  <si>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</si>
  <si>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</si>
  <si>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</si>
  <si>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</si>
  <si>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</si>
  <si>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</si>
  <si>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</si>
  <si>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</si>
  <si>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</si>
  <si>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</si>
  <si>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</si>
  <si>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</si>
  <si>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</si>
  <si>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</si>
  <si>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</si>
  <si>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</si>
  <si>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</si>
  <si>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</si>
  <si>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</si>
  <si>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</si>
  <si>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</si>
  <si>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</si>
  <si>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</si>
  <si>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</si>
  <si>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</si>
  <si>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</si>
  <si>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</si>
  <si>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</si>
  <si>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</si>
  <si>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</si>
  <si>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</si>
  <si>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</si>
  <si>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</si>
  <si>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</si>
  <si>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</si>
  <si>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</si>
  <si>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</si>
  <si>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</si>
  <si>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</si>
  <si>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</si>
  <si>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</si>
  <si>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</si>
  <si>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</si>
  <si>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</si>
  <si>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</si>
  <si>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</si>
  <si>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</si>
  <si>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</si>
  <si>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</si>
  <si>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</si>
  <si>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</si>
  <si>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</si>
  <si>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</si>
  <si>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</si>
  <si>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</si>
  <si>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</si>
  <si>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</si>
  <si>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</si>
  <si>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</si>
  <si>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</si>
  <si>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</si>
  <si>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</si>
  <si>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</si>
  <si>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</si>
  <si>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</si>
  <si>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</si>
  <si>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</si>
  <si>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</si>
  <si>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</si>
  <si>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</si>
  <si>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</si>
  <si>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</si>
  <si>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</si>
  <si>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</si>
  <si>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</si>
  <si>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</si>
  <si>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</si>
  <si>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</si>
  <si>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</si>
  <si>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</si>
  <si>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</si>
  <si>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</si>
  <si>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</si>
  <si>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</si>
  <si>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</si>
  <si>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</si>
  <si>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</si>
  <si>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</si>
  <si>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</si>
  <si>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</si>
  <si>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</si>
  <si>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</si>
  <si>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</si>
  <si>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</si>
  <si>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</si>
  <si>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</si>
  <si>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</si>
  <si>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</si>
  <si>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</si>
  <si>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</si>
  <si>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</si>
  <si>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</si>
  <si>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</si>
  <si>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</si>
  <si>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</si>
  <si>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</si>
  <si>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</si>
  <si>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</si>
  <si>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</si>
  <si>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</si>
  <si>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</si>
  <si>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</si>
  <si>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</si>
  <si>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</si>
  <si>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</si>
  <si>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</si>
  <si>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</si>
  <si>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</si>
  <si>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</si>
  <si>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</si>
  <si>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</si>
  <si>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</si>
  <si>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</si>
  <si>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</si>
  <si>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</si>
  <si>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</si>
  <si>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</si>
  <si>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</si>
  <si>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</si>
  <si>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</si>
  <si>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</si>
  <si>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</si>
  <si>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</si>
  <si>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</si>
  <si>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</si>
  <si>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</si>
  <si>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</si>
  <si>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</si>
  <si>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</si>
  <si>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</si>
  <si>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</si>
  <si>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</si>
  <si>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</si>
  <si>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</si>
  <si>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</si>
  <si>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</si>
  <si>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</si>
  <si>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</si>
  <si>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</si>
  <si>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</si>
  <si>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</si>
  <si>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</si>
  <si>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</si>
  <si>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</si>
  <si>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</si>
  <si>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</si>
  <si>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</si>
  <si>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</si>
  <si>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</si>
  <si>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</si>
  <si>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</si>
  <si>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</si>
  <si>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</si>
  <si>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</si>
  <si>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</si>
  <si>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</si>
  <si>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</si>
  <si>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</si>
  <si>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</si>
  <si>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</si>
  <si>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</si>
  <si>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</si>
  <si>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</si>
  <si>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</si>
  <si>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</si>
  <si>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</si>
  <si>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</si>
  <si>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</si>
  <si>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</si>
  <si>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</si>
  <si>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</si>
  <si>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</si>
  <si>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</si>
  <si>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</si>
  <si>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</si>
  <si>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</si>
  <si>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</si>
  <si>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</si>
  <si>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</si>
  <si>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</si>
  <si>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</si>
  <si>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</si>
  <si>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</si>
  <si>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</si>
  <si>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</si>
  <si>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</si>
  <si>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</si>
  <si>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</si>
  <si>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</si>
  <si>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</si>
  <si>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</si>
  <si>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</si>
  <si>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</si>
  <si>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</si>
  <si>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</si>
  <si>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</si>
  <si>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</si>
  <si>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</si>
  <si>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</si>
  <si>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</si>
  <si>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</si>
  <si>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</si>
  <si>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</si>
  <si>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</si>
  <si>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</si>
  <si>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</si>
  <si>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</si>
  <si>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</si>
  <si>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</si>
  <si>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</si>
  <si>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</si>
  <si>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</si>
  <si>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</si>
  <si>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</si>
  <si>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</si>
  <si>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</si>
  <si>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</si>
  <si>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</si>
  <si>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</si>
  <si>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</si>
  <si>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</si>
  <si>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</si>
  <si>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</si>
  <si>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</si>
  <si>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</si>
  <si>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</si>
  <si>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</si>
  <si>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</si>
  <si>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</si>
  <si>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</si>
  <si>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</si>
  <si>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</si>
  <si>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</si>
  <si>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</si>
  <si>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</si>
  <si>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</si>
  <si>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</si>
  <si>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</si>
  <si>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</si>
  <si>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</si>
  <si>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</si>
  <si>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</si>
  <si>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</si>
  <si>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</si>
  <si>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</si>
  <si>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</si>
  <si>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</si>
  <si>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</si>
  <si>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</si>
  <si>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</si>
  <si>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</si>
  <si>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</si>
  <si>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</si>
  <si>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</si>
  <si>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</si>
  <si>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</si>
  <si>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</si>
  <si>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</si>
  <si>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</si>
  <si>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</si>
  <si>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</si>
  <si>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</si>
  <si>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</si>
  <si>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</si>
  <si>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</si>
  <si>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</si>
  <si>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</si>
  <si>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</si>
  <si>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</si>
  <si>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</si>
  <si>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</si>
  <si>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</si>
  <si>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</si>
  <si>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</si>
  <si>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</si>
  <si>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</si>
  <si>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</si>
  <si>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</si>
  <si>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</si>
  <si>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</si>
  <si>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</si>
  <si>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</si>
  <si>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</si>
  <si>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</si>
  <si>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</si>
  <si>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</si>
  <si>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</si>
  <si>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</si>
  <si>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</si>
  <si>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</si>
  <si>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</si>
  <si>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</si>
  <si>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</si>
  <si>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</si>
  <si>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</si>
  <si>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</si>
  <si>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</si>
  <si>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</si>
  <si>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</si>
  <si>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</si>
  <si>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</si>
  <si>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</si>
  <si>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</si>
  <si>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</si>
  <si>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</si>
  <si>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</si>
  <si>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</si>
  <si>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</si>
  <si>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</si>
  <si>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</si>
  <si>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</si>
  <si>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</si>
  <si>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</si>
  <si>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</si>
  <si>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</si>
  <si>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</si>
  <si>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</si>
  <si>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</si>
  <si>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</si>
  <si>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</si>
  <si>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</si>
  <si>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</si>
  <si>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</si>
  <si>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</si>
  <si>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</si>
  <si>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</si>
  <si>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</si>
  <si>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</si>
  <si>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</si>
  <si>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</si>
  <si>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</si>
  <si>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</si>
  <si>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</si>
  <si>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</si>
  <si>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</si>
  <si>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</si>
  <si>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</si>
  <si>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</si>
  <si>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</si>
  <si>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</si>
  <si>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</si>
  <si>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</si>
  <si>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</si>
  <si>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</si>
  <si>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</si>
  <si>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</si>
  <si>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</si>
  <si>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</si>
  <si>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</si>
  <si>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</si>
  <si>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</si>
  <si>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</si>
  <si>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</si>
  <si>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</si>
  <si>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</si>
  <si>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</si>
  <si>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</si>
  <si>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</si>
  <si>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</si>
  <si>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</si>
  <si>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</si>
  <si>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</si>
  <si>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</si>
  <si>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</si>
  <si>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</si>
  <si>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</si>
  <si>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</si>
  <si>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</si>
  <si>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</si>
  <si>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</si>
  <si>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</si>
  <si>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</si>
  <si>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</si>
  <si>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</si>
  <si>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</si>
  <si>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</si>
  <si>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</si>
  <si>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</si>
  <si>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</si>
  <si>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</si>
  <si>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</si>
  <si>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</si>
  <si>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</si>
  <si>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</si>
  <si>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</si>
  <si>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</si>
  <si>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</si>
  <si>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</si>
  <si>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</si>
  <si>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</si>
  <si>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</si>
  <si>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</si>
  <si>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</si>
  <si>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</si>
  <si>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</si>
  <si>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</si>
  <si>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</si>
  <si>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</si>
  <si>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</si>
  <si>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</si>
  <si>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</si>
  <si>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</si>
  <si>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</si>
  <si>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</si>
  <si>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</si>
  <si>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</si>
  <si>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</si>
  <si>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</si>
  <si>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</si>
  <si>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</si>
  <si>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</si>
  <si>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</si>
  <si>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</si>
  <si>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</si>
  <si>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</si>
  <si>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</si>
  <si>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</si>
  <si>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</si>
  <si>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</si>
  <si>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</si>
  <si>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</si>
  <si>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</si>
  <si>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</si>
  <si>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</si>
  <si>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</si>
  <si>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</si>
  <si>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</si>
  <si>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</si>
  <si>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</si>
  <si>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</si>
  <si>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</si>
  <si>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</si>
  <si>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</si>
  <si>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</si>
  <si>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</si>
  <si>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</si>
  <si>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</si>
  <si>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</si>
  <si>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</si>
  <si>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</si>
  <si>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</si>
  <si>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</si>
  <si>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</si>
  <si>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</si>
  <si>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</si>
  <si>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</si>
  <si>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</si>
  <si>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</si>
  <si>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</si>
  <si>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</si>
  <si>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</si>
  <si>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</si>
  <si>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</si>
  <si>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</si>
  <si>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</si>
  <si>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</si>
  <si>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</si>
  <si>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</si>
  <si>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</si>
  <si>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</si>
  <si>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</si>
  <si>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</si>
  <si>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</si>
  <si>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</si>
  <si>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</si>
  <si>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</si>
  <si>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</si>
  <si>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</si>
  <si>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</si>
  <si>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</si>
  <si>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</si>
  <si>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</si>
  <si>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</si>
  <si>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</si>
  <si>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</si>
  <si>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</si>
  <si>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</si>
  <si>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</si>
  <si>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</si>
  <si>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</si>
  <si>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</si>
  <si>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</si>
  <si>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</si>
  <si>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</si>
  <si>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</si>
  <si>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</si>
  <si>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</si>
  <si>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</si>
  <si>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</si>
  <si>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</si>
  <si>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</si>
  <si>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</si>
  <si>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</si>
  <si>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</si>
  <si>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</si>
  <si>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</si>
  <si>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</si>
  <si>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</si>
  <si>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</si>
  <si>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</si>
  <si>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</si>
  <si>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</si>
  <si>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</si>
  <si>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</si>
  <si>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</si>
  <si>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</si>
  <si>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</si>
  <si>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</si>
  <si>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</si>
  <si>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</si>
  <si>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</si>
  <si>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</si>
  <si>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</si>
  <si>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</si>
  <si>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</si>
  <si>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</si>
  <si>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</si>
  <si>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</si>
  <si>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</si>
  <si>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</si>
  <si>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</si>
  <si>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</si>
  <si>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</si>
  <si>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</si>
  <si>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</si>
  <si>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</si>
  <si>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</si>
  <si>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</si>
  <si>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</si>
  <si>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</si>
  <si>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</si>
  <si>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</si>
  <si>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</si>
  <si>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</si>
  <si>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</si>
  <si>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</si>
  <si>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</si>
  <si>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</si>
  <si>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</si>
  <si>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</si>
  <si>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</si>
  <si>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</si>
  <si>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</si>
  <si>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</si>
  <si>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</si>
  <si>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</si>
  <si>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</si>
  <si>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</si>
  <si>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</si>
  <si>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</si>
  <si>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</si>
  <si>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</si>
  <si>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</si>
  <si>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</si>
  <si>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</si>
  <si>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</si>
  <si>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</si>
  <si>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</si>
  <si>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</si>
  <si>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</si>
  <si>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</si>
  <si>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</si>
  <si>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</si>
  <si>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</si>
  <si>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</si>
  <si>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</si>
  <si>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</si>
  <si>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</si>
  <si>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</si>
  <si>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</si>
  <si>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</si>
  <si>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</si>
  <si>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</si>
  <si>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</si>
  <si>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</si>
  <si>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</si>
  <si>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</si>
  <si>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</si>
  <si>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</si>
  <si>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</si>
  <si>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</si>
  <si>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</si>
  <si>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</si>
  <si>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</si>
  <si>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</si>
  <si>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</si>
  <si>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</si>
  <si>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</si>
  <si>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</si>
  <si>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</si>
  <si>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</si>
  <si>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</si>
  <si>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</si>
  <si>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</si>
  <si>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</si>
  <si>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</si>
  <si>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</si>
  <si>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</si>
  <si>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</si>
  <si>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</si>
  <si>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</si>
  <si>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</si>
  <si>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</si>
  <si>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</si>
  <si>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</si>
  <si>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</si>
  <si>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</si>
  <si>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</si>
  <si>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</si>
  <si>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</si>
  <si>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</si>
  <si>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</si>
  <si>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</si>
  <si>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</si>
  <si>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</si>
  <si>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</si>
  <si>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</si>
  <si>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</si>
  <si>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</si>
  <si>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</si>
  <si>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</si>
  <si>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</si>
  <si>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</si>
  <si>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</si>
  <si>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</si>
  <si>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</si>
  <si>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</si>
  <si>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</si>
  <si>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</si>
  <si>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</si>
  <si>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</si>
  <si>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</si>
  <si>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</si>
  <si>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</si>
  <si>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</si>
  <si>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</si>
  <si>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</si>
  <si>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</si>
  <si>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</si>
  <si>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</si>
  <si>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</si>
  <si>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</si>
  <si>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</si>
  <si>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</si>
  <si>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</si>
  <si>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</si>
  <si>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</si>
  <si>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</si>
  <si>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</si>
  <si>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</si>
  <si>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</si>
  <si>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</si>
  <si>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</si>
  <si>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</si>
  <si>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</si>
  <si>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</si>
  <si>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</si>
  <si>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</si>
  <si>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</si>
  <si>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</si>
  <si>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</si>
  <si>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</si>
  <si>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</si>
  <si>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</si>
  <si>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</si>
  <si>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</si>
  <si>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</si>
  <si>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</si>
  <si>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</si>
  <si>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</si>
  <si>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</si>
  <si>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</si>
  <si>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</si>
  <si>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</si>
  <si>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</si>
  <si>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</si>
  <si>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</si>
  <si>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</si>
  <si>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</si>
  <si>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</si>
  <si>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</si>
  <si>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</si>
  <si>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</si>
  <si>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</si>
  <si>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</si>
  <si>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</si>
  <si>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</si>
  <si>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</si>
  <si>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</si>
  <si>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</si>
  <si>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</si>
  <si>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</si>
  <si>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</si>
  <si>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</si>
  <si>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</si>
  <si>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</si>
  <si>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</si>
  <si>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</si>
  <si>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</si>
  <si>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</si>
  <si>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</si>
  <si>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</si>
  <si>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</si>
  <si>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</si>
  <si>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</si>
  <si>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</si>
  <si>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</si>
  <si>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</si>
  <si>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</si>
  <si>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</si>
  <si>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</si>
  <si>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</si>
  <si>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</si>
  <si>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</si>
  <si>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</si>
  <si>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</si>
  <si>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</si>
  <si>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</si>
  <si>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</si>
  <si>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</si>
  <si>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</si>
  <si>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</si>
  <si>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</si>
  <si>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</si>
  <si>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</si>
  <si>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</si>
  <si>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</si>
  <si>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</si>
  <si>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</si>
  <si>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</si>
  <si>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</si>
  <si>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</si>
  <si>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</si>
  <si>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</si>
  <si>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</si>
  <si>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</si>
  <si>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</si>
  <si>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</si>
  <si>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</si>
  <si>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</si>
  <si>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73066</t>
  </si>
  <si>
    <t>RIEMST</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</si>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</sst>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315F9E2-288A-4A91-BF70-AC5C860B89B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164737.94509275758</c:v>
                </c:pt>
                <c:pt idx="1">
                  <c:v>20677.392061638788</c:v>
                </c:pt>
                <c:pt idx="2">
                  <c:v>924.05899999999997</c:v>
                </c:pt>
                <c:pt idx="3">
                  <c:v>35110.090137761639</c:v>
                </c:pt>
                <c:pt idx="4">
                  <c:v>11425.098570356728</c:v>
                </c:pt>
                <c:pt idx="5">
                  <c:v>129580.740012902</c:v>
                </c:pt>
                <c:pt idx="6">
                  <c:v>1860.7275908126617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164737.94509275758</c:v>
                </c:pt>
                <c:pt idx="1">
                  <c:v>20677.392061638788</c:v>
                </c:pt>
                <c:pt idx="2">
                  <c:v>924.05899999999997</c:v>
                </c:pt>
                <c:pt idx="3">
                  <c:v>35110.090137761639</c:v>
                </c:pt>
                <c:pt idx="4">
                  <c:v>11425.098570356728</c:v>
                </c:pt>
                <c:pt idx="5">
                  <c:v>129580.740012902</c:v>
                </c:pt>
                <c:pt idx="6">
                  <c:v>1860.7275908126617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35837.545818833649</c:v>
                </c:pt>
                <c:pt idx="2">
                  <c:v>3969.4039837721612</c:v>
                </c:pt>
                <c:pt idx="3">
                  <c:v>176.64602055281787</c:v>
                </c:pt>
                <c:pt idx="4">
                  <c:v>8669.9259260555118</c:v>
                </c:pt>
                <c:pt idx="5">
                  <c:v>2353.8642118750604</c:v>
                </c:pt>
                <c:pt idx="6">
                  <c:v>32759.990336639185</c:v>
                </c:pt>
                <c:pt idx="7">
                  <c:v>474.90663414046344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35837.545818833649</c:v>
                </c:pt>
                <c:pt idx="2">
                  <c:v>3969.4039837721612</c:v>
                </c:pt>
                <c:pt idx="3">
                  <c:v>176.64602055281787</c:v>
                </c:pt>
                <c:pt idx="4">
                  <c:v>8669.9259260555118</c:v>
                </c:pt>
                <c:pt idx="5">
                  <c:v>2353.8642118750604</c:v>
                </c:pt>
                <c:pt idx="6">
                  <c:v>32759.990336639185</c:v>
                </c:pt>
                <c:pt idx="7">
                  <c:v>474.90663414046344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73066</v>
      </c>
      <c r="B6" s="385"/>
      <c r="C6" s="386"/>
    </row>
    <row r="7" spans="1:7" s="383" customFormat="1" ht="15.75" customHeight="1">
      <c r="A7" s="387" t="str">
        <f>txtMunicipality</f>
        <v>RIEMST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0.19116314061420092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0.19116314061420092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6588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4250</v>
      </c>
      <c r="C14" s="327"/>
      <c r="D14" s="327"/>
      <c r="E14" s="327"/>
      <c r="F14" s="327"/>
    </row>
    <row r="15" spans="1:6">
      <c r="A15" s="1258" t="s">
        <v>177</v>
      </c>
      <c r="B15" s="1259">
        <v>10</v>
      </c>
      <c r="C15" s="327"/>
      <c r="D15" s="327"/>
      <c r="E15" s="327"/>
      <c r="F15" s="327"/>
    </row>
    <row r="16" spans="1:6">
      <c r="A16" s="1258" t="s">
        <v>6</v>
      </c>
      <c r="B16" s="1259">
        <v>394</v>
      </c>
      <c r="C16" s="327"/>
      <c r="D16" s="327"/>
      <c r="E16" s="327"/>
      <c r="F16" s="327"/>
    </row>
    <row r="17" spans="1:6">
      <c r="A17" s="1258" t="s">
        <v>7</v>
      </c>
      <c r="B17" s="1259">
        <v>814</v>
      </c>
      <c r="C17" s="327"/>
      <c r="D17" s="327"/>
      <c r="E17" s="327"/>
      <c r="F17" s="327"/>
    </row>
    <row r="18" spans="1:6">
      <c r="A18" s="1258" t="s">
        <v>8</v>
      </c>
      <c r="B18" s="1259">
        <v>929</v>
      </c>
      <c r="C18" s="327"/>
      <c r="D18" s="327"/>
      <c r="E18" s="327"/>
      <c r="F18" s="327"/>
    </row>
    <row r="19" spans="1:6">
      <c r="A19" s="1258" t="s">
        <v>9</v>
      </c>
      <c r="B19" s="1259">
        <v>985</v>
      </c>
      <c r="C19" s="327"/>
      <c r="D19" s="327"/>
      <c r="E19" s="327"/>
      <c r="F19" s="327"/>
    </row>
    <row r="20" spans="1:6">
      <c r="A20" s="1258" t="s">
        <v>10</v>
      </c>
      <c r="B20" s="1259">
        <v>540</v>
      </c>
      <c r="C20" s="327"/>
      <c r="D20" s="327"/>
      <c r="E20" s="327"/>
      <c r="F20" s="327"/>
    </row>
    <row r="21" spans="1:6">
      <c r="A21" s="1258" t="s">
        <v>11</v>
      </c>
      <c r="B21" s="1259">
        <v>9321</v>
      </c>
      <c r="C21" s="327"/>
      <c r="D21" s="327"/>
      <c r="E21" s="327"/>
      <c r="F21" s="327"/>
    </row>
    <row r="22" spans="1:6">
      <c r="A22" s="1258" t="s">
        <v>12</v>
      </c>
      <c r="B22" s="1259">
        <v>19540</v>
      </c>
      <c r="C22" s="327"/>
      <c r="D22" s="327"/>
      <c r="E22" s="327"/>
      <c r="F22" s="327"/>
    </row>
    <row r="23" spans="1:6">
      <c r="A23" s="1258" t="s">
        <v>13</v>
      </c>
      <c r="B23" s="1259">
        <v>464</v>
      </c>
      <c r="C23" s="327"/>
      <c r="D23" s="327"/>
      <c r="E23" s="327"/>
      <c r="F23" s="327"/>
    </row>
    <row r="24" spans="1:6">
      <c r="A24" s="1258" t="s">
        <v>14</v>
      </c>
      <c r="B24" s="1259">
        <v>28</v>
      </c>
      <c r="C24" s="327"/>
      <c r="D24" s="327"/>
      <c r="E24" s="327"/>
      <c r="F24" s="327"/>
    </row>
    <row r="25" spans="1:6">
      <c r="A25" s="1258" t="s">
        <v>15</v>
      </c>
      <c r="B25" s="1259">
        <v>2469</v>
      </c>
      <c r="C25" s="327"/>
      <c r="D25" s="327"/>
      <c r="E25" s="327"/>
      <c r="F25" s="327"/>
    </row>
    <row r="26" spans="1:6">
      <c r="A26" s="1258" t="s">
        <v>16</v>
      </c>
      <c r="B26" s="1259">
        <v>18</v>
      </c>
      <c r="C26" s="327"/>
      <c r="D26" s="327"/>
      <c r="E26" s="327"/>
      <c r="F26" s="327"/>
    </row>
    <row r="27" spans="1:6">
      <c r="A27" s="1258" t="s">
        <v>17</v>
      </c>
      <c r="B27" s="1259">
        <v>654</v>
      </c>
      <c r="C27" s="327"/>
      <c r="D27" s="327"/>
      <c r="E27" s="327"/>
      <c r="F27" s="327"/>
    </row>
    <row r="28" spans="1:6">
      <c r="A28" s="1258" t="s">
        <v>18</v>
      </c>
      <c r="B28" s="1260">
        <v>13</v>
      </c>
      <c r="C28" s="327"/>
      <c r="D28" s="327"/>
      <c r="E28" s="327"/>
      <c r="F28" s="327"/>
    </row>
    <row r="29" spans="1:6">
      <c r="A29" s="1258" t="s">
        <v>905</v>
      </c>
      <c r="B29" s="1260">
        <v>28</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8440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3910</v>
      </c>
    </row>
    <row r="39" spans="1:6">
      <c r="A39" s="1258" t="s">
        <v>29</v>
      </c>
      <c r="B39" s="1258" t="s">
        <v>30</v>
      </c>
      <c r="C39" s="1259">
        <v>2271</v>
      </c>
      <c r="D39" s="1259">
        <v>44987518</v>
      </c>
      <c r="E39" s="1259">
        <v>6621</v>
      </c>
      <c r="F39" s="1259">
        <v>25989448</v>
      </c>
    </row>
    <row r="40" spans="1:6">
      <c r="A40" s="1258" t="s">
        <v>29</v>
      </c>
      <c r="B40" s="1258" t="s">
        <v>28</v>
      </c>
      <c r="C40" s="1259">
        <v>0</v>
      </c>
      <c r="D40" s="1259">
        <v>0</v>
      </c>
      <c r="E40" s="1259">
        <v>0</v>
      </c>
      <c r="F40" s="1259">
        <v>0</v>
      </c>
    </row>
    <row r="41" spans="1:6">
      <c r="A41" s="1258" t="s">
        <v>31</v>
      </c>
      <c r="B41" s="1258" t="s">
        <v>32</v>
      </c>
      <c r="C41" s="1259">
        <v>29</v>
      </c>
      <c r="D41" s="1259">
        <v>653665</v>
      </c>
      <c r="E41" s="1259">
        <v>104</v>
      </c>
      <c r="F41" s="1259">
        <v>712857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63571</v>
      </c>
    </row>
    <row r="45" spans="1:6">
      <c r="A45" s="1258" t="s">
        <v>31</v>
      </c>
      <c r="B45" s="1258" t="s">
        <v>36</v>
      </c>
      <c r="C45" s="1259">
        <v>0</v>
      </c>
      <c r="D45" s="1259">
        <v>0</v>
      </c>
      <c r="E45" s="1259">
        <v>4</v>
      </c>
      <c r="F45" s="1259">
        <v>595443</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16566</v>
      </c>
    </row>
    <row r="48" spans="1:6">
      <c r="A48" s="1258" t="s">
        <v>31</v>
      </c>
      <c r="B48" s="1258" t="s">
        <v>28</v>
      </c>
      <c r="C48" s="1259">
        <v>5</v>
      </c>
      <c r="D48" s="1259">
        <v>6563680</v>
      </c>
      <c r="E48" s="1259">
        <v>3</v>
      </c>
      <c r="F48" s="1259">
        <v>58996</v>
      </c>
    </row>
    <row r="49" spans="1:6">
      <c r="A49" s="1258" t="s">
        <v>31</v>
      </c>
      <c r="B49" s="1258" t="s">
        <v>39</v>
      </c>
      <c r="C49" s="1259">
        <v>0</v>
      </c>
      <c r="D49" s="1259">
        <v>0</v>
      </c>
      <c r="E49" s="1259">
        <v>0</v>
      </c>
      <c r="F49" s="1259">
        <v>0</v>
      </c>
    </row>
    <row r="50" spans="1:6">
      <c r="A50" s="1258" t="s">
        <v>31</v>
      </c>
      <c r="B50" s="1258" t="s">
        <v>40</v>
      </c>
      <c r="C50" s="1259">
        <v>3</v>
      </c>
      <c r="D50" s="1259">
        <v>270828</v>
      </c>
      <c r="E50" s="1259">
        <v>16</v>
      </c>
      <c r="F50" s="1259">
        <v>773933</v>
      </c>
    </row>
    <row r="51" spans="1:6">
      <c r="A51" s="1258" t="s">
        <v>41</v>
      </c>
      <c r="B51" s="1258" t="s">
        <v>42</v>
      </c>
      <c r="C51" s="1259">
        <v>11</v>
      </c>
      <c r="D51" s="1259">
        <v>4082896</v>
      </c>
      <c r="E51" s="1259">
        <v>145</v>
      </c>
      <c r="F51" s="1259">
        <v>6716595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66</v>
      </c>
      <c r="F54" s="1259">
        <v>924059</v>
      </c>
    </row>
    <row r="55" spans="1:6">
      <c r="A55" s="1258" t="s">
        <v>45</v>
      </c>
      <c r="B55" s="1258" t="s">
        <v>28</v>
      </c>
      <c r="C55" s="1259">
        <v>0</v>
      </c>
      <c r="D55" s="1259">
        <v>0</v>
      </c>
      <c r="E55" s="1259">
        <v>0</v>
      </c>
      <c r="F55" s="1259">
        <v>0</v>
      </c>
    </row>
    <row r="56" spans="1:6">
      <c r="A56" s="1258" t="s">
        <v>47</v>
      </c>
      <c r="B56" s="1258" t="s">
        <v>28</v>
      </c>
      <c r="C56" s="1259">
        <v>59</v>
      </c>
      <c r="D56" s="1259">
        <v>3261882</v>
      </c>
      <c r="E56" s="1259">
        <v>130</v>
      </c>
      <c r="F56" s="1259">
        <v>1033996</v>
      </c>
    </row>
    <row r="57" spans="1:6">
      <c r="A57" s="1258" t="s">
        <v>48</v>
      </c>
      <c r="B57" s="1258" t="s">
        <v>49</v>
      </c>
      <c r="C57" s="1259">
        <v>14</v>
      </c>
      <c r="D57" s="1259">
        <v>821087</v>
      </c>
      <c r="E57" s="1259">
        <v>73</v>
      </c>
      <c r="F57" s="1259">
        <v>1320518</v>
      </c>
    </row>
    <row r="58" spans="1:6">
      <c r="A58" s="1258" t="s">
        <v>48</v>
      </c>
      <c r="B58" s="1258" t="s">
        <v>50</v>
      </c>
      <c r="C58" s="1259">
        <v>12</v>
      </c>
      <c r="D58" s="1259">
        <v>1057696</v>
      </c>
      <c r="E58" s="1259">
        <v>21</v>
      </c>
      <c r="F58" s="1259">
        <v>668319</v>
      </c>
    </row>
    <row r="59" spans="1:6">
      <c r="A59" s="1258" t="s">
        <v>48</v>
      </c>
      <c r="B59" s="1258" t="s">
        <v>51</v>
      </c>
      <c r="C59" s="1259">
        <v>55</v>
      </c>
      <c r="D59" s="1259">
        <v>2941373</v>
      </c>
      <c r="E59" s="1259">
        <v>168</v>
      </c>
      <c r="F59" s="1259">
        <v>5080081</v>
      </c>
    </row>
    <row r="60" spans="1:6">
      <c r="A60" s="1258" t="s">
        <v>48</v>
      </c>
      <c r="B60" s="1258" t="s">
        <v>52</v>
      </c>
      <c r="C60" s="1259">
        <v>25</v>
      </c>
      <c r="D60" s="1259">
        <v>970699</v>
      </c>
      <c r="E60" s="1259">
        <v>83</v>
      </c>
      <c r="F60" s="1259">
        <v>1823587</v>
      </c>
    </row>
    <row r="61" spans="1:6">
      <c r="A61" s="1258" t="s">
        <v>48</v>
      </c>
      <c r="B61" s="1258" t="s">
        <v>53</v>
      </c>
      <c r="C61" s="1259">
        <v>27</v>
      </c>
      <c r="D61" s="1259">
        <v>1112376</v>
      </c>
      <c r="E61" s="1259">
        <v>254</v>
      </c>
      <c r="F61" s="1259">
        <v>2628205</v>
      </c>
    </row>
    <row r="62" spans="1:6">
      <c r="A62" s="1258" t="s">
        <v>48</v>
      </c>
      <c r="B62" s="1258" t="s">
        <v>54</v>
      </c>
      <c r="C62" s="1259">
        <v>7</v>
      </c>
      <c r="D62" s="1259">
        <v>301738</v>
      </c>
      <c r="E62" s="1259">
        <v>17</v>
      </c>
      <c r="F62" s="1259">
        <v>155890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95781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72155509</v>
      </c>
      <c r="E73" s="446"/>
      <c r="F73" s="327"/>
    </row>
    <row r="74" spans="1:6">
      <c r="A74" s="1258" t="s">
        <v>63</v>
      </c>
      <c r="B74" s="1258" t="s">
        <v>681</v>
      </c>
      <c r="C74" s="1271" t="s">
        <v>682</v>
      </c>
      <c r="D74" s="1259">
        <v>4235554.2293110797</v>
      </c>
      <c r="E74" s="446"/>
      <c r="F74" s="327"/>
    </row>
    <row r="75" spans="1:6">
      <c r="A75" s="1258" t="s">
        <v>64</v>
      </c>
      <c r="B75" s="1258" t="s">
        <v>679</v>
      </c>
      <c r="C75" s="1271" t="s">
        <v>683</v>
      </c>
      <c r="D75" s="1259">
        <v>26305822</v>
      </c>
      <c r="E75" s="446"/>
      <c r="F75" s="327"/>
    </row>
    <row r="76" spans="1:6">
      <c r="A76" s="1258" t="s">
        <v>64</v>
      </c>
      <c r="B76" s="1258" t="s">
        <v>681</v>
      </c>
      <c r="C76" s="1271" t="s">
        <v>684</v>
      </c>
      <c r="D76" s="1259">
        <v>28686.229311079835</v>
      </c>
      <c r="E76" s="446"/>
      <c r="F76" s="327"/>
    </row>
    <row r="77" spans="1:6">
      <c r="A77" s="1258" t="s">
        <v>65</v>
      </c>
      <c r="B77" s="1258" t="s">
        <v>679</v>
      </c>
      <c r="C77" s="1271" t="s">
        <v>685</v>
      </c>
      <c r="D77" s="1259">
        <v>37803634</v>
      </c>
      <c r="E77" s="446"/>
      <c r="F77" s="327"/>
    </row>
    <row r="78" spans="1:6">
      <c r="A78" s="1253" t="s">
        <v>65</v>
      </c>
      <c r="B78" s="1253" t="s">
        <v>681</v>
      </c>
      <c r="C78" s="1253" t="s">
        <v>686</v>
      </c>
      <c r="D78" s="1261">
        <v>9189416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492479.54137784033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4699.169391837283</v>
      </c>
      <c r="C91" s="327"/>
      <c r="D91" s="327"/>
      <c r="E91" s="327"/>
      <c r="F91" s="327"/>
    </row>
    <row r="92" spans="1:6">
      <c r="A92" s="1253" t="s">
        <v>68</v>
      </c>
      <c r="B92" s="1254">
        <v>2449.1823032787502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571</v>
      </c>
      <c r="C97" s="327"/>
      <c r="D97" s="327"/>
      <c r="E97" s="327"/>
      <c r="F97" s="327"/>
    </row>
    <row r="98" spans="1:6">
      <c r="A98" s="1258" t="s">
        <v>71</v>
      </c>
      <c r="B98" s="1259">
        <v>1</v>
      </c>
      <c r="C98" s="327"/>
      <c r="D98" s="327"/>
      <c r="E98" s="327"/>
      <c r="F98" s="327"/>
    </row>
    <row r="99" spans="1:6">
      <c r="A99" s="1258" t="s">
        <v>72</v>
      </c>
      <c r="B99" s="1259">
        <v>59</v>
      </c>
      <c r="C99" s="327"/>
      <c r="D99" s="327"/>
      <c r="E99" s="327"/>
      <c r="F99" s="327"/>
    </row>
    <row r="100" spans="1:6">
      <c r="A100" s="1258" t="s">
        <v>73</v>
      </c>
      <c r="B100" s="1259">
        <v>211</v>
      </c>
      <c r="C100" s="327"/>
      <c r="D100" s="327"/>
      <c r="E100" s="327"/>
      <c r="F100" s="327"/>
    </row>
    <row r="101" spans="1:6">
      <c r="A101" s="1258" t="s">
        <v>74</v>
      </c>
      <c r="B101" s="1259">
        <v>38</v>
      </c>
      <c r="C101" s="327"/>
      <c r="D101" s="327"/>
      <c r="E101" s="327"/>
      <c r="F101" s="327"/>
    </row>
    <row r="102" spans="1:6">
      <c r="A102" s="1258" t="s">
        <v>75</v>
      </c>
      <c r="B102" s="1259">
        <v>87</v>
      </c>
      <c r="C102" s="327"/>
      <c r="D102" s="327"/>
      <c r="E102" s="327"/>
      <c r="F102" s="327"/>
    </row>
    <row r="103" spans="1:6">
      <c r="A103" s="1258" t="s">
        <v>76</v>
      </c>
      <c r="B103" s="1259">
        <v>136</v>
      </c>
      <c r="C103" s="327"/>
      <c r="D103" s="327"/>
      <c r="E103" s="327"/>
      <c r="F103" s="327"/>
    </row>
    <row r="104" spans="1:6">
      <c r="A104" s="1258" t="s">
        <v>77</v>
      </c>
      <c r="B104" s="1259">
        <v>4632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3</v>
      </c>
      <c r="C121" s="1259">
        <v>0</v>
      </c>
      <c r="D121" s="327"/>
      <c r="E121" s="327"/>
      <c r="F121" s="327"/>
    </row>
    <row r="122" spans="1:6">
      <c r="A122" s="1258" t="s">
        <v>86</v>
      </c>
      <c r="B122" s="1259">
        <v>0</v>
      </c>
      <c r="C122" s="1259">
        <v>0</v>
      </c>
      <c r="D122" s="327"/>
      <c r="E122" s="327"/>
      <c r="F122" s="327"/>
    </row>
    <row r="123" spans="1:6">
      <c r="A123" s="1258" t="s">
        <v>87</v>
      </c>
      <c r="B123" s="1259">
        <v>12</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174</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53280.766050641359</v>
      </c>
      <c r="C3" s="43" t="s">
        <v>163</v>
      </c>
      <c r="D3" s="43"/>
      <c r="E3" s="156"/>
      <c r="F3" s="43"/>
      <c r="G3" s="43"/>
      <c r="H3" s="43"/>
      <c r="I3" s="43"/>
      <c r="J3" s="43"/>
      <c r="K3" s="96"/>
    </row>
    <row r="4" spans="1:11">
      <c r="A4" s="353" t="s">
        <v>164</v>
      </c>
      <c r="B4" s="49">
        <f>IF(ISERROR('SEAP template'!B78+'SEAP template'!C78),0,'SEAP template'!B78+'SEAP template'!C78)</f>
        <v>7193.3516951160327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0.19116314061420092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64.285714285714292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924.05899999999997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924.05899999999997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0.19116314061420092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176.64602055281787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25989.448</v>
      </c>
      <c r="C5" s="17">
        <f>IF(ISERROR('Eigen informatie GS &amp; warmtenet'!B57),0,'Eigen informatie GS &amp; warmtenet'!B57)</f>
        <v>0</v>
      </c>
      <c r="D5" s="30">
        <f>(SUM(HH_hh_gas_kWh,HH_rest_gas_kWh)/1000)*0.902</f>
        <v>40578.741235999994</v>
      </c>
      <c r="E5" s="17">
        <f>B32*B41</f>
        <v>2527.5261719900823</v>
      </c>
      <c r="F5" s="17">
        <f>B36*B45</f>
        <v>77457.234445296475</v>
      </c>
      <c r="G5" s="18"/>
      <c r="H5" s="17"/>
      <c r="I5" s="17"/>
      <c r="J5" s="17">
        <f>B35*B44+C35*C44</f>
        <v>1466.8857895325932</v>
      </c>
      <c r="K5" s="17"/>
      <c r="L5" s="17"/>
      <c r="M5" s="17"/>
      <c r="N5" s="17">
        <f>B34*B43+C34*C43</f>
        <v>11183.043391434463</v>
      </c>
      <c r="O5" s="17">
        <f>B52*B53*B54</f>
        <v>282.96333333333337</v>
      </c>
      <c r="P5" s="17">
        <f>B60*B61*B62/1000-B60*B61*B62/1000/B63</f>
        <v>552.93333333333339</v>
      </c>
    </row>
    <row r="6" spans="1:16">
      <c r="A6" s="16" t="s">
        <v>592</v>
      </c>
      <c r="B6" s="733">
        <f>kWh_PV_kleiner_dan_10kW</f>
        <v>4699.169391837283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30688.617391837284</v>
      </c>
      <c r="C8" s="21">
        <f>C5</f>
        <v>0</v>
      </c>
      <c r="D8" s="21">
        <f>D5</f>
        <v>40578.741235999994</v>
      </c>
      <c r="E8" s="21">
        <f>E5</f>
        <v>2527.5261719900823</v>
      </c>
      <c r="F8" s="21">
        <f>F5</f>
        <v>77457.234445296475</v>
      </c>
      <c r="G8" s="21"/>
      <c r="H8" s="21"/>
      <c r="I8" s="21"/>
      <c r="J8" s="21">
        <f>J5</f>
        <v>1466.8857895325932</v>
      </c>
      <c r="K8" s="21"/>
      <c r="L8" s="21">
        <f>L5</f>
        <v>0</v>
      </c>
      <c r="M8" s="21">
        <f>M5</f>
        <v>0</v>
      </c>
      <c r="N8" s="21">
        <f>N5</f>
        <v>11183.043391434463</v>
      </c>
      <c r="O8" s="21">
        <f>O5</f>
        <v>282.96333333333337</v>
      </c>
      <c r="P8" s="21">
        <f>P5</f>
        <v>552.93333333333339</v>
      </c>
    </row>
    <row r="9" spans="1:16">
      <c r="B9" s="19"/>
      <c r="C9" s="19"/>
      <c r="D9" s="257"/>
      <c r="E9" s="19"/>
      <c r="F9" s="19"/>
      <c r="G9" s="19"/>
      <c r="H9" s="19"/>
      <c r="I9" s="19"/>
      <c r="J9" s="19"/>
      <c r="K9" s="19"/>
      <c r="L9" s="19"/>
      <c r="M9" s="19"/>
      <c r="N9" s="19"/>
      <c r="O9" s="19"/>
      <c r="P9" s="19"/>
    </row>
    <row r="10" spans="1:16">
      <c r="A10" s="24" t="s">
        <v>207</v>
      </c>
      <c r="B10" s="25">
        <f ca="1">'EF ele_warmte'!B12</f>
        <v>0.19116314061420092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5866.532481731203</v>
      </c>
      <c r="C12" s="23">
        <f ca="1">C10*C8</f>
        <v>0</v>
      </c>
      <c r="D12" s="23">
        <f>D8*D10</f>
        <v>8196.9057296720002</v>
      </c>
      <c r="E12" s="23">
        <f>E10*E8</f>
        <v>573.74844104174872</v>
      </c>
      <c r="F12" s="23">
        <f>F10*F8</f>
        <v>20681.081596894161</v>
      </c>
      <c r="G12" s="23"/>
      <c r="H12" s="23"/>
      <c r="I12" s="23"/>
      <c r="J12" s="23">
        <f>J10*J8</f>
        <v>519.27756949453794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6588</v>
      </c>
      <c r="C26" s="36"/>
      <c r="D26" s="227"/>
    </row>
    <row r="27" spans="1:5" s="15" customFormat="1">
      <c r="A27" s="229" t="s">
        <v>697</v>
      </c>
      <c r="B27" s="37">
        <f>SUM(HH_hh_gas_aantal,HH_rest_gas_aantal)</f>
        <v>2271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2157.4499999999998</v>
      </c>
      <c r="C31" s="34" t="s">
        <v>104</v>
      </c>
      <c r="D31" s="173"/>
    </row>
    <row r="32" spans="1:5">
      <c r="A32" s="170" t="s">
        <v>72</v>
      </c>
      <c r="B32" s="33">
        <f>IF((B21*($B$26-($B$27-0.05*$B$27)-$B$60))&lt;0,0,B21*($B$26-($B$27-0.05*$B$27)-$B$60))</f>
        <v>110.22168747025857</v>
      </c>
      <c r="C32" s="34" t="s">
        <v>104</v>
      </c>
      <c r="D32" s="173"/>
    </row>
    <row r="33" spans="1:6">
      <c r="A33" s="170" t="s">
        <v>73</v>
      </c>
      <c r="B33" s="33">
        <f>IF((B22*($B$26-($B$27-0.05*$B$27)-$B$60))&lt;0,0,B22*($B$26-($B$27-0.05*$B$27)-$B$60))</f>
        <v>741.92122902434255</v>
      </c>
      <c r="C33" s="34" t="s">
        <v>104</v>
      </c>
      <c r="D33" s="173"/>
    </row>
    <row r="34" spans="1:6">
      <c r="A34" s="170" t="s">
        <v>74</v>
      </c>
      <c r="B34" s="33">
        <f>IF((B24*($B$26-($B$27-0.05*$B$27)-$B$60))&lt;0,0,B24*($B$26-($B$27-0.05*$B$27)-$B$60))</f>
        <v>188.23547218800425</v>
      </c>
      <c r="C34" s="33">
        <f>B26*C24</f>
        <v>1347.6417255383951</v>
      </c>
      <c r="D34" s="232"/>
    </row>
    <row r="35" spans="1:6">
      <c r="A35" s="170" t="s">
        <v>76</v>
      </c>
      <c r="B35" s="33">
        <f>IF((B19*($B$26-($B$27-0.05*$B$27)-$B$60))&lt;0,0,B19*($B$26-($B$27-0.05*$B$27)-$B$60))</f>
        <v>69.954484568315351</v>
      </c>
      <c r="C35" s="33">
        <f>B35/2</f>
        <v>34.977242284157676</v>
      </c>
      <c r="D35" s="232"/>
    </row>
    <row r="36" spans="1:6">
      <c r="A36" s="170" t="s">
        <v>77</v>
      </c>
      <c r="B36" s="33">
        <f>IF((B18*($B$26-($B$27-0.05*$B$27)-$B$60))&lt;0,0,B18*($B$26-($B$27-0.05*$B$27)-$B$60))</f>
        <v>3291.2171267490799</v>
      </c>
      <c r="C36" s="34" t="s">
        <v>104</v>
      </c>
      <c r="D36" s="173"/>
    </row>
    <row r="37" spans="1:6">
      <c r="A37" s="170" t="s">
        <v>78</v>
      </c>
      <c r="B37" s="33">
        <f>B60</f>
        <v>29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11676.599999999999</v>
      </c>
      <c r="C5" s="17">
        <f>IF(ISERROR('Eigen informatie GS &amp; warmtenet'!B58),0,'Eigen informatie GS &amp; warmtenet'!B58)</f>
        <v>0</v>
      </c>
      <c r="D5" s="30">
        <f>SUM(D6:D12)</f>
        <v>6498.8820379999997</v>
      </c>
      <c r="E5" s="17">
        <f>SUM(E6:E12)</f>
        <v>69.527302878581651</v>
      </c>
      <c r="F5" s="17">
        <f>SUM(F6:F12)</f>
        <v>1493.9994045857445</v>
      </c>
      <c r="G5" s="18"/>
      <c r="H5" s="17"/>
      <c r="I5" s="17"/>
      <c r="J5" s="17">
        <f>SUM(J6:J12)</f>
        <v>27.722445261442079</v>
      </c>
      <c r="K5" s="17"/>
      <c r="L5" s="17"/>
      <c r="M5" s="17"/>
      <c r="N5" s="17">
        <f>SUM(N6:N12)</f>
        <v>829.70420424635495</v>
      </c>
      <c r="O5" s="17">
        <f>B38*B39*B40</f>
        <v>4.6900000000000004</v>
      </c>
      <c r="P5" s="17">
        <f>B46*B47*B48/1000-B46*B47*B48/1000/B49</f>
        <v>76.266666666666666</v>
      </c>
      <c r="R5" s="32"/>
    </row>
    <row r="6" spans="1:18">
      <c r="A6" s="32" t="s">
        <v>53</v>
      </c>
      <c r="B6" s="37">
        <f>B26</f>
        <v>2628.2049999999999</v>
      </c>
      <c r="C6" s="33"/>
      <c r="D6" s="37">
        <f>IF(ISERROR(TER_kantoor_gas_kWh/1000),0,TER_kantoor_gas_kWh/1000)*0.902</f>
        <v>1003.363152</v>
      </c>
      <c r="E6" s="33">
        <f>$C$26*'E Balans VL '!I12/100/3.6*1000000</f>
        <v>22.184342496398791</v>
      </c>
      <c r="F6" s="33">
        <f>$C$26*('E Balans VL '!L12+'E Balans VL '!N12)/100/3.6*1000000</f>
        <v>352.4131907890449</v>
      </c>
      <c r="G6" s="34"/>
      <c r="H6" s="33"/>
      <c r="I6" s="33"/>
      <c r="J6" s="33">
        <f>$C$26*('E Balans VL '!D12+'E Balans VL '!E12)/100/3.6*1000000</f>
        <v>0</v>
      </c>
      <c r="K6" s="33"/>
      <c r="L6" s="33"/>
      <c r="M6" s="33"/>
      <c r="N6" s="33">
        <f>$C$26*'E Balans VL '!Y12/100/3.6*1000000</f>
        <v>23.114250122856056</v>
      </c>
      <c r="O6" s="33"/>
      <c r="P6" s="33"/>
      <c r="R6" s="32"/>
    </row>
    <row r="7" spans="1:18">
      <c r="A7" s="32" t="s">
        <v>52</v>
      </c>
      <c r="B7" s="37">
        <f t="shared" ref="B7:B12" si="0">B27</f>
        <v>1823.587</v>
      </c>
      <c r="C7" s="33"/>
      <c r="D7" s="37">
        <f>IF(ISERROR(TER_horeca_gas_kWh/1000),0,TER_horeca_gas_kWh/1000)*0.902</f>
        <v>875.57049799999993</v>
      </c>
      <c r="E7" s="33">
        <f>$C$27*'E Balans VL '!I9/100/3.6*1000000</f>
        <v>23.976528393403964</v>
      </c>
      <c r="F7" s="33">
        <f>$C$27*('E Balans VL '!L9+'E Balans VL '!N9)/100/3.6*1000000</f>
        <v>457.97080252133316</v>
      </c>
      <c r="G7" s="34"/>
      <c r="H7" s="33"/>
      <c r="I7" s="33"/>
      <c r="J7" s="33">
        <f>$C$27*('E Balans VL '!D9+'E Balans VL '!E9)/100/3.6*1000000</f>
        <v>0</v>
      </c>
      <c r="K7" s="33"/>
      <c r="L7" s="33"/>
      <c r="M7" s="33"/>
      <c r="N7" s="33">
        <f>$C$27*'E Balans VL '!Y9/100/3.6*1000000</f>
        <v>0.49644917644462444</v>
      </c>
      <c r="O7" s="33"/>
      <c r="P7" s="33"/>
      <c r="R7" s="32"/>
    </row>
    <row r="8" spans="1:18">
      <c r="A8" s="6" t="s">
        <v>51</v>
      </c>
      <c r="B8" s="37">
        <f t="shared" si="0"/>
        <v>5080.0810000000001</v>
      </c>
      <c r="C8" s="33"/>
      <c r="D8" s="37">
        <f>IF(ISERROR(TER_handel_gas_kWh/1000),0,TER_handel_gas_kWh/1000)*0.902</f>
        <v>2653.1184459999999</v>
      </c>
      <c r="E8" s="33">
        <f>$C$28*'E Balans VL '!I13/100/3.6*1000000</f>
        <v>22.247543503543266</v>
      </c>
      <c r="F8" s="33">
        <f>$C$28*('E Balans VL '!L13+'E Balans VL '!N13)/100/3.6*1000000</f>
        <v>341.45572282364782</v>
      </c>
      <c r="G8" s="34"/>
      <c r="H8" s="33"/>
      <c r="I8" s="33"/>
      <c r="J8" s="33">
        <f>$C$28*('E Balans VL '!D13+'E Balans VL '!E13)/100/3.6*1000000</f>
        <v>0</v>
      </c>
      <c r="K8" s="33"/>
      <c r="L8" s="33"/>
      <c r="M8" s="33"/>
      <c r="N8" s="33">
        <f>$C$28*'E Balans VL '!Y13/100/3.6*1000000</f>
        <v>15.007856108695551</v>
      </c>
      <c r="O8" s="33"/>
      <c r="P8" s="33"/>
      <c r="R8" s="32"/>
    </row>
    <row r="9" spans="1:18">
      <c r="A9" s="32" t="s">
        <v>50</v>
      </c>
      <c r="B9" s="37">
        <f t="shared" si="0"/>
        <v>668.31899999999996</v>
      </c>
      <c r="C9" s="33"/>
      <c r="D9" s="37">
        <f>IF(ISERROR(TER_gezond_gas_kWh/1000),0,TER_gezond_gas_kWh/1000)*0.902</f>
        <v>954.04179199999999</v>
      </c>
      <c r="E9" s="33">
        <f>$C$29*'E Balans VL '!I10/100/3.6*1000000</f>
        <v>0.22983785475163002</v>
      </c>
      <c r="F9" s="33">
        <f>$C$29*('E Balans VL '!L10+'E Balans VL '!N10)/100/3.6*1000000</f>
        <v>58.413712977101547</v>
      </c>
      <c r="G9" s="34"/>
      <c r="H9" s="33"/>
      <c r="I9" s="33"/>
      <c r="J9" s="33">
        <f>$C$29*('E Balans VL '!D10+'E Balans VL '!E10)/100/3.6*1000000</f>
        <v>27.722445261442079</v>
      </c>
      <c r="K9" s="33"/>
      <c r="L9" s="33"/>
      <c r="M9" s="33"/>
      <c r="N9" s="33">
        <f>$C$29*'E Balans VL '!Y10/100/3.6*1000000</f>
        <v>7.0070777460975808</v>
      </c>
      <c r="O9" s="33"/>
      <c r="P9" s="33"/>
      <c r="R9" s="32"/>
    </row>
    <row r="10" spans="1:18">
      <c r="A10" s="32" t="s">
        <v>49</v>
      </c>
      <c r="B10" s="37">
        <f t="shared" si="0"/>
        <v>1320.518</v>
      </c>
      <c r="C10" s="33"/>
      <c r="D10" s="37">
        <f>IF(ISERROR(TER_ander_gas_kWh/1000),0,TER_ander_gas_kWh/1000)*0.902</f>
        <v>740.62047400000006</v>
      </c>
      <c r="E10" s="33">
        <f>$C$30*'E Balans VL '!I14/100/3.6*1000000</f>
        <v>0.78536023749007644</v>
      </c>
      <c r="F10" s="33">
        <f>$C$30*('E Balans VL '!L14+'E Balans VL '!N14)/100/3.6*1000000</f>
        <v>233.80185696216807</v>
      </c>
      <c r="G10" s="34"/>
      <c r="H10" s="33"/>
      <c r="I10" s="33"/>
      <c r="J10" s="33">
        <f>$C$30*('E Balans VL '!D14+'E Balans VL '!E14)/100/3.6*1000000</f>
        <v>0</v>
      </c>
      <c r="K10" s="33"/>
      <c r="L10" s="33"/>
      <c r="M10" s="33"/>
      <c r="N10" s="33">
        <f>$C$30*'E Balans VL '!Y14/100/3.6*1000000</f>
        <v>784.07857109226109</v>
      </c>
      <c r="O10" s="33"/>
      <c r="P10" s="33"/>
      <c r="R10" s="32"/>
    </row>
    <row r="11" spans="1:18">
      <c r="A11" s="32" t="s">
        <v>54</v>
      </c>
      <c r="B11" s="37">
        <f t="shared" si="0"/>
        <v>155.88999999999999</v>
      </c>
      <c r="C11" s="33"/>
      <c r="D11" s="37">
        <f>IF(ISERROR(TER_onderwijs_gas_kWh/1000),0,TER_onderwijs_gas_kWh/1000)*0.902</f>
        <v>272.16767600000003</v>
      </c>
      <c r="E11" s="33">
        <f>$C$31*'E Balans VL '!I11/100/3.6*1000000</f>
        <v>0.10369039299390896</v>
      </c>
      <c r="F11" s="33">
        <f>$C$31*('E Balans VL '!L11+'E Balans VL '!N11)/100/3.6*1000000</f>
        <v>49.944118512448945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11676.599999999999</v>
      </c>
      <c r="C16" s="21">
        <f t="shared" ca="1" si="1"/>
        <v>0</v>
      </c>
      <c r="D16" s="21">
        <f t="shared" ca="1" si="1"/>
        <v>6498.8820379999997</v>
      </c>
      <c r="E16" s="21">
        <f t="shared" si="1"/>
        <v>69.527302878581651</v>
      </c>
      <c r="F16" s="21">
        <f t="shared" ca="1" si="1"/>
        <v>1493.9994045857445</v>
      </c>
      <c r="G16" s="21">
        <f t="shared" si="1"/>
        <v>0</v>
      </c>
      <c r="H16" s="21">
        <f t="shared" si="1"/>
        <v>0</v>
      </c>
      <c r="I16" s="21">
        <f t="shared" si="1"/>
        <v>0</v>
      </c>
      <c r="J16" s="21">
        <f t="shared" si="1"/>
        <v>27.722445261442079</v>
      </c>
      <c r="K16" s="21">
        <f t="shared" si="1"/>
        <v>0</v>
      </c>
      <c r="L16" s="21">
        <f t="shared" ca="1" si="1"/>
        <v>0</v>
      </c>
      <c r="M16" s="21">
        <f t="shared" si="1"/>
        <v>0</v>
      </c>
      <c r="N16" s="21">
        <f t="shared" ca="1" si="1"/>
        <v>829.70420424635495</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0.19116314061420092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2232.1355276957784</v>
      </c>
      <c r="C20" s="23">
        <f t="shared" ref="C20:P20" ca="1" si="2">C16*C18</f>
        <v>0</v>
      </c>
      <c r="D20" s="23">
        <f t="shared" ca="1" si="2"/>
        <v>1312.7741716759999</v>
      </c>
      <c r="E20" s="23">
        <f t="shared" si="2"/>
        <v>15.782697753438034</v>
      </c>
      <c r="F20" s="23">
        <f t="shared" ca="1" si="2"/>
        <v>398.89784102439381</v>
      </c>
      <c r="G20" s="23">
        <f t="shared" si="2"/>
        <v>0</v>
      </c>
      <c r="H20" s="23">
        <f t="shared" si="2"/>
        <v>0</v>
      </c>
      <c r="I20" s="23">
        <f t="shared" si="2"/>
        <v>0</v>
      </c>
      <c r="J20" s="23">
        <f t="shared" si="2"/>
        <v>9.8137456225504955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2628.2049999999999</v>
      </c>
      <c r="C26" s="39">
        <f>IF(ISERROR(B26*3.6/1000000/'E Balans VL '!Z12*100),0,B26*3.6/1000000/'E Balans VL '!Z12*100)</f>
        <v>5.508391399165221E-2</v>
      </c>
      <c r="D26" s="235" t="s">
        <v>647</v>
      </c>
      <c r="F26" s="6"/>
    </row>
    <row r="27" spans="1:18">
      <c r="A27" s="230" t="s">
        <v>52</v>
      </c>
      <c r="B27" s="33">
        <f>IF(ISERROR(TER_horeca_ele_kWh/1000),0,TER_horeca_ele_kWh/1000)</f>
        <v>1823.587</v>
      </c>
      <c r="C27" s="39">
        <f>IF(ISERROR(B27*3.6/1000000/'E Balans VL '!Z9*100),0,B27*3.6/1000000/'E Balans VL '!Z9*100)</f>
        <v>0.13981410150435908</v>
      </c>
      <c r="D27" s="235" t="s">
        <v>647</v>
      </c>
      <c r="F27" s="6"/>
    </row>
    <row r="28" spans="1:18">
      <c r="A28" s="170" t="s">
        <v>51</v>
      </c>
      <c r="B28" s="33">
        <f>IF(ISERROR(TER_handel_ele_kWh/1000),0,TER_handel_ele_kWh/1000)</f>
        <v>5080.0810000000001</v>
      </c>
      <c r="C28" s="39">
        <f>IF(ISERROR(B28*3.6/1000000/'E Balans VL '!Z13*100),0,B28*3.6/1000000/'E Balans VL '!Z13*100)</f>
        <v>0.14331657924542349</v>
      </c>
      <c r="D28" s="235" t="s">
        <v>647</v>
      </c>
      <c r="F28" s="6"/>
    </row>
    <row r="29" spans="1:18">
      <c r="A29" s="230" t="s">
        <v>50</v>
      </c>
      <c r="B29" s="33">
        <f>IF(ISERROR(TER_gezond_ele_kWh/1000),0,TER_gezond_ele_kWh/1000)</f>
        <v>668.31899999999996</v>
      </c>
      <c r="C29" s="39">
        <f>IF(ISERROR(B29*3.6/1000000/'E Balans VL '!Z10*100),0,B29*3.6/1000000/'E Balans VL '!Z10*100)</f>
        <v>7.4208513046756561E-2</v>
      </c>
      <c r="D29" s="235" t="s">
        <v>647</v>
      </c>
      <c r="F29" s="6"/>
    </row>
    <row r="30" spans="1:18">
      <c r="A30" s="230" t="s">
        <v>49</v>
      </c>
      <c r="B30" s="33">
        <f>IF(ISERROR(TER_ander_ele_kWh/1000),0,TER_ander_ele_kWh/1000)</f>
        <v>1320.518</v>
      </c>
      <c r="C30" s="39">
        <f>IF(ISERROR(B30*3.6/1000000/'E Balans VL '!Z14*100),0,B30*3.6/1000000/'E Balans VL '!Z14*100)</f>
        <v>9.5282543633421826E-2</v>
      </c>
      <c r="D30" s="235" t="s">
        <v>647</v>
      </c>
      <c r="F30" s="6"/>
    </row>
    <row r="31" spans="1:18">
      <c r="A31" s="230" t="s">
        <v>54</v>
      </c>
      <c r="B31" s="33">
        <f>IF(ISERROR(TER_onderwijs_ele_kWh/1000),0,TER_onderwijs_ele_kWh/1000)</f>
        <v>155.88999999999999</v>
      </c>
      <c r="C31" s="39">
        <f>IF(ISERROR(B31*3.6/1000000/'E Balans VL '!Z11*100),0,B31*3.6/1000000/'E Balans VL '!Z11*100)</f>
        <v>4.3211473179080695E-2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2221.366</v>
      </c>
      <c r="C5" s="17">
        <f>IF(ISERROR('Eigen informatie GS &amp; warmtenet'!B59),0,'Eigen informatie GS &amp; warmtenet'!B59)</f>
        <v>0</v>
      </c>
      <c r="D5" s="30">
        <f>SUM(D6:D15)</f>
        <v>6754.3320460000004</v>
      </c>
      <c r="E5" s="17">
        <f>SUM(E6:E15)</f>
        <v>266.00582298313367</v>
      </c>
      <c r="F5" s="17">
        <f>SUM(F6:F15)</f>
        <v>1884.8166810416283</v>
      </c>
      <c r="G5" s="18"/>
      <c r="H5" s="17"/>
      <c r="I5" s="17"/>
      <c r="J5" s="17">
        <f>SUM(J6:J15)</f>
        <v>3.4363330908726848</v>
      </c>
      <c r="K5" s="17"/>
      <c r="L5" s="17"/>
      <c r="M5" s="17"/>
      <c r="N5" s="17">
        <f>SUM(N6:N15)</f>
        <v>295.14168724109186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63.570999999999998</v>
      </c>
      <c r="C8" s="33"/>
      <c r="D8" s="37">
        <f>IF( ISERROR(IND_metaal_Gas_kWH/1000),0,IND_metaal_Gas_kWH/1000)*0.902</f>
        <v>0</v>
      </c>
      <c r="E8" s="33">
        <f>C30*'E Balans VL '!I18/100/3.6*1000000</f>
        <v>1.8259977362609017</v>
      </c>
      <c r="F8" s="33">
        <f>C30*'E Balans VL '!L18/100/3.6*1000000+C30*'E Balans VL '!N18/100/3.6*1000000</f>
        <v>16.304738853961972</v>
      </c>
      <c r="G8" s="34"/>
      <c r="H8" s="33"/>
      <c r="I8" s="33"/>
      <c r="J8" s="40">
        <f>C30*'E Balans VL '!D18/100/3.6*1000000+C30*'E Balans VL '!E18/100/3.6*1000000</f>
        <v>0</v>
      </c>
      <c r="K8" s="33"/>
      <c r="L8" s="33"/>
      <c r="M8" s="33"/>
      <c r="N8" s="33">
        <f>C30*'E Balans VL '!Y18/100/3.6*1000000</f>
        <v>1.7260824167960644</v>
      </c>
      <c r="O8" s="33"/>
      <c r="P8" s="33"/>
      <c r="R8" s="32"/>
    </row>
    <row r="9" spans="1:18">
      <c r="A9" s="6" t="s">
        <v>32</v>
      </c>
      <c r="B9" s="37">
        <f t="shared" si="0"/>
        <v>712.85699999999997</v>
      </c>
      <c r="C9" s="33"/>
      <c r="D9" s="37">
        <f>IF( ISERROR(IND_andere_gas_kWh/1000),0,IND_andere_gas_kWh/1000)*0.902</f>
        <v>589.60582999999997</v>
      </c>
      <c r="E9" s="33">
        <f>C31*'E Balans VL '!I19/100/3.6*1000000</f>
        <v>192.95286285610896</v>
      </c>
      <c r="F9" s="33">
        <f>C31*'E Balans VL '!L19/100/3.6*1000000+C31*'E Balans VL '!N19/100/3.6*1000000</f>
        <v>474.83819802845079</v>
      </c>
      <c r="G9" s="34"/>
      <c r="H9" s="33"/>
      <c r="I9" s="33"/>
      <c r="J9" s="40">
        <f>C31*'E Balans VL '!D19/100/3.6*1000000+C31*'E Balans VL '!E19/100/3.6*1000000</f>
        <v>0</v>
      </c>
      <c r="K9" s="33"/>
      <c r="L9" s="33"/>
      <c r="M9" s="33"/>
      <c r="N9" s="33">
        <f>C31*'E Balans VL '!Y19/100/3.6*1000000</f>
        <v>60.267337211613793</v>
      </c>
      <c r="O9" s="33"/>
      <c r="P9" s="33"/>
      <c r="R9" s="32"/>
    </row>
    <row r="10" spans="1:18">
      <c r="A10" s="6" t="s">
        <v>40</v>
      </c>
      <c r="B10" s="37">
        <f t="shared" si="0"/>
        <v>773.93299999999999</v>
      </c>
      <c r="C10" s="33"/>
      <c r="D10" s="37">
        <f>IF( ISERROR(IND_voed_gas_kWh/1000),0,IND_voed_gas_kWh/1000)*0.902</f>
        <v>244.28685599999997</v>
      </c>
      <c r="E10" s="33">
        <f>C32*'E Balans VL '!I20/100/3.6*1000000</f>
        <v>63.12375354479984</v>
      </c>
      <c r="F10" s="33">
        <f>C32*'E Balans VL '!L20/100/3.6*1000000+C32*'E Balans VL '!N20/100/3.6*1000000</f>
        <v>1154.0043203542953</v>
      </c>
      <c r="G10" s="34"/>
      <c r="H10" s="33"/>
      <c r="I10" s="33"/>
      <c r="J10" s="40">
        <f>C32*'E Balans VL '!D20/100/3.6*1000000+C32*'E Balans VL '!E20/100/3.6*1000000</f>
        <v>1.0238194161362926E-2</v>
      </c>
      <c r="K10" s="33"/>
      <c r="L10" s="33"/>
      <c r="M10" s="33"/>
      <c r="N10" s="33">
        <f>C32*'E Balans VL '!Y20/100/3.6*1000000</f>
        <v>227.35420624911731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595.44299999999998</v>
      </c>
      <c r="C12" s="33"/>
      <c r="D12" s="37">
        <f>IF( ISERROR(IND_min_gas_kWh/1000),0,IND_min_gas_kWh/1000)*0.902</f>
        <v>0</v>
      </c>
      <c r="E12" s="33">
        <f>C34*'E Balans VL '!I22/100/3.6*1000000</f>
        <v>4.6383712284928169</v>
      </c>
      <c r="F12" s="33">
        <f>C34*'E Balans VL '!L22/100/3.6*1000000+C34*'E Balans VL '!N22/100/3.6*1000000</f>
        <v>224.56450851007594</v>
      </c>
      <c r="G12" s="34"/>
      <c r="H12" s="33"/>
      <c r="I12" s="33"/>
      <c r="J12" s="40">
        <f>C34*'E Balans VL '!D22/100/3.6*1000000+C34*'E Balans VL '!E22/100/3.6*1000000</f>
        <v>3.274884438675389</v>
      </c>
      <c r="K12" s="33"/>
      <c r="L12" s="33"/>
      <c r="M12" s="33"/>
      <c r="N12" s="33">
        <f>C34*'E Balans VL '!Y22/100/3.6*1000000</f>
        <v>0</v>
      </c>
      <c r="O12" s="33"/>
      <c r="P12" s="33"/>
      <c r="R12" s="32"/>
    </row>
    <row r="13" spans="1:18">
      <c r="A13" s="6" t="s">
        <v>38</v>
      </c>
      <c r="B13" s="37">
        <f t="shared" si="0"/>
        <v>16.565999999999999</v>
      </c>
      <c r="C13" s="33"/>
      <c r="D13" s="37">
        <f>IF( ISERROR(IND_papier_gas_kWh/1000),0,IND_papier_gas_kWh/1000)*0.902</f>
        <v>0</v>
      </c>
      <c r="E13" s="33">
        <f>C35*'E Balans VL '!I23/100/3.6*1000000</f>
        <v>0.17355902956887775</v>
      </c>
      <c r="F13" s="33">
        <f>C35*'E Balans VL '!L23/100/3.6*1000000+C35*'E Balans VL '!N23/100/3.6*1000000</f>
        <v>1.2361578562577831</v>
      </c>
      <c r="G13" s="34"/>
      <c r="H13" s="33"/>
      <c r="I13" s="33"/>
      <c r="J13" s="40">
        <f>C35*'E Balans VL '!D23/100/3.6*1000000+C35*'E Balans VL '!E23/100/3.6*1000000</f>
        <v>0</v>
      </c>
      <c r="K13" s="33"/>
      <c r="L13" s="33"/>
      <c r="M13" s="33"/>
      <c r="N13" s="33">
        <f>C35*'E Balans VL '!Y23/100/3.6*1000000</f>
        <v>3.0560688019721778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58.996000000000002</v>
      </c>
      <c r="C15" s="33"/>
      <c r="D15" s="37">
        <f>IF( ISERROR(IND_rest_gas_kWh/1000),0,IND_rest_gas_kWh/1000)*0.902</f>
        <v>5920.4393600000003</v>
      </c>
      <c r="E15" s="33">
        <f>C37*'E Balans VL '!I15/100/3.6*1000000</f>
        <v>3.2912785879022719</v>
      </c>
      <c r="F15" s="33">
        <f>C37*'E Balans VL '!L15/100/3.6*1000000+C37*'E Balans VL '!N15/100/3.6*1000000</f>
        <v>13.868757438586666</v>
      </c>
      <c r="G15" s="34"/>
      <c r="H15" s="33"/>
      <c r="I15" s="33"/>
      <c r="J15" s="40">
        <f>C37*'E Balans VL '!D15/100/3.6*1000000+C37*'E Balans VL '!E15/100/3.6*1000000</f>
        <v>0.15121045803593289</v>
      </c>
      <c r="K15" s="33"/>
      <c r="L15" s="33"/>
      <c r="M15" s="33"/>
      <c r="N15" s="33">
        <f>C37*'E Balans VL '!Y15/100/3.6*1000000</f>
        <v>2.7379925615925389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2221.366</v>
      </c>
      <c r="C18" s="21">
        <f>C5+C16</f>
        <v>0</v>
      </c>
      <c r="D18" s="21">
        <f>MAX((D5+D16),0)</f>
        <v>6754.3320460000004</v>
      </c>
      <c r="E18" s="21">
        <f>MAX((E5+E16),0)</f>
        <v>266.00582298313367</v>
      </c>
      <c r="F18" s="21">
        <f>MAX((F5+F16),0)</f>
        <v>1884.8166810416283</v>
      </c>
      <c r="G18" s="21"/>
      <c r="H18" s="21"/>
      <c r="I18" s="21"/>
      <c r="J18" s="21">
        <f>MAX((J5+J16),0)</f>
        <v>3.4363330908726848</v>
      </c>
      <c r="K18" s="21"/>
      <c r="L18" s="21">
        <f>MAX((L5+L16),0)</f>
        <v>0</v>
      </c>
      <c r="M18" s="21"/>
      <c r="N18" s="21">
        <f>MAX((N5+N16),0)</f>
        <v>295.14168724109186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0.19116314061420092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424.64330101360503</v>
      </c>
      <c r="C22" s="23">
        <f ca="1">C18*C20</f>
        <v>0</v>
      </c>
      <c r="D22" s="23">
        <f>D18*D20</f>
        <v>1364.3750732920003</v>
      </c>
      <c r="E22" s="23">
        <f>E18*E20</f>
        <v>60.383321817171343</v>
      </c>
      <c r="F22" s="23">
        <f>F18*F20</f>
        <v>503.24605383811479</v>
      </c>
      <c r="G22" s="23"/>
      <c r="H22" s="23"/>
      <c r="I22" s="23"/>
      <c r="J22" s="23">
        <f>J18*J20</f>
        <v>1.2164619141689303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63.570999999999998</v>
      </c>
      <c r="C30" s="39">
        <f>IF(ISERROR(B30*3.6/1000000/'E Balans VL '!Z18*100),0,B30*3.6/1000000/'E Balans VL '!Z18*100)</f>
        <v>6.2552241205238316E-3</v>
      </c>
      <c r="D30" s="235" t="s">
        <v>647</v>
      </c>
    </row>
    <row r="31" spans="1:18">
      <c r="A31" s="6" t="s">
        <v>32</v>
      </c>
      <c r="B31" s="37">
        <f>IF( ISERROR(IND_ander_ele_kWh/1000),0,IND_ander_ele_kWh/1000)</f>
        <v>712.85699999999997</v>
      </c>
      <c r="C31" s="39">
        <f>IF(ISERROR(B31*3.6/1000000/'E Balans VL '!Z19*100),0,B31*3.6/1000000/'E Balans VL '!Z19*100)</f>
        <v>3.1044353709572575E-2</v>
      </c>
      <c r="D31" s="235" t="s">
        <v>647</v>
      </c>
    </row>
    <row r="32" spans="1:18">
      <c r="A32" s="170" t="s">
        <v>40</v>
      </c>
      <c r="B32" s="37">
        <f>IF( ISERROR(IND_voed_ele_kWh/1000),0,IND_voed_ele_kWh/1000)</f>
        <v>773.93299999999999</v>
      </c>
      <c r="C32" s="39">
        <f>IF(ISERROR(B32*3.6/1000000/'E Balans VL '!Z20*100),0,B32*3.6/1000000/'E Balans VL '!Z20*100)</f>
        <v>0.1468426254219326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595.44299999999998</v>
      </c>
      <c r="C34" s="39">
        <f>IF(ISERROR(B34*3.6/1000000/'E Balans VL '!Z22*100),0,B34*3.6/1000000/'E Balans VL '!Z22*100)</f>
        <v>8.3725265052234904E-2</v>
      </c>
      <c r="D34" s="235" t="s">
        <v>647</v>
      </c>
    </row>
    <row r="35" spans="1:5">
      <c r="A35" s="170" t="s">
        <v>38</v>
      </c>
      <c r="B35" s="37">
        <f>IF( ISERROR(IND_papier_ele_kWh/1000),0,IND_papier_ele_kWh/1000)</f>
        <v>16.565999999999999</v>
      </c>
      <c r="C35" s="39">
        <f>IF(ISERROR(B35*3.6/1000000/'E Balans VL '!Z22*100),0,B35*3.6/1000000/'E Balans VL '!Z22*100)</f>
        <v>2.3293459505869135E-3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58.996000000000002</v>
      </c>
      <c r="C37" s="39">
        <f>IF(ISERROR(B37*3.6/1000000/'E Balans VL '!Z15*100),0,B37*3.6/1000000/'E Balans VL '!Z15*100)</f>
        <v>4.546366420244918E-4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6716.5950000000003</v>
      </c>
      <c r="C5" s="17">
        <f>'Eigen informatie GS &amp; warmtenet'!B60</f>
        <v>0</v>
      </c>
      <c r="D5" s="30">
        <f>IF(ISERROR(SUM(LB_lb_gas_kWh,LB_rest_gas_kWh)/1000),0,SUM(LB_lb_gas_kWh,LB_rest_gas_kWh)/1000)*0.902</f>
        <v>3682.7721920000004</v>
      </c>
      <c r="E5" s="17">
        <f>B17*'E Balans VL '!I25/3.6*1000000/100</f>
        <v>139.46814841331994</v>
      </c>
      <c r="F5" s="17">
        <f>B17*('E Balans VL '!L25/3.6*1000000+'E Balans VL '!N25/3.6*1000000)/100</f>
        <v>23736.618117886348</v>
      </c>
      <c r="G5" s="18"/>
      <c r="H5" s="17"/>
      <c r="I5" s="17"/>
      <c r="J5" s="17">
        <f>('E Balans VL '!D25+'E Balans VL '!E25)/3.6*1000000*landbouw!B17/100</f>
        <v>770.35096517625459</v>
      </c>
      <c r="K5" s="17"/>
      <c r="L5" s="17">
        <f>L6*(-1)</f>
        <v>0</v>
      </c>
      <c r="M5" s="17"/>
      <c r="N5" s="17">
        <f>N6*(-1)</f>
        <v>128.57142857142858</v>
      </c>
      <c r="O5" s="17"/>
      <c r="P5" s="17"/>
      <c r="R5" s="32"/>
    </row>
    <row r="6" spans="1:18">
      <c r="A6" s="16" t="s">
        <v>483</v>
      </c>
      <c r="B6" s="17" t="s">
        <v>204</v>
      </c>
      <c r="C6" s="17">
        <f>'lokale energieproductie'!O39+'lokale energieproductie'!O32</f>
        <v>64.285714285714292</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-128.57142857142858</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6716.5950000000003</v>
      </c>
      <c r="C8" s="21">
        <f>C5+C6</f>
        <v>64.285714285714292</v>
      </c>
      <c r="D8" s="21">
        <f>MAX((D5+D6),0)</f>
        <v>3682.7721920000004</v>
      </c>
      <c r="E8" s="21">
        <f>MAX((E5+E6),0)</f>
        <v>139.46814841331994</v>
      </c>
      <c r="F8" s="21">
        <f>MAX((F5+F6),0)</f>
        <v>23736.618117886348</v>
      </c>
      <c r="G8" s="21"/>
      <c r="H8" s="21"/>
      <c r="I8" s="21"/>
      <c r="J8" s="21">
        <f>MAX((J5+J6),0)</f>
        <v>770.35096517625459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0.19116314061420092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1283.9653944336389</v>
      </c>
      <c r="C12" s="23">
        <f ca="1">C8*C10</f>
        <v>0</v>
      </c>
      <c r="D12" s="23">
        <f>D8*D10</f>
        <v>743.91998278400013</v>
      </c>
      <c r="E12" s="23">
        <f>E8*E10</f>
        <v>31.659269689823628</v>
      </c>
      <c r="F12" s="23">
        <f>F8*F10</f>
        <v>6337.6770374756552</v>
      </c>
      <c r="G12" s="23"/>
      <c r="H12" s="23"/>
      <c r="I12" s="23"/>
      <c r="J12" s="23">
        <f>J8*J10</f>
        <v>272.70424167239412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0.93675330771369902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255.1873682257368</v>
      </c>
      <c r="C26" s="245">
        <f>B26*'GWP N2O_CH4'!B5</f>
        <v>5358.934732740473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164.1437439278551</v>
      </c>
      <c r="C27" s="245">
        <f>B27*'GWP N2O_CH4'!B5</f>
        <v>3447.0186224849572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4.4863442094276929</v>
      </c>
      <c r="C28" s="245">
        <f>B28*'GWP N2O_CH4'!B4</f>
        <v>1390.7667049225847</v>
      </c>
      <c r="D28" s="50"/>
    </row>
    <row r="29" spans="1:4">
      <c r="A29" s="41" t="s">
        <v>266</v>
      </c>
      <c r="B29" s="245">
        <f>B34*'ha_N2O bodem landbouw'!B4</f>
        <v>25.315652661633575</v>
      </c>
      <c r="C29" s="245">
        <f>B29*'GWP N2O_CH4'!B4</f>
        <v>7847.852325106408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6.3210655085483118E-3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3.7541028864152657E-5</v>
      </c>
      <c r="C5" s="434" t="s">
        <v>204</v>
      </c>
      <c r="D5" s="419">
        <f>SUM(D6:D11)</f>
        <v>3.5738536459103406E-5</v>
      </c>
      <c r="E5" s="419">
        <f>SUM(E6:E11)</f>
        <v>1.3389434608729654E-3</v>
      </c>
      <c r="F5" s="432" t="s">
        <v>204</v>
      </c>
      <c r="G5" s="419">
        <f>SUM(G6:G11)</f>
        <v>0.37903990338714205</v>
      </c>
      <c r="H5" s="419">
        <f>SUM(H6:H11)</f>
        <v>6.5919579102697495E-2</v>
      </c>
      <c r="I5" s="434" t="s">
        <v>204</v>
      </c>
      <c r="J5" s="434" t="s">
        <v>204</v>
      </c>
      <c r="K5" s="434" t="s">
        <v>204</v>
      </c>
      <c r="L5" s="434" t="s">
        <v>204</v>
      </c>
      <c r="M5" s="419">
        <f>SUM(M6:M11)</f>
        <v>2.0118958530411398E-2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1.8812106549647318E-5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1.6686487946811414E-5</v>
      </c>
      <c r="E6" s="836">
        <f>vkm_GW_PW*SUMIFS(TableVerdeelsleutelVkm[LPG],TableVerdeelsleutelVkm[Voertuigtype],"Lichte voertuigen")*SUMIFS(TableECFTransport[EnergieConsumptieFactor (PJ per km)],TableECFTransport[Index],CONCATENATE($A6,"_LPG_LPG"))</f>
        <v>5.9919801034380557E-4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0.11911722760147866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3.0749387431000655E-2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6.7799939809095591E-3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2.5617804731522402E-7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4.0088055395273277E-2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1.05453992193163E-6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1.8100438861266596E-3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7.417111662232723E-6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1.0350763458923506E-5</v>
      </c>
      <c r="E8" s="422">
        <f>vkm_NGW_PW*SUMIFS(TableVerdeelsleutelVkm[LPG],TableVerdeelsleutelVkm[Voertuigtype],"Lichte voertuigen")*SUMIFS(TableECFTransport[EnergieConsumptieFactor (PJ per km)],TableECFTransport[Index],CONCATENATE($A8,"_LPG_LPG"))</f>
        <v>3.5287305595162302E-4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6.6180808914240039E-2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1.8282810126659253E-2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3.8215665285739149E-3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1.7350225760052348E-9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3.4875324695969145E-4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8.6207031575877067E-9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1.5746777057394732E-5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1.0498096258777467E-5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8.7012850533684846E-6</v>
      </c>
      <c r="E10" s="422">
        <f>vkm_SW_PW*SUMIFS(TableVerdeelsleutelVkm[LPG],TableVerdeelsleutelVkm[Voertuigtype],"Lichte voertuigen")*SUMIFS(TableECFTransport[EnergieConsumptieFactor (PJ per km)],TableECFTransport[Index],CONCATENATE($A10,"_LPG_LPG"))</f>
        <v>3.8687239457753673E-4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7.0436429670853035E-2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1.6883963491673377E-2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3.9499398514884513E-3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5.5580132360391943E-7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8.2868628558337362E-2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2.3548927391210644E-6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3.7416675062554158E-3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10.428063573375738</v>
      </c>
      <c r="C14" s="21"/>
      <c r="D14" s="21">
        <f t="shared" ref="D14:M14" si="0">((D5)*10^9/3600)+D12</f>
        <v>9.9273712386398358</v>
      </c>
      <c r="E14" s="21">
        <f t="shared" si="0"/>
        <v>371.9287391313793</v>
      </c>
      <c r="F14" s="21"/>
      <c r="G14" s="21">
        <f t="shared" si="0"/>
        <v>105288.8620519839</v>
      </c>
      <c r="H14" s="21">
        <f t="shared" si="0"/>
        <v>18310.994195193747</v>
      </c>
      <c r="I14" s="21"/>
      <c r="J14" s="21"/>
      <c r="K14" s="21"/>
      <c r="L14" s="21"/>
      <c r="M14" s="21">
        <f t="shared" si="0"/>
        <v>5588.5995917809441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0.19116314061420092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1.9934613832110526</v>
      </c>
      <c r="C18" s="23"/>
      <c r="D18" s="23">
        <f t="shared" ref="D18:M18" si="1">D14*D16</f>
        <v>2.0053289902052471</v>
      </c>
      <c r="E18" s="23">
        <f t="shared" si="1"/>
        <v>84.427823782823111</v>
      </c>
      <c r="F18" s="23"/>
      <c r="G18" s="23">
        <f t="shared" si="1"/>
        <v>28112.126167879702</v>
      </c>
      <c r="H18" s="23">
        <f t="shared" si="1"/>
        <v>4559.4375546032434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3.277654283052303E-5</v>
      </c>
      <c r="C50" s="316">
        <f t="shared" ref="C50:P50" si="2">SUM(C51:C52)</f>
        <v>0</v>
      </c>
      <c r="D50" s="316">
        <f t="shared" si="2"/>
        <v>0</v>
      </c>
      <c r="E50" s="316">
        <f t="shared" si="2"/>
        <v>0</v>
      </c>
      <c r="F50" s="316">
        <f t="shared" si="2"/>
        <v>0</v>
      </c>
      <c r="G50" s="316">
        <f t="shared" si="2"/>
        <v>6.3797685993996619E-3</v>
      </c>
      <c r="H50" s="316">
        <f t="shared" si="2"/>
        <v>0</v>
      </c>
      <c r="I50" s="316">
        <f t="shared" si="2"/>
        <v>0</v>
      </c>
      <c r="J50" s="316">
        <f t="shared" si="2"/>
        <v>0</v>
      </c>
      <c r="K50" s="316">
        <f t="shared" si="2"/>
        <v>0</v>
      </c>
      <c r="L50" s="316">
        <f t="shared" si="2"/>
        <v>0</v>
      </c>
      <c r="M50" s="316">
        <f t="shared" si="2"/>
        <v>2.8607418469539774E-4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3.277654283052303E-5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6.3797685993996619E-3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2.8607418469539774E-4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9.1045952307008413</v>
      </c>
      <c r="C54" s="21">
        <f t="shared" ref="C54:P54" si="3">(C50)*10^9/3600</f>
        <v>0</v>
      </c>
      <c r="D54" s="21">
        <f t="shared" si="3"/>
        <v>0</v>
      </c>
      <c r="E54" s="21">
        <f t="shared" si="3"/>
        <v>0</v>
      </c>
      <c r="F54" s="21">
        <f t="shared" si="3"/>
        <v>0</v>
      </c>
      <c r="G54" s="21">
        <f t="shared" si="3"/>
        <v>1772.1579442776838</v>
      </c>
      <c r="H54" s="21">
        <f t="shared" si="3"/>
        <v>0</v>
      </c>
      <c r="I54" s="21">
        <f t="shared" si="3"/>
        <v>0</v>
      </c>
      <c r="J54" s="21">
        <f t="shared" si="3"/>
        <v>0</v>
      </c>
      <c r="K54" s="21">
        <f t="shared" si="3"/>
        <v>0</v>
      </c>
      <c r="L54" s="21">
        <f t="shared" si="3"/>
        <v>0</v>
      </c>
      <c r="M54" s="21">
        <f t="shared" si="3"/>
        <v>79.465051304277154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0.19116314061420092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1.7404630183218479</v>
      </c>
      <c r="C58" s="23">
        <f t="shared" ref="C58:P58" ca="1" si="4">C54*C56</f>
        <v>0</v>
      </c>
      <c r="D58" s="23">
        <f t="shared" si="4"/>
        <v>0</v>
      </c>
      <c r="E58" s="23">
        <f t="shared" si="4"/>
        <v>0</v>
      </c>
      <c r="F58" s="23">
        <f t="shared" si="4"/>
        <v>0</v>
      </c>
      <c r="G58" s="23">
        <f t="shared" si="4"/>
        <v>473.16617112214158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7148.3516951160327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0</v>
      </c>
      <c r="D8" s="963"/>
      <c r="E8" s="963">
        <f>E48</f>
        <v>0</v>
      </c>
      <c r="F8" s="964"/>
      <c r="G8" s="547"/>
      <c r="H8" s="963">
        <f>I48</f>
        <v>0</v>
      </c>
      <c r="I8" s="963">
        <f>G48+F48</f>
        <v>0</v>
      </c>
      <c r="J8" s="963">
        <f>H48+D48+C48</f>
        <v>52.941176470588239</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7193.3516951160327</v>
      </c>
      <c r="C10" s="559">
        <f t="shared" ref="C10:L10" si="0">SUM(C8:C9)</f>
        <v>0</v>
      </c>
      <c r="D10" s="559">
        <f t="shared" si="0"/>
        <v>0</v>
      </c>
      <c r="E10" s="559">
        <f t="shared" si="0"/>
        <v>0</v>
      </c>
      <c r="F10" s="559">
        <f t="shared" si="0"/>
        <v>0</v>
      </c>
      <c r="G10" s="559">
        <f t="shared" si="0"/>
        <v>0</v>
      </c>
      <c r="H10" s="559">
        <f t="shared" si="0"/>
        <v>0</v>
      </c>
      <c r="I10" s="559">
        <f t="shared" si="0"/>
        <v>0</v>
      </c>
      <c r="J10" s="559">
        <f t="shared" si="0"/>
        <v>52.941176470588239</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64.285714285714292</v>
      </c>
      <c r="C17" s="571">
        <f>B49</f>
        <v>0</v>
      </c>
      <c r="D17" s="572"/>
      <c r="E17" s="572">
        <f>E49</f>
        <v>0</v>
      </c>
      <c r="F17" s="969"/>
      <c r="G17" s="573"/>
      <c r="H17" s="571">
        <f>I49</f>
        <v>0</v>
      </c>
      <c r="I17" s="572">
        <f>G49+F49</f>
        <v>0</v>
      </c>
      <c r="J17" s="572">
        <f>H49+D49+C49</f>
        <v>75.630252100840352</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64.285714285714292</v>
      </c>
      <c r="C20" s="558">
        <f>SUM(C17:C19)</f>
        <v>0</v>
      </c>
      <c r="D20" s="558">
        <f t="shared" ref="D20:L20" si="1">SUM(D17:D19)</f>
        <v>0</v>
      </c>
      <c r="E20" s="558">
        <f t="shared" si="1"/>
        <v>0</v>
      </c>
      <c r="F20" s="558">
        <f t="shared" si="1"/>
        <v>0</v>
      </c>
      <c r="G20" s="558">
        <f t="shared" si="1"/>
        <v>0</v>
      </c>
      <c r="H20" s="558">
        <f t="shared" si="1"/>
        <v>0</v>
      </c>
      <c r="I20" s="558">
        <f t="shared" si="1"/>
        <v>0</v>
      </c>
      <c r="J20" s="558">
        <f t="shared" si="1"/>
        <v>75.630252100840352</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73066</v>
      </c>
      <c r="C28" s="741">
        <v>3770</v>
      </c>
      <c r="D28" s="630"/>
      <c r="E28" s="629"/>
      <c r="F28" s="629"/>
      <c r="G28" s="629" t="s">
        <v>908</v>
      </c>
      <c r="H28" s="629" t="s">
        <v>909</v>
      </c>
      <c r="I28" s="629"/>
      <c r="J28" s="740"/>
      <c r="K28" s="740"/>
      <c r="L28" s="629" t="s">
        <v>910</v>
      </c>
      <c r="M28" s="629">
        <v>12</v>
      </c>
      <c r="N28" s="629">
        <v>45</v>
      </c>
      <c r="O28" s="629">
        <v>64.285714285714292</v>
      </c>
      <c r="P28" s="629">
        <v>0</v>
      </c>
      <c r="Q28" s="629">
        <v>0</v>
      </c>
      <c r="R28" s="629">
        <v>0</v>
      </c>
      <c r="S28" s="629">
        <v>0</v>
      </c>
      <c r="T28" s="629">
        <v>0</v>
      </c>
      <c r="U28" s="629">
        <v>0</v>
      </c>
      <c r="V28" s="629">
        <v>128.57142857142858</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12</v>
      </c>
      <c r="N29" s="587">
        <f>SUM(N28:N28)</f>
        <v>45</v>
      </c>
      <c r="O29" s="587">
        <f>SUM(O28:O28)</f>
        <v>64.285714285714292</v>
      </c>
      <c r="P29" s="587">
        <f>SUM(P28:P28)</f>
        <v>0</v>
      </c>
      <c r="Q29" s="587">
        <f>SUM(Q28:Q28)</f>
        <v>0</v>
      </c>
      <c r="R29" s="587">
        <f>SUM(R28:R28)</f>
        <v>0</v>
      </c>
      <c r="S29" s="587">
        <f>SUM(S28:S28)</f>
        <v>0</v>
      </c>
      <c r="T29" s="587">
        <f>SUM(T28:T28)</f>
        <v>0</v>
      </c>
      <c r="U29" s="587">
        <f>SUM(U28:U28)</f>
        <v>0</v>
      </c>
      <c r="V29" s="587">
        <f>SUM(V28:V28)</f>
        <v>128.57142857142858</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12</v>
      </c>
      <c r="N32" s="592">
        <f>SUMIF($AA$28:$AA$28,"landbouw",N28:N28)</f>
        <v>45</v>
      </c>
      <c r="O32" s="592">
        <f>SUMIF($AA$28:$AA$28,"landbouw",O28:O28)</f>
        <v>64.285714285714292</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128.57142857142858</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52.941176470588239</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75.630252100840352</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12600.658999999998</v>
      </c>
      <c r="D10" s="640">
        <f ca="1">tertiair!C16</f>
        <v>0</v>
      </c>
      <c r="E10" s="640">
        <f ca="1">tertiair!D16</f>
        <v>6498.8820379999997</v>
      </c>
      <c r="F10" s="640">
        <f>tertiair!E16</f>
        <v>69.527302878581651</v>
      </c>
      <c r="G10" s="640">
        <f ca="1">tertiair!F16</f>
        <v>1493.9994045857445</v>
      </c>
      <c r="H10" s="640">
        <f>tertiair!G16</f>
        <v>0</v>
      </c>
      <c r="I10" s="640">
        <f>tertiair!H16</f>
        <v>0</v>
      </c>
      <c r="J10" s="640">
        <f>tertiair!I16</f>
        <v>0</v>
      </c>
      <c r="K10" s="640">
        <f>tertiair!J16</f>
        <v>27.722445261442079</v>
      </c>
      <c r="L10" s="640">
        <f>tertiair!K16</f>
        <v>0</v>
      </c>
      <c r="M10" s="640">
        <f ca="1">tertiair!L16</f>
        <v>0</v>
      </c>
      <c r="N10" s="640">
        <f>tertiair!M16</f>
        <v>0</v>
      </c>
      <c r="O10" s="640">
        <f ca="1">tertiair!N16</f>
        <v>829.70420424635495</v>
      </c>
      <c r="P10" s="640">
        <f>tertiair!O16</f>
        <v>4.6900000000000004</v>
      </c>
      <c r="Q10" s="641">
        <f>tertiair!P16</f>
        <v>76.266666666666666</v>
      </c>
      <c r="R10" s="643">
        <f ca="1">SUM(C10:Q10)</f>
        <v>21601.451061638785</v>
      </c>
      <c r="S10" s="67"/>
    </row>
    <row r="11" spans="1:19" s="444" customFormat="1">
      <c r="A11" s="754" t="s">
        <v>214</v>
      </c>
      <c r="B11" s="759"/>
      <c r="C11" s="640">
        <f>huishoudens!B8</f>
        <v>30688.617391837284</v>
      </c>
      <c r="D11" s="640">
        <f>huishoudens!C8</f>
        <v>0</v>
      </c>
      <c r="E11" s="640">
        <f>huishoudens!D8</f>
        <v>40578.741235999994</v>
      </c>
      <c r="F11" s="640">
        <f>huishoudens!E8</f>
        <v>2527.5261719900823</v>
      </c>
      <c r="G11" s="640">
        <f>huishoudens!F8</f>
        <v>77457.234445296475</v>
      </c>
      <c r="H11" s="640">
        <f>huishoudens!G8</f>
        <v>0</v>
      </c>
      <c r="I11" s="640">
        <f>huishoudens!H8</f>
        <v>0</v>
      </c>
      <c r="J11" s="640">
        <f>huishoudens!I8</f>
        <v>0</v>
      </c>
      <c r="K11" s="640">
        <f>huishoudens!J8</f>
        <v>1466.8857895325932</v>
      </c>
      <c r="L11" s="640">
        <f>huishoudens!K8</f>
        <v>0</v>
      </c>
      <c r="M11" s="640">
        <f>huishoudens!L8</f>
        <v>0</v>
      </c>
      <c r="N11" s="640">
        <f>huishoudens!M8</f>
        <v>0</v>
      </c>
      <c r="O11" s="640">
        <f>huishoudens!N8</f>
        <v>11183.043391434463</v>
      </c>
      <c r="P11" s="640">
        <f>huishoudens!O8</f>
        <v>282.96333333333337</v>
      </c>
      <c r="Q11" s="641">
        <f>huishoudens!P8</f>
        <v>552.93333333333339</v>
      </c>
      <c r="R11" s="643">
        <f>SUM(C11:Q11)</f>
        <v>164737.94509275758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2221.366</v>
      </c>
      <c r="D13" s="640">
        <f>industrie!C18</f>
        <v>0</v>
      </c>
      <c r="E13" s="640">
        <f>industrie!D18</f>
        <v>6754.3320460000004</v>
      </c>
      <c r="F13" s="640">
        <f>industrie!E18</f>
        <v>266.00582298313367</v>
      </c>
      <c r="G13" s="640">
        <f>industrie!F18</f>
        <v>1884.8166810416283</v>
      </c>
      <c r="H13" s="640">
        <f>industrie!G18</f>
        <v>0</v>
      </c>
      <c r="I13" s="640">
        <f>industrie!H18</f>
        <v>0</v>
      </c>
      <c r="J13" s="640">
        <f>industrie!I18</f>
        <v>0</v>
      </c>
      <c r="K13" s="640">
        <f>industrie!J18</f>
        <v>3.4363330908726848</v>
      </c>
      <c r="L13" s="640">
        <f>industrie!K18</f>
        <v>0</v>
      </c>
      <c r="M13" s="640">
        <f>industrie!L18</f>
        <v>0</v>
      </c>
      <c r="N13" s="640">
        <f>industrie!M18</f>
        <v>0</v>
      </c>
      <c r="O13" s="640">
        <f>industrie!N18</f>
        <v>295.14168724109186</v>
      </c>
      <c r="P13" s="640">
        <f>industrie!O18</f>
        <v>0</v>
      </c>
      <c r="Q13" s="641">
        <f>industrie!P18</f>
        <v>0</v>
      </c>
      <c r="R13" s="643">
        <f>SUM(C13:Q13)</f>
        <v>11425.098570356728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45510.642391837282</v>
      </c>
      <c r="D16" s="675">
        <f t="shared" ref="D16:R16" ca="1" si="0">SUM(D9:D15)</f>
        <v>0</v>
      </c>
      <c r="E16" s="675">
        <f t="shared" ca="1" si="0"/>
        <v>53831.955320000001</v>
      </c>
      <c r="F16" s="675">
        <f t="shared" si="0"/>
        <v>2863.059297851798</v>
      </c>
      <c r="G16" s="675">
        <f t="shared" ca="1" si="0"/>
        <v>80836.050530923851</v>
      </c>
      <c r="H16" s="675">
        <f t="shared" si="0"/>
        <v>0</v>
      </c>
      <c r="I16" s="675">
        <f t="shared" si="0"/>
        <v>0</v>
      </c>
      <c r="J16" s="675">
        <f t="shared" si="0"/>
        <v>0</v>
      </c>
      <c r="K16" s="675">
        <f t="shared" si="0"/>
        <v>1498.044567884908</v>
      </c>
      <c r="L16" s="675">
        <f t="shared" si="0"/>
        <v>0</v>
      </c>
      <c r="M16" s="675">
        <f t="shared" ca="1" si="0"/>
        <v>0</v>
      </c>
      <c r="N16" s="675">
        <f t="shared" si="0"/>
        <v>0</v>
      </c>
      <c r="O16" s="675">
        <f t="shared" ca="1" si="0"/>
        <v>12307.889282921909</v>
      </c>
      <c r="P16" s="675">
        <f t="shared" si="0"/>
        <v>287.65333333333336</v>
      </c>
      <c r="Q16" s="675">
        <f t="shared" si="0"/>
        <v>629.20000000000005</v>
      </c>
      <c r="R16" s="675">
        <f t="shared" ca="1" si="0"/>
        <v>197764.49472475308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9.1045952307008413</v>
      </c>
      <c r="D19" s="640">
        <f>transport!C54</f>
        <v>0</v>
      </c>
      <c r="E19" s="640">
        <f>transport!D54</f>
        <v>0</v>
      </c>
      <c r="F19" s="640">
        <f>transport!E54</f>
        <v>0</v>
      </c>
      <c r="G19" s="640">
        <f>transport!F54</f>
        <v>0</v>
      </c>
      <c r="H19" s="640">
        <f>transport!G54</f>
        <v>1772.1579442776838</v>
      </c>
      <c r="I19" s="640">
        <f>transport!H54</f>
        <v>0</v>
      </c>
      <c r="J19" s="640">
        <f>transport!I54</f>
        <v>0</v>
      </c>
      <c r="K19" s="640">
        <f>transport!J54</f>
        <v>0</v>
      </c>
      <c r="L19" s="640">
        <f>transport!K54</f>
        <v>0</v>
      </c>
      <c r="M19" s="640">
        <f>transport!L54</f>
        <v>0</v>
      </c>
      <c r="N19" s="640">
        <f>transport!M54</f>
        <v>79.465051304277154</v>
      </c>
      <c r="O19" s="640">
        <f>transport!N54</f>
        <v>0</v>
      </c>
      <c r="P19" s="640">
        <f>transport!O54</f>
        <v>0</v>
      </c>
      <c r="Q19" s="641">
        <f>transport!P54</f>
        <v>0</v>
      </c>
      <c r="R19" s="643">
        <f>SUM(C19:Q19)</f>
        <v>1860.7275908126617</v>
      </c>
      <c r="S19" s="67"/>
    </row>
    <row r="20" spans="1:19" s="444" customFormat="1">
      <c r="A20" s="754" t="s">
        <v>296</v>
      </c>
      <c r="B20" s="759"/>
      <c r="C20" s="640">
        <f>transport!B14</f>
        <v>10.428063573375738</v>
      </c>
      <c r="D20" s="640">
        <f>transport!C14</f>
        <v>0</v>
      </c>
      <c r="E20" s="640">
        <f>transport!D14</f>
        <v>9.9273712386398358</v>
      </c>
      <c r="F20" s="640">
        <f>transport!E14</f>
        <v>371.9287391313793</v>
      </c>
      <c r="G20" s="640">
        <f>transport!F14</f>
        <v>0</v>
      </c>
      <c r="H20" s="640">
        <f>transport!G14</f>
        <v>105288.8620519839</v>
      </c>
      <c r="I20" s="640">
        <f>transport!H14</f>
        <v>18310.994195193747</v>
      </c>
      <c r="J20" s="640">
        <f>transport!I14</f>
        <v>0</v>
      </c>
      <c r="K20" s="640">
        <f>transport!J14</f>
        <v>0</v>
      </c>
      <c r="L20" s="640">
        <f>transport!K14</f>
        <v>0</v>
      </c>
      <c r="M20" s="640">
        <f>transport!L14</f>
        <v>0</v>
      </c>
      <c r="N20" s="640">
        <f>transport!M14</f>
        <v>5588.5995917809441</v>
      </c>
      <c r="O20" s="640">
        <f>transport!N14</f>
        <v>0</v>
      </c>
      <c r="P20" s="640">
        <f>transport!O14</f>
        <v>0</v>
      </c>
      <c r="Q20" s="641">
        <f>transport!P14</f>
        <v>0</v>
      </c>
      <c r="R20" s="643">
        <f>SUM(C20:Q20)</f>
        <v>129580.740012902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19.532658804076579</v>
      </c>
      <c r="D22" s="757">
        <f t="shared" ref="D22:R22" si="1">SUM(D18:D21)</f>
        <v>0</v>
      </c>
      <c r="E22" s="757">
        <f t="shared" si="1"/>
        <v>9.9273712386398358</v>
      </c>
      <c r="F22" s="757">
        <f t="shared" si="1"/>
        <v>371.9287391313793</v>
      </c>
      <c r="G22" s="757">
        <f t="shared" si="1"/>
        <v>0</v>
      </c>
      <c r="H22" s="757">
        <f t="shared" si="1"/>
        <v>107061.01999626159</v>
      </c>
      <c r="I22" s="757">
        <f t="shared" si="1"/>
        <v>18310.994195193747</v>
      </c>
      <c r="J22" s="757">
        <f t="shared" si="1"/>
        <v>0</v>
      </c>
      <c r="K22" s="757">
        <f t="shared" si="1"/>
        <v>0</v>
      </c>
      <c r="L22" s="757">
        <f t="shared" si="1"/>
        <v>0</v>
      </c>
      <c r="M22" s="757">
        <f t="shared" si="1"/>
        <v>0</v>
      </c>
      <c r="N22" s="757">
        <f t="shared" si="1"/>
        <v>5668.0646430852212</v>
      </c>
      <c r="O22" s="757">
        <f t="shared" si="1"/>
        <v>0</v>
      </c>
      <c r="P22" s="757">
        <f t="shared" si="1"/>
        <v>0</v>
      </c>
      <c r="Q22" s="757">
        <f t="shared" si="1"/>
        <v>0</v>
      </c>
      <c r="R22" s="757">
        <f t="shared" si="1"/>
        <v>131441.46760371467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6716.5950000000003</v>
      </c>
      <c r="D24" s="640">
        <f>+landbouw!C8</f>
        <v>64.285714285714292</v>
      </c>
      <c r="E24" s="640">
        <f>+landbouw!D8</f>
        <v>3682.7721920000004</v>
      </c>
      <c r="F24" s="640">
        <f>+landbouw!E8</f>
        <v>139.46814841331994</v>
      </c>
      <c r="G24" s="640">
        <f>+landbouw!F8</f>
        <v>23736.618117886348</v>
      </c>
      <c r="H24" s="640">
        <f>+landbouw!G8</f>
        <v>0</v>
      </c>
      <c r="I24" s="640">
        <f>+landbouw!H8</f>
        <v>0</v>
      </c>
      <c r="J24" s="640">
        <f>+landbouw!I8</f>
        <v>0</v>
      </c>
      <c r="K24" s="640">
        <f>+landbouw!J8</f>
        <v>770.35096517625459</v>
      </c>
      <c r="L24" s="640">
        <f>+landbouw!K8</f>
        <v>0</v>
      </c>
      <c r="M24" s="640">
        <f>+landbouw!L8</f>
        <v>0</v>
      </c>
      <c r="N24" s="640">
        <f>+landbouw!M8</f>
        <v>0</v>
      </c>
      <c r="O24" s="640">
        <f>+landbouw!N8</f>
        <v>0</v>
      </c>
      <c r="P24" s="640">
        <f>+landbouw!O8</f>
        <v>0</v>
      </c>
      <c r="Q24" s="641">
        <f>+landbouw!P8</f>
        <v>0</v>
      </c>
      <c r="R24" s="643">
        <f>SUM(C24:Q24)</f>
        <v>35110.090137761639</v>
      </c>
      <c r="S24" s="67"/>
    </row>
    <row r="25" spans="1:19" s="444" customFormat="1" ht="15" thickBot="1">
      <c r="A25" s="776" t="s">
        <v>806</v>
      </c>
      <c r="B25" s="939"/>
      <c r="C25" s="940">
        <f>IF(Onbekend_ele_kWh="---",0,Onbekend_ele_kWh)/1000+IF(REST_rest_ele_kWh="---",0,REST_rest_ele_kWh)/1000</f>
        <v>1033.9960000000001</v>
      </c>
      <c r="D25" s="940"/>
      <c r="E25" s="940">
        <f>IF(onbekend_gas_kWh="---",0,onbekend_gas_kWh)/1000+IF(REST_rest_gas_kWh="---",0,REST_rest_gas_kWh)/1000</f>
        <v>3261.8820000000001</v>
      </c>
      <c r="F25" s="940"/>
      <c r="G25" s="940"/>
      <c r="H25" s="940"/>
      <c r="I25" s="940"/>
      <c r="J25" s="940"/>
      <c r="K25" s="940"/>
      <c r="L25" s="940"/>
      <c r="M25" s="940"/>
      <c r="N25" s="940"/>
      <c r="O25" s="940"/>
      <c r="P25" s="940"/>
      <c r="Q25" s="941"/>
      <c r="R25" s="643">
        <f>SUM(C25:Q25)</f>
        <v>4295.8780000000006</v>
      </c>
      <c r="S25" s="67"/>
    </row>
    <row r="26" spans="1:19" s="444" customFormat="1" ht="15.75" thickBot="1">
      <c r="A26" s="648" t="s">
        <v>807</v>
      </c>
      <c r="B26" s="762"/>
      <c r="C26" s="757">
        <f>SUM(C24:C25)</f>
        <v>7750.5910000000003</v>
      </c>
      <c r="D26" s="757">
        <f t="shared" ref="D26:R26" si="2">SUM(D24:D25)</f>
        <v>64.285714285714292</v>
      </c>
      <c r="E26" s="757">
        <f t="shared" si="2"/>
        <v>6944.654192</v>
      </c>
      <c r="F26" s="757">
        <f t="shared" si="2"/>
        <v>139.46814841331994</v>
      </c>
      <c r="G26" s="757">
        <f t="shared" si="2"/>
        <v>23736.618117886348</v>
      </c>
      <c r="H26" s="757">
        <f t="shared" si="2"/>
        <v>0</v>
      </c>
      <c r="I26" s="757">
        <f t="shared" si="2"/>
        <v>0</v>
      </c>
      <c r="J26" s="757">
        <f t="shared" si="2"/>
        <v>0</v>
      </c>
      <c r="K26" s="757">
        <f t="shared" si="2"/>
        <v>770.35096517625459</v>
      </c>
      <c r="L26" s="757">
        <f t="shared" si="2"/>
        <v>0</v>
      </c>
      <c r="M26" s="757">
        <f t="shared" si="2"/>
        <v>0</v>
      </c>
      <c r="N26" s="757">
        <f t="shared" si="2"/>
        <v>0</v>
      </c>
      <c r="O26" s="757">
        <f t="shared" si="2"/>
        <v>0</v>
      </c>
      <c r="P26" s="757">
        <f t="shared" si="2"/>
        <v>0</v>
      </c>
      <c r="Q26" s="757">
        <f t="shared" si="2"/>
        <v>0</v>
      </c>
      <c r="R26" s="757">
        <f t="shared" si="2"/>
        <v>39405.968137761636</v>
      </c>
      <c r="S26" s="67"/>
    </row>
    <row r="27" spans="1:19" s="444" customFormat="1" ht="17.25" thickTop="1" thickBot="1">
      <c r="A27" s="649" t="s">
        <v>109</v>
      </c>
      <c r="B27" s="749"/>
      <c r="C27" s="650">
        <f ca="1">C22+C16+C26</f>
        <v>53280.766050641359</v>
      </c>
      <c r="D27" s="650">
        <f t="shared" ref="D27:R27" ca="1" si="3">D22+D16+D26</f>
        <v>64.285714285714292</v>
      </c>
      <c r="E27" s="650">
        <f t="shared" ca="1" si="3"/>
        <v>60786.536883238645</v>
      </c>
      <c r="F27" s="650">
        <f t="shared" si="3"/>
        <v>3374.4561853964969</v>
      </c>
      <c r="G27" s="650">
        <f t="shared" ca="1" si="3"/>
        <v>104572.6686488102</v>
      </c>
      <c r="H27" s="650">
        <f t="shared" si="3"/>
        <v>107061.01999626159</v>
      </c>
      <c r="I27" s="650">
        <f t="shared" si="3"/>
        <v>18310.994195193747</v>
      </c>
      <c r="J27" s="650">
        <f t="shared" si="3"/>
        <v>0</v>
      </c>
      <c r="K27" s="650">
        <f t="shared" si="3"/>
        <v>2268.3955330611625</v>
      </c>
      <c r="L27" s="650">
        <f t="shared" si="3"/>
        <v>0</v>
      </c>
      <c r="M27" s="650">
        <f t="shared" ca="1" si="3"/>
        <v>0</v>
      </c>
      <c r="N27" s="650">
        <f t="shared" si="3"/>
        <v>5668.0646430852212</v>
      </c>
      <c r="O27" s="650">
        <f t="shared" ca="1" si="3"/>
        <v>12307.889282921909</v>
      </c>
      <c r="P27" s="650">
        <f t="shared" si="3"/>
        <v>287.65333333333336</v>
      </c>
      <c r="Q27" s="650">
        <f t="shared" si="3"/>
        <v>629.20000000000005</v>
      </c>
      <c r="R27" s="650">
        <f t="shared" ca="1" si="3"/>
        <v>368611.93046622939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2408.7815482485962</v>
      </c>
      <c r="D40" s="640">
        <f ca="1">tertiair!C20</f>
        <v>0</v>
      </c>
      <c r="E40" s="640">
        <f ca="1">tertiair!D20</f>
        <v>1312.7741716759999</v>
      </c>
      <c r="F40" s="640">
        <f>tertiair!E20</f>
        <v>15.782697753438034</v>
      </c>
      <c r="G40" s="640">
        <f ca="1">tertiair!F20</f>
        <v>398.89784102439381</v>
      </c>
      <c r="H40" s="640">
        <f>tertiair!G20</f>
        <v>0</v>
      </c>
      <c r="I40" s="640">
        <f>tertiair!H20</f>
        <v>0</v>
      </c>
      <c r="J40" s="640">
        <f>tertiair!I20</f>
        <v>0</v>
      </c>
      <c r="K40" s="640">
        <f>tertiair!J20</f>
        <v>9.8137456225504955</v>
      </c>
      <c r="L40" s="640">
        <f>tertiair!K20</f>
        <v>0</v>
      </c>
      <c r="M40" s="640">
        <f ca="1">tertiair!L20</f>
        <v>0</v>
      </c>
      <c r="N40" s="640">
        <f>tertiair!M20</f>
        <v>0</v>
      </c>
      <c r="O40" s="640">
        <f ca="1">tertiair!N20</f>
        <v>0</v>
      </c>
      <c r="P40" s="640">
        <f>tertiair!O20</f>
        <v>0</v>
      </c>
      <c r="Q40" s="717">
        <f>tertiair!P20</f>
        <v>0</v>
      </c>
      <c r="R40" s="795">
        <f t="shared" ca="1" si="4"/>
        <v>4146.0500043249785</v>
      </c>
    </row>
    <row r="41" spans="1:18">
      <c r="A41" s="767" t="s">
        <v>214</v>
      </c>
      <c r="B41" s="774"/>
      <c r="C41" s="640">
        <f ca="1">huishoudens!B12</f>
        <v>5866.532481731203</v>
      </c>
      <c r="D41" s="640">
        <f ca="1">huishoudens!C12</f>
        <v>0</v>
      </c>
      <c r="E41" s="640">
        <f>huishoudens!D12</f>
        <v>8196.9057296720002</v>
      </c>
      <c r="F41" s="640">
        <f>huishoudens!E12</f>
        <v>573.74844104174872</v>
      </c>
      <c r="G41" s="640">
        <f>huishoudens!F12</f>
        <v>20681.081596894161</v>
      </c>
      <c r="H41" s="640">
        <f>huishoudens!G12</f>
        <v>0</v>
      </c>
      <c r="I41" s="640">
        <f>huishoudens!H12</f>
        <v>0</v>
      </c>
      <c r="J41" s="640">
        <f>huishoudens!I12</f>
        <v>0</v>
      </c>
      <c r="K41" s="640">
        <f>huishoudens!J12</f>
        <v>519.27756949453794</v>
      </c>
      <c r="L41" s="640">
        <f>huishoudens!K12</f>
        <v>0</v>
      </c>
      <c r="M41" s="640">
        <f>huishoudens!L12</f>
        <v>0</v>
      </c>
      <c r="N41" s="640">
        <f>huishoudens!M12</f>
        <v>0</v>
      </c>
      <c r="O41" s="640">
        <f>huishoudens!N12</f>
        <v>0</v>
      </c>
      <c r="P41" s="640">
        <f>huishoudens!O12</f>
        <v>0</v>
      </c>
      <c r="Q41" s="717">
        <f>huishoudens!P12</f>
        <v>0</v>
      </c>
      <c r="R41" s="795">
        <f t="shared" ca="1" si="4"/>
        <v>35837.545818833649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424.64330101360503</v>
      </c>
      <c r="D43" s="640">
        <f ca="1">industrie!C22</f>
        <v>0</v>
      </c>
      <c r="E43" s="640">
        <f>industrie!D22</f>
        <v>1364.3750732920003</v>
      </c>
      <c r="F43" s="640">
        <f>industrie!E22</f>
        <v>60.383321817171343</v>
      </c>
      <c r="G43" s="640">
        <f>industrie!F22</f>
        <v>503.24605383811479</v>
      </c>
      <c r="H43" s="640">
        <f>industrie!G22</f>
        <v>0</v>
      </c>
      <c r="I43" s="640">
        <f>industrie!H22</f>
        <v>0</v>
      </c>
      <c r="J43" s="640">
        <f>industrie!I22</f>
        <v>0</v>
      </c>
      <c r="K43" s="640">
        <f>industrie!J22</f>
        <v>1.2164619141689303</v>
      </c>
      <c r="L43" s="640">
        <f>industrie!K22</f>
        <v>0</v>
      </c>
      <c r="M43" s="640">
        <f>industrie!L22</f>
        <v>0</v>
      </c>
      <c r="N43" s="640">
        <f>industrie!M22</f>
        <v>0</v>
      </c>
      <c r="O43" s="640">
        <f>industrie!N22</f>
        <v>0</v>
      </c>
      <c r="P43" s="640">
        <f>industrie!O22</f>
        <v>0</v>
      </c>
      <c r="Q43" s="717">
        <f>industrie!P22</f>
        <v>0</v>
      </c>
      <c r="R43" s="794">
        <f t="shared" ca="1" si="4"/>
        <v>2353.8642118750604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8699.957330993404</v>
      </c>
      <c r="D46" s="675">
        <f t="shared" ref="D46:Q46" ca="1" si="5">SUM(D39:D45)</f>
        <v>0</v>
      </c>
      <c r="E46" s="675">
        <f t="shared" ca="1" si="5"/>
        <v>10874.054974639999</v>
      </c>
      <c r="F46" s="675">
        <f t="shared" si="5"/>
        <v>649.91446061235808</v>
      </c>
      <c r="G46" s="675">
        <f t="shared" ca="1" si="5"/>
        <v>21583.225491756672</v>
      </c>
      <c r="H46" s="675">
        <f t="shared" si="5"/>
        <v>0</v>
      </c>
      <c r="I46" s="675">
        <f t="shared" si="5"/>
        <v>0</v>
      </c>
      <c r="J46" s="675">
        <f t="shared" si="5"/>
        <v>0</v>
      </c>
      <c r="K46" s="675">
        <f t="shared" si="5"/>
        <v>530.30777703125739</v>
      </c>
      <c r="L46" s="675">
        <f t="shared" si="5"/>
        <v>0</v>
      </c>
      <c r="M46" s="675">
        <f t="shared" ca="1" si="5"/>
        <v>0</v>
      </c>
      <c r="N46" s="675">
        <f t="shared" si="5"/>
        <v>0</v>
      </c>
      <c r="O46" s="675">
        <f t="shared" ca="1" si="5"/>
        <v>0</v>
      </c>
      <c r="P46" s="675">
        <f t="shared" si="5"/>
        <v>0</v>
      </c>
      <c r="Q46" s="675">
        <f t="shared" si="5"/>
        <v>0</v>
      </c>
      <c r="R46" s="675">
        <f ca="1">SUM(R39:R45)</f>
        <v>42337.460035033684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1.7404630183218479</v>
      </c>
      <c r="D49" s="640">
        <f ca="1">transport!C58</f>
        <v>0</v>
      </c>
      <c r="E49" s="640">
        <f>transport!D58</f>
        <v>0</v>
      </c>
      <c r="F49" s="640">
        <f>transport!E58</f>
        <v>0</v>
      </c>
      <c r="G49" s="640">
        <f>transport!F58</f>
        <v>0</v>
      </c>
      <c r="H49" s="640">
        <f>transport!G58</f>
        <v>473.16617112214158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474.90663414046344</v>
      </c>
    </row>
    <row r="50" spans="1:18">
      <c r="A50" s="770" t="s">
        <v>296</v>
      </c>
      <c r="B50" s="780"/>
      <c r="C50" s="646">
        <f ca="1">transport!B18</f>
        <v>1.9934613832110526</v>
      </c>
      <c r="D50" s="646">
        <f>transport!C18</f>
        <v>0</v>
      </c>
      <c r="E50" s="646">
        <f>transport!D18</f>
        <v>2.0053289902052471</v>
      </c>
      <c r="F50" s="646">
        <f>transport!E18</f>
        <v>84.427823782823111</v>
      </c>
      <c r="G50" s="646">
        <f>transport!F18</f>
        <v>0</v>
      </c>
      <c r="H50" s="646">
        <f>transport!G18</f>
        <v>28112.126167879702</v>
      </c>
      <c r="I50" s="646">
        <f>transport!H18</f>
        <v>4559.4375546032434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32759.990336639185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3.7339244015329003</v>
      </c>
      <c r="D52" s="675">
        <f t="shared" ref="D52:Q52" ca="1" si="6">SUM(D48:D51)</f>
        <v>0</v>
      </c>
      <c r="E52" s="675">
        <f t="shared" si="6"/>
        <v>2.0053289902052471</v>
      </c>
      <c r="F52" s="675">
        <f t="shared" si="6"/>
        <v>84.427823782823111</v>
      </c>
      <c r="G52" s="675">
        <f t="shared" si="6"/>
        <v>0</v>
      </c>
      <c r="H52" s="675">
        <f t="shared" si="6"/>
        <v>28585.292339001844</v>
      </c>
      <c r="I52" s="675">
        <f t="shared" si="6"/>
        <v>4559.4375546032434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33234.89697077965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1283.9653944336389</v>
      </c>
      <c r="D54" s="646">
        <f ca="1">+landbouw!C12</f>
        <v>0</v>
      </c>
      <c r="E54" s="646">
        <f>+landbouw!D12</f>
        <v>743.91998278400013</v>
      </c>
      <c r="F54" s="646">
        <f>+landbouw!E12</f>
        <v>31.659269689823628</v>
      </c>
      <c r="G54" s="646">
        <f>+landbouw!F12</f>
        <v>6337.6770374756552</v>
      </c>
      <c r="H54" s="646">
        <f>+landbouw!G12</f>
        <v>0</v>
      </c>
      <c r="I54" s="646">
        <f>+landbouw!H12</f>
        <v>0</v>
      </c>
      <c r="J54" s="646">
        <f>+landbouw!I12</f>
        <v>0</v>
      </c>
      <c r="K54" s="646">
        <f>+landbouw!J12</f>
        <v>272.70424167239412</v>
      </c>
      <c r="L54" s="646">
        <f>+landbouw!K12</f>
        <v>0</v>
      </c>
      <c r="M54" s="646">
        <f>+landbouw!L12</f>
        <v>0</v>
      </c>
      <c r="N54" s="646">
        <f>+landbouw!M12</f>
        <v>0</v>
      </c>
      <c r="O54" s="646">
        <f>+landbouw!N12</f>
        <v>0</v>
      </c>
      <c r="P54" s="646">
        <f>+landbouw!O12</f>
        <v>0</v>
      </c>
      <c r="Q54" s="647">
        <f>+landbouw!P12</f>
        <v>0</v>
      </c>
      <c r="R54" s="674">
        <f ca="1">SUM(C54:Q54)</f>
        <v>8669.9259260555118</v>
      </c>
    </row>
    <row r="55" spans="1:18" ht="15" thickBot="1">
      <c r="A55" s="770" t="s">
        <v>806</v>
      </c>
      <c r="B55" s="780"/>
      <c r="C55" s="646">
        <f ca="1">C25*'EF ele_warmte'!B12</f>
        <v>197.66192274252131</v>
      </c>
      <c r="D55" s="646"/>
      <c r="E55" s="646">
        <f>E25*EF_CO2_aardgas</f>
        <v>658.90016400000002</v>
      </c>
      <c r="F55" s="646"/>
      <c r="G55" s="646"/>
      <c r="H55" s="646"/>
      <c r="I55" s="646"/>
      <c r="J55" s="646"/>
      <c r="K55" s="646"/>
      <c r="L55" s="646"/>
      <c r="M55" s="646"/>
      <c r="N55" s="646"/>
      <c r="O55" s="646"/>
      <c r="P55" s="646"/>
      <c r="Q55" s="647"/>
      <c r="R55" s="674">
        <f ca="1">SUM(C55:Q55)</f>
        <v>856.56208674252139</v>
      </c>
    </row>
    <row r="56" spans="1:18" ht="15.75" thickBot="1">
      <c r="A56" s="768" t="s">
        <v>807</v>
      </c>
      <c r="B56" s="781"/>
      <c r="C56" s="675">
        <f ca="1">SUM(C54:C55)</f>
        <v>1481.6273171761602</v>
      </c>
      <c r="D56" s="675">
        <f t="shared" ref="D56:Q56" ca="1" si="7">SUM(D54:D55)</f>
        <v>0</v>
      </c>
      <c r="E56" s="675">
        <f t="shared" si="7"/>
        <v>1402.8201467840001</v>
      </c>
      <c r="F56" s="675">
        <f t="shared" si="7"/>
        <v>31.659269689823628</v>
      </c>
      <c r="G56" s="675">
        <f t="shared" si="7"/>
        <v>6337.6770374756552</v>
      </c>
      <c r="H56" s="675">
        <f t="shared" si="7"/>
        <v>0</v>
      </c>
      <c r="I56" s="675">
        <f t="shared" si="7"/>
        <v>0</v>
      </c>
      <c r="J56" s="675">
        <f t="shared" si="7"/>
        <v>0</v>
      </c>
      <c r="K56" s="675">
        <f t="shared" si="7"/>
        <v>272.70424167239412</v>
      </c>
      <c r="L56" s="675">
        <f t="shared" si="7"/>
        <v>0</v>
      </c>
      <c r="M56" s="675">
        <f t="shared" si="7"/>
        <v>0</v>
      </c>
      <c r="N56" s="675">
        <f t="shared" si="7"/>
        <v>0</v>
      </c>
      <c r="O56" s="675">
        <f t="shared" si="7"/>
        <v>0</v>
      </c>
      <c r="P56" s="675">
        <f t="shared" si="7"/>
        <v>0</v>
      </c>
      <c r="Q56" s="676">
        <f t="shared" si="7"/>
        <v>0</v>
      </c>
      <c r="R56" s="677">
        <f ca="1">SUM(R54:R55)</f>
        <v>9526.4880127980323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10185.318572571097</v>
      </c>
      <c r="D61" s="683">
        <f t="shared" ref="D61:Q61" ca="1" si="8">D46+D52+D56</f>
        <v>0</v>
      </c>
      <c r="E61" s="683">
        <f t="shared" ca="1" si="8"/>
        <v>12278.880450414204</v>
      </c>
      <c r="F61" s="683">
        <f t="shared" si="8"/>
        <v>766.00155408500484</v>
      </c>
      <c r="G61" s="683">
        <f t="shared" ca="1" si="8"/>
        <v>27920.902529232328</v>
      </c>
      <c r="H61" s="683">
        <f t="shared" si="8"/>
        <v>28585.292339001844</v>
      </c>
      <c r="I61" s="683">
        <f t="shared" si="8"/>
        <v>4559.4375546032434</v>
      </c>
      <c r="J61" s="683">
        <f t="shared" si="8"/>
        <v>0</v>
      </c>
      <c r="K61" s="683">
        <f t="shared" si="8"/>
        <v>803.01201870365151</v>
      </c>
      <c r="L61" s="683">
        <f t="shared" si="8"/>
        <v>0</v>
      </c>
      <c r="M61" s="683">
        <f t="shared" ca="1" si="8"/>
        <v>0</v>
      </c>
      <c r="N61" s="683">
        <f t="shared" si="8"/>
        <v>0</v>
      </c>
      <c r="O61" s="683">
        <f t="shared" ca="1" si="8"/>
        <v>0</v>
      </c>
      <c r="P61" s="683">
        <f t="shared" si="8"/>
        <v>0</v>
      </c>
      <c r="Q61" s="683">
        <f t="shared" si="8"/>
        <v>0</v>
      </c>
      <c r="R61" s="683">
        <f ca="1">R46+R52+R56</f>
        <v>85098.845018611362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0.19116314061420092</v>
      </c>
      <c r="D63" s="726">
        <f t="shared" ca="1" si="9"/>
        <v>0</v>
      </c>
      <c r="E63" s="946">
        <f t="shared" ca="1" si="9"/>
        <v>0.20199999999999996</v>
      </c>
      <c r="F63" s="726">
        <f t="shared" si="9"/>
        <v>0.22700000000000001</v>
      </c>
      <c r="G63" s="726">
        <f t="shared" ca="1" si="9"/>
        <v>0.26700000000000007</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7148.3516951160327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52.941176470588239</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7193.3516951160327</v>
      </c>
      <c r="C78" s="698">
        <f>SUM(C72:C77)</f>
        <v>0</v>
      </c>
      <c r="D78" s="699">
        <f t="shared" ref="D78:H78" si="10">SUM(D76:D77)</f>
        <v>0</v>
      </c>
      <c r="E78" s="699">
        <f t="shared" si="10"/>
        <v>0</v>
      </c>
      <c r="F78" s="699">
        <f t="shared" si="10"/>
        <v>0</v>
      </c>
      <c r="G78" s="699">
        <f t="shared" si="10"/>
        <v>0</v>
      </c>
      <c r="H78" s="699">
        <f t="shared" si="10"/>
        <v>0</v>
      </c>
      <c r="I78" s="699">
        <f>SUM(I76:I77)</f>
        <v>0</v>
      </c>
      <c r="J78" s="699">
        <f>SUM(J76:J77)</f>
        <v>52.941176470588239</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64.285714285714292</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75.630252100840352</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64.285714285714292</v>
      </c>
      <c r="C90" s="698">
        <f>SUM(C87:C89)</f>
        <v>0</v>
      </c>
      <c r="D90" s="698">
        <f t="shared" ref="D90:H90" si="12">SUM(D87:D89)</f>
        <v>0</v>
      </c>
      <c r="E90" s="698">
        <f t="shared" si="12"/>
        <v>0</v>
      </c>
      <c r="F90" s="698">
        <f t="shared" si="12"/>
        <v>0</v>
      </c>
      <c r="G90" s="698">
        <f t="shared" si="12"/>
        <v>0</v>
      </c>
      <c r="H90" s="698">
        <f t="shared" si="12"/>
        <v>0</v>
      </c>
      <c r="I90" s="698">
        <f>SUM(I87:I89)</f>
        <v>0</v>
      </c>
      <c r="J90" s="698">
        <f>SUM(J87:J89)</f>
        <v>75.630252100840352</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30688.617391837284</v>
      </c>
      <c r="C4" s="448">
        <f>huishoudens!C8</f>
        <v>0</v>
      </c>
      <c r="D4" s="448">
        <f>huishoudens!D8</f>
        <v>40578.741235999994</v>
      </c>
      <c r="E4" s="448">
        <f>huishoudens!E8</f>
        <v>2527.5261719900823</v>
      </c>
      <c r="F4" s="448">
        <f>huishoudens!F8</f>
        <v>77457.234445296475</v>
      </c>
      <c r="G4" s="448">
        <f>huishoudens!G8</f>
        <v>0</v>
      </c>
      <c r="H4" s="448">
        <f>huishoudens!H8</f>
        <v>0</v>
      </c>
      <c r="I4" s="448">
        <f>huishoudens!I8</f>
        <v>0</v>
      </c>
      <c r="J4" s="448">
        <f>huishoudens!J8</f>
        <v>1466.8857895325932</v>
      </c>
      <c r="K4" s="448">
        <f>huishoudens!K8</f>
        <v>0</v>
      </c>
      <c r="L4" s="448">
        <f>huishoudens!L8</f>
        <v>0</v>
      </c>
      <c r="M4" s="448">
        <f>huishoudens!M8</f>
        <v>0</v>
      </c>
      <c r="N4" s="448">
        <f>huishoudens!N8</f>
        <v>11183.043391434463</v>
      </c>
      <c r="O4" s="448">
        <f>huishoudens!O8</f>
        <v>282.96333333333337</v>
      </c>
      <c r="P4" s="449">
        <f>huishoudens!P8</f>
        <v>552.93333333333339</v>
      </c>
      <c r="Q4" s="450">
        <f>SUM(B4:P4)</f>
        <v>164737.94509275758</v>
      </c>
    </row>
    <row r="5" spans="1:17">
      <c r="A5" s="447" t="s">
        <v>149</v>
      </c>
      <c r="B5" s="448">
        <f ca="1">tertiair!B16</f>
        <v>11676.599999999999</v>
      </c>
      <c r="C5" s="448">
        <f ca="1">tertiair!C16</f>
        <v>0</v>
      </c>
      <c r="D5" s="448">
        <f ca="1">tertiair!D16</f>
        <v>6498.8820379999997</v>
      </c>
      <c r="E5" s="448">
        <f>tertiair!E16</f>
        <v>69.527302878581651</v>
      </c>
      <c r="F5" s="448">
        <f ca="1">tertiair!F16</f>
        <v>1493.9994045857445</v>
      </c>
      <c r="G5" s="448">
        <f>tertiair!G16</f>
        <v>0</v>
      </c>
      <c r="H5" s="448">
        <f>tertiair!H16</f>
        <v>0</v>
      </c>
      <c r="I5" s="448">
        <f>tertiair!I16</f>
        <v>0</v>
      </c>
      <c r="J5" s="448">
        <f>tertiair!J16</f>
        <v>27.722445261442079</v>
      </c>
      <c r="K5" s="448">
        <f>tertiair!K16</f>
        <v>0</v>
      </c>
      <c r="L5" s="448">
        <f ca="1">tertiair!L16</f>
        <v>0</v>
      </c>
      <c r="M5" s="448">
        <f>tertiair!M16</f>
        <v>0</v>
      </c>
      <c r="N5" s="448">
        <f ca="1">tertiair!N16</f>
        <v>829.70420424635495</v>
      </c>
      <c r="O5" s="448">
        <f>tertiair!O16</f>
        <v>4.6900000000000004</v>
      </c>
      <c r="P5" s="449">
        <f>tertiair!P16</f>
        <v>76.266666666666666</v>
      </c>
      <c r="Q5" s="447">
        <f t="shared" ref="Q5:Q14" ca="1" si="0">SUM(B5:P5)</f>
        <v>20677.392061638788</v>
      </c>
    </row>
    <row r="6" spans="1:17">
      <c r="A6" s="447" t="s">
        <v>187</v>
      </c>
      <c r="B6" s="448">
        <f>'openbare verlichting'!B8</f>
        <v>924.05899999999997</v>
      </c>
      <c r="C6" s="448"/>
      <c r="D6" s="448"/>
      <c r="E6" s="448"/>
      <c r="F6" s="448"/>
      <c r="G6" s="448"/>
      <c r="H6" s="448"/>
      <c r="I6" s="448"/>
      <c r="J6" s="448"/>
      <c r="K6" s="448"/>
      <c r="L6" s="448"/>
      <c r="M6" s="448"/>
      <c r="N6" s="448"/>
      <c r="O6" s="448"/>
      <c r="P6" s="449"/>
      <c r="Q6" s="447">
        <f t="shared" si="0"/>
        <v>924.05899999999997</v>
      </c>
    </row>
    <row r="7" spans="1:17">
      <c r="A7" s="447" t="s">
        <v>105</v>
      </c>
      <c r="B7" s="448">
        <f>landbouw!B8</f>
        <v>6716.5950000000003</v>
      </c>
      <c r="C7" s="448">
        <f>landbouw!C8</f>
        <v>64.285714285714292</v>
      </c>
      <c r="D7" s="448">
        <f>landbouw!D8</f>
        <v>3682.7721920000004</v>
      </c>
      <c r="E7" s="448">
        <f>landbouw!E8</f>
        <v>139.46814841331994</v>
      </c>
      <c r="F7" s="448">
        <f>landbouw!F8</f>
        <v>23736.618117886348</v>
      </c>
      <c r="G7" s="448">
        <f>landbouw!G8</f>
        <v>0</v>
      </c>
      <c r="H7" s="448">
        <f>landbouw!H8</f>
        <v>0</v>
      </c>
      <c r="I7" s="448">
        <f>landbouw!I8</f>
        <v>0</v>
      </c>
      <c r="J7" s="448">
        <f>landbouw!J8</f>
        <v>770.35096517625459</v>
      </c>
      <c r="K7" s="448">
        <f>landbouw!K8</f>
        <v>0</v>
      </c>
      <c r="L7" s="448">
        <f>landbouw!L8</f>
        <v>0</v>
      </c>
      <c r="M7" s="448">
        <f>landbouw!M8</f>
        <v>0</v>
      </c>
      <c r="N7" s="448">
        <f>landbouw!N8</f>
        <v>0</v>
      </c>
      <c r="O7" s="448">
        <f>landbouw!O8</f>
        <v>0</v>
      </c>
      <c r="P7" s="449">
        <f>landbouw!P8</f>
        <v>0</v>
      </c>
      <c r="Q7" s="447">
        <f t="shared" si="0"/>
        <v>35110.090137761639</v>
      </c>
    </row>
    <row r="8" spans="1:17">
      <c r="A8" s="447" t="s">
        <v>614</v>
      </c>
      <c r="B8" s="448">
        <f>industrie!B18</f>
        <v>2221.366</v>
      </c>
      <c r="C8" s="448">
        <f>industrie!C18</f>
        <v>0</v>
      </c>
      <c r="D8" s="448">
        <f>industrie!D18</f>
        <v>6754.3320460000004</v>
      </c>
      <c r="E8" s="448">
        <f>industrie!E18</f>
        <v>266.00582298313367</v>
      </c>
      <c r="F8" s="448">
        <f>industrie!F18</f>
        <v>1884.8166810416283</v>
      </c>
      <c r="G8" s="448">
        <f>industrie!G18</f>
        <v>0</v>
      </c>
      <c r="H8" s="448">
        <f>industrie!H18</f>
        <v>0</v>
      </c>
      <c r="I8" s="448">
        <f>industrie!I18</f>
        <v>0</v>
      </c>
      <c r="J8" s="448">
        <f>industrie!J18</f>
        <v>3.4363330908726848</v>
      </c>
      <c r="K8" s="448">
        <f>industrie!K18</f>
        <v>0</v>
      </c>
      <c r="L8" s="448">
        <f>industrie!L18</f>
        <v>0</v>
      </c>
      <c r="M8" s="448">
        <f>industrie!M18</f>
        <v>0</v>
      </c>
      <c r="N8" s="448">
        <f>industrie!N18</f>
        <v>295.14168724109186</v>
      </c>
      <c r="O8" s="448">
        <f>industrie!O18</f>
        <v>0</v>
      </c>
      <c r="P8" s="449">
        <f>industrie!P18</f>
        <v>0</v>
      </c>
      <c r="Q8" s="447">
        <f t="shared" si="0"/>
        <v>11425.098570356728</v>
      </c>
    </row>
    <row r="9" spans="1:17" s="453" customFormat="1">
      <c r="A9" s="451" t="s">
        <v>555</v>
      </c>
      <c r="B9" s="452">
        <f>transport!B14</f>
        <v>10.428063573375738</v>
      </c>
      <c r="C9" s="452">
        <f>transport!C14</f>
        <v>0</v>
      </c>
      <c r="D9" s="452">
        <f>transport!D14</f>
        <v>9.9273712386398358</v>
      </c>
      <c r="E9" s="452">
        <f>transport!E14</f>
        <v>371.9287391313793</v>
      </c>
      <c r="F9" s="452">
        <f>transport!F14</f>
        <v>0</v>
      </c>
      <c r="G9" s="452">
        <f>transport!G14</f>
        <v>105288.8620519839</v>
      </c>
      <c r="H9" s="452">
        <f>transport!H14</f>
        <v>18310.994195193747</v>
      </c>
      <c r="I9" s="452">
        <f>transport!I14</f>
        <v>0</v>
      </c>
      <c r="J9" s="452">
        <f>transport!J14</f>
        <v>0</v>
      </c>
      <c r="K9" s="452">
        <f>transport!K14</f>
        <v>0</v>
      </c>
      <c r="L9" s="452">
        <f>transport!L14</f>
        <v>0</v>
      </c>
      <c r="M9" s="452">
        <f>transport!M14</f>
        <v>5588.5995917809441</v>
      </c>
      <c r="N9" s="452">
        <f>transport!N14</f>
        <v>0</v>
      </c>
      <c r="O9" s="452">
        <f>transport!O14</f>
        <v>0</v>
      </c>
      <c r="P9" s="452">
        <f>transport!P14</f>
        <v>0</v>
      </c>
      <c r="Q9" s="451">
        <f>SUM(B9:P9)</f>
        <v>129580.740012902</v>
      </c>
    </row>
    <row r="10" spans="1:17">
      <c r="A10" s="447" t="s">
        <v>545</v>
      </c>
      <c r="B10" s="448">
        <f>transport!B54</f>
        <v>9.1045952307008413</v>
      </c>
      <c r="C10" s="448">
        <f>transport!C54</f>
        <v>0</v>
      </c>
      <c r="D10" s="448">
        <f>transport!D54</f>
        <v>0</v>
      </c>
      <c r="E10" s="448">
        <f>transport!E54</f>
        <v>0</v>
      </c>
      <c r="F10" s="448">
        <f>transport!F54</f>
        <v>0</v>
      </c>
      <c r="G10" s="448">
        <f>transport!G54</f>
        <v>1772.1579442776838</v>
      </c>
      <c r="H10" s="448">
        <f>transport!H54</f>
        <v>0</v>
      </c>
      <c r="I10" s="448">
        <f>transport!I54</f>
        <v>0</v>
      </c>
      <c r="J10" s="448">
        <f>transport!J54</f>
        <v>0</v>
      </c>
      <c r="K10" s="448">
        <f>transport!K54</f>
        <v>0</v>
      </c>
      <c r="L10" s="448">
        <f>transport!L54</f>
        <v>0</v>
      </c>
      <c r="M10" s="448">
        <f>transport!M54</f>
        <v>79.465051304277154</v>
      </c>
      <c r="N10" s="448">
        <f>transport!N54</f>
        <v>0</v>
      </c>
      <c r="O10" s="448">
        <f>transport!O54</f>
        <v>0</v>
      </c>
      <c r="P10" s="449">
        <f>transport!P54</f>
        <v>0</v>
      </c>
      <c r="Q10" s="447">
        <f t="shared" si="0"/>
        <v>1860.7275908126617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1033.9960000000001</v>
      </c>
      <c r="C14" s="455"/>
      <c r="D14" s="455">
        <f>'SEAP template'!E25</f>
        <v>3261.8820000000001</v>
      </c>
      <c r="E14" s="455"/>
      <c r="F14" s="455"/>
      <c r="G14" s="455"/>
      <c r="H14" s="455"/>
      <c r="I14" s="455"/>
      <c r="J14" s="455"/>
      <c r="K14" s="455"/>
      <c r="L14" s="455"/>
      <c r="M14" s="455"/>
      <c r="N14" s="455"/>
      <c r="O14" s="455"/>
      <c r="P14" s="456"/>
      <c r="Q14" s="447">
        <f t="shared" si="0"/>
        <v>4295.8780000000006</v>
      </c>
    </row>
    <row r="15" spans="1:17" s="460" customFormat="1">
      <c r="A15" s="457" t="s">
        <v>549</v>
      </c>
      <c r="B15" s="458">
        <f ca="1">SUM(B4:B14)</f>
        <v>53280.766050641367</v>
      </c>
      <c r="C15" s="458">
        <f t="shared" ref="C15:Q15" ca="1" si="1">SUM(C4:C14)</f>
        <v>64.285714285714292</v>
      </c>
      <c r="D15" s="458">
        <f t="shared" ca="1" si="1"/>
        <v>60786.536883238645</v>
      </c>
      <c r="E15" s="458">
        <f t="shared" si="1"/>
        <v>3374.4561853964969</v>
      </c>
      <c r="F15" s="458">
        <f t="shared" ca="1" si="1"/>
        <v>104572.6686488102</v>
      </c>
      <c r="G15" s="458">
        <f t="shared" si="1"/>
        <v>107061.01999626159</v>
      </c>
      <c r="H15" s="458">
        <f t="shared" si="1"/>
        <v>18310.994195193747</v>
      </c>
      <c r="I15" s="458">
        <f t="shared" si="1"/>
        <v>0</v>
      </c>
      <c r="J15" s="458">
        <f t="shared" si="1"/>
        <v>2268.3955330611625</v>
      </c>
      <c r="K15" s="458">
        <f t="shared" si="1"/>
        <v>0</v>
      </c>
      <c r="L15" s="458">
        <f t="shared" ca="1" si="1"/>
        <v>0</v>
      </c>
      <c r="M15" s="458">
        <f t="shared" si="1"/>
        <v>5668.0646430852212</v>
      </c>
      <c r="N15" s="458">
        <f t="shared" ca="1" si="1"/>
        <v>12307.889282921909</v>
      </c>
      <c r="O15" s="458">
        <f t="shared" si="1"/>
        <v>287.65333333333336</v>
      </c>
      <c r="P15" s="458">
        <f t="shared" si="1"/>
        <v>629.20000000000005</v>
      </c>
      <c r="Q15" s="458">
        <f t="shared" ca="1" si="1"/>
        <v>368611.93046622945</v>
      </c>
    </row>
    <row r="17" spans="1:17">
      <c r="A17" s="461" t="s">
        <v>550</v>
      </c>
      <c r="B17" s="731">
        <f ca="1">huishoudens!B10</f>
        <v>0.19116314061420092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5866.532481731203</v>
      </c>
      <c r="C22" s="448">
        <f t="shared" ref="C22:C32" ca="1" si="3">C4*$C$17</f>
        <v>0</v>
      </c>
      <c r="D22" s="448">
        <f t="shared" ref="D22:D32" si="4">D4*$D$17</f>
        <v>8196.9057296720002</v>
      </c>
      <c r="E22" s="448">
        <f t="shared" ref="E22:E32" si="5">E4*$E$17</f>
        <v>573.74844104174872</v>
      </c>
      <c r="F22" s="448">
        <f t="shared" ref="F22:F32" si="6">F4*$F$17</f>
        <v>20681.081596894161</v>
      </c>
      <c r="G22" s="448">
        <f t="shared" ref="G22:G32" si="7">G4*$G$17</f>
        <v>0</v>
      </c>
      <c r="H22" s="448">
        <f t="shared" ref="H22:H32" si="8">H4*$H$17</f>
        <v>0</v>
      </c>
      <c r="I22" s="448">
        <f t="shared" ref="I22:I32" si="9">I4*$I$17</f>
        <v>0</v>
      </c>
      <c r="J22" s="448">
        <f t="shared" ref="J22:J32" si="10">J4*$J$17</f>
        <v>519.27756949453794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35837.545818833649</v>
      </c>
    </row>
    <row r="23" spans="1:17">
      <c r="A23" s="447" t="s">
        <v>149</v>
      </c>
      <c r="B23" s="448">
        <f t="shared" ca="1" si="2"/>
        <v>2232.1355276957784</v>
      </c>
      <c r="C23" s="448">
        <f t="shared" ca="1" si="3"/>
        <v>0</v>
      </c>
      <c r="D23" s="448">
        <f t="shared" ca="1" si="4"/>
        <v>1312.7741716759999</v>
      </c>
      <c r="E23" s="448">
        <f t="shared" si="5"/>
        <v>15.782697753438034</v>
      </c>
      <c r="F23" s="448">
        <f t="shared" ca="1" si="6"/>
        <v>398.89784102439381</v>
      </c>
      <c r="G23" s="448">
        <f t="shared" si="7"/>
        <v>0</v>
      </c>
      <c r="H23" s="448">
        <f t="shared" si="8"/>
        <v>0</v>
      </c>
      <c r="I23" s="448">
        <f t="shared" si="9"/>
        <v>0</v>
      </c>
      <c r="J23" s="448">
        <f t="shared" si="10"/>
        <v>9.8137456225504955</v>
      </c>
      <c r="K23" s="448">
        <f t="shared" si="11"/>
        <v>0</v>
      </c>
      <c r="L23" s="448">
        <f t="shared" ca="1" si="12"/>
        <v>0</v>
      </c>
      <c r="M23" s="448">
        <f t="shared" si="13"/>
        <v>0</v>
      </c>
      <c r="N23" s="448">
        <f t="shared" ca="1" si="14"/>
        <v>0</v>
      </c>
      <c r="O23" s="448">
        <f t="shared" si="15"/>
        <v>0</v>
      </c>
      <c r="P23" s="449">
        <f t="shared" si="16"/>
        <v>0</v>
      </c>
      <c r="Q23" s="447">
        <f t="shared" ref="Q23:Q32" ca="1" si="17">SUM(B23:P23)</f>
        <v>3969.4039837721612</v>
      </c>
    </row>
    <row r="24" spans="1:17">
      <c r="A24" s="447" t="s">
        <v>187</v>
      </c>
      <c r="B24" s="448">
        <f t="shared" ca="1" si="2"/>
        <v>176.64602055281787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176.64602055281787</v>
      </c>
    </row>
    <row r="25" spans="1:17">
      <c r="A25" s="447" t="s">
        <v>105</v>
      </c>
      <c r="B25" s="448">
        <f t="shared" ca="1" si="2"/>
        <v>1283.9653944336389</v>
      </c>
      <c r="C25" s="448">
        <f t="shared" ca="1" si="3"/>
        <v>0</v>
      </c>
      <c r="D25" s="448">
        <f t="shared" si="4"/>
        <v>743.91998278400013</v>
      </c>
      <c r="E25" s="448">
        <f t="shared" si="5"/>
        <v>31.659269689823628</v>
      </c>
      <c r="F25" s="448">
        <f t="shared" si="6"/>
        <v>6337.6770374756552</v>
      </c>
      <c r="G25" s="448">
        <f t="shared" si="7"/>
        <v>0</v>
      </c>
      <c r="H25" s="448">
        <f t="shared" si="8"/>
        <v>0</v>
      </c>
      <c r="I25" s="448">
        <f t="shared" si="9"/>
        <v>0</v>
      </c>
      <c r="J25" s="448">
        <f t="shared" si="10"/>
        <v>272.70424167239412</v>
      </c>
      <c r="K25" s="448">
        <f t="shared" si="11"/>
        <v>0</v>
      </c>
      <c r="L25" s="448">
        <f t="shared" si="12"/>
        <v>0</v>
      </c>
      <c r="M25" s="448">
        <f t="shared" si="13"/>
        <v>0</v>
      </c>
      <c r="N25" s="448">
        <f t="shared" si="14"/>
        <v>0</v>
      </c>
      <c r="O25" s="448">
        <f t="shared" si="15"/>
        <v>0</v>
      </c>
      <c r="P25" s="449">
        <f t="shared" si="16"/>
        <v>0</v>
      </c>
      <c r="Q25" s="447">
        <f t="shared" ca="1" si="17"/>
        <v>8669.9259260555118</v>
      </c>
    </row>
    <row r="26" spans="1:17">
      <c r="A26" s="447" t="s">
        <v>614</v>
      </c>
      <c r="B26" s="448">
        <f t="shared" ca="1" si="2"/>
        <v>424.64330101360503</v>
      </c>
      <c r="C26" s="448">
        <f t="shared" ca="1" si="3"/>
        <v>0</v>
      </c>
      <c r="D26" s="448">
        <f t="shared" si="4"/>
        <v>1364.3750732920003</v>
      </c>
      <c r="E26" s="448">
        <f t="shared" si="5"/>
        <v>60.383321817171343</v>
      </c>
      <c r="F26" s="448">
        <f t="shared" si="6"/>
        <v>503.24605383811479</v>
      </c>
      <c r="G26" s="448">
        <f t="shared" si="7"/>
        <v>0</v>
      </c>
      <c r="H26" s="448">
        <f t="shared" si="8"/>
        <v>0</v>
      </c>
      <c r="I26" s="448">
        <f t="shared" si="9"/>
        <v>0</v>
      </c>
      <c r="J26" s="448">
        <f t="shared" si="10"/>
        <v>1.2164619141689303</v>
      </c>
      <c r="K26" s="448">
        <f t="shared" si="11"/>
        <v>0</v>
      </c>
      <c r="L26" s="448">
        <f t="shared" si="12"/>
        <v>0</v>
      </c>
      <c r="M26" s="448">
        <f t="shared" si="13"/>
        <v>0</v>
      </c>
      <c r="N26" s="448">
        <f t="shared" si="14"/>
        <v>0</v>
      </c>
      <c r="O26" s="448">
        <f t="shared" si="15"/>
        <v>0</v>
      </c>
      <c r="P26" s="449">
        <f t="shared" si="16"/>
        <v>0</v>
      </c>
      <c r="Q26" s="447">
        <f t="shared" ca="1" si="17"/>
        <v>2353.8642118750604</v>
      </c>
    </row>
    <row r="27" spans="1:17" s="453" customFormat="1">
      <c r="A27" s="451" t="s">
        <v>555</v>
      </c>
      <c r="B27" s="725">
        <f t="shared" ca="1" si="2"/>
        <v>1.9934613832110526</v>
      </c>
      <c r="C27" s="452">
        <f t="shared" ca="1" si="3"/>
        <v>0</v>
      </c>
      <c r="D27" s="452">
        <f t="shared" si="4"/>
        <v>2.0053289902052471</v>
      </c>
      <c r="E27" s="452">
        <f t="shared" si="5"/>
        <v>84.427823782823111</v>
      </c>
      <c r="F27" s="452">
        <f t="shared" si="6"/>
        <v>0</v>
      </c>
      <c r="G27" s="452">
        <f t="shared" si="7"/>
        <v>28112.126167879702</v>
      </c>
      <c r="H27" s="452">
        <f t="shared" si="8"/>
        <v>4559.4375546032434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32759.990336639185</v>
      </c>
    </row>
    <row r="28" spans="1:17">
      <c r="A28" s="447" t="s">
        <v>545</v>
      </c>
      <c r="B28" s="448">
        <f t="shared" ca="1" si="2"/>
        <v>1.7404630183218479</v>
      </c>
      <c r="C28" s="448">
        <f t="shared" ca="1" si="3"/>
        <v>0</v>
      </c>
      <c r="D28" s="448">
        <f t="shared" si="4"/>
        <v>0</v>
      </c>
      <c r="E28" s="448">
        <f t="shared" si="5"/>
        <v>0</v>
      </c>
      <c r="F28" s="448">
        <f t="shared" si="6"/>
        <v>0</v>
      </c>
      <c r="G28" s="448">
        <f t="shared" si="7"/>
        <v>473.16617112214158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474.90663414046344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197.66192274252131</v>
      </c>
      <c r="C32" s="448">
        <f t="shared" ca="1" si="3"/>
        <v>0</v>
      </c>
      <c r="D32" s="448">
        <f t="shared" si="4"/>
        <v>658.90016400000002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856.56208674252139</v>
      </c>
    </row>
    <row r="33" spans="1:17" s="460" customFormat="1">
      <c r="A33" s="457" t="s">
        <v>549</v>
      </c>
      <c r="B33" s="458">
        <f ca="1">SUM(B22:B32)</f>
        <v>10185.318572571096</v>
      </c>
      <c r="C33" s="458">
        <f t="shared" ref="C33:Q33" ca="1" si="18">SUM(C22:C32)</f>
        <v>0</v>
      </c>
      <c r="D33" s="458">
        <f t="shared" ca="1" si="18"/>
        <v>12278.880450414204</v>
      </c>
      <c r="E33" s="458">
        <f t="shared" si="18"/>
        <v>766.00155408500484</v>
      </c>
      <c r="F33" s="458">
        <f t="shared" ca="1" si="18"/>
        <v>27920.902529232328</v>
      </c>
      <c r="G33" s="458">
        <f t="shared" si="18"/>
        <v>28585.292339001844</v>
      </c>
      <c r="H33" s="458">
        <f t="shared" si="18"/>
        <v>4559.4375546032434</v>
      </c>
      <c r="I33" s="458">
        <f t="shared" si="18"/>
        <v>0</v>
      </c>
      <c r="J33" s="458">
        <f t="shared" si="18"/>
        <v>803.01201870365151</v>
      </c>
      <c r="K33" s="458">
        <f t="shared" si="18"/>
        <v>0</v>
      </c>
      <c r="L33" s="458">
        <f t="shared" ca="1" si="18"/>
        <v>0</v>
      </c>
      <c r="M33" s="458">
        <f t="shared" si="18"/>
        <v>0</v>
      </c>
      <c r="N33" s="458">
        <f t="shared" ca="1" si="18"/>
        <v>0</v>
      </c>
      <c r="O33" s="458">
        <f t="shared" si="18"/>
        <v>0</v>
      </c>
      <c r="P33" s="458">
        <f t="shared" si="18"/>
        <v>0</v>
      </c>
      <c r="Q33" s="458">
        <f t="shared" ca="1" si="18"/>
        <v>85098.845018611377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7148.3516951160327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52.941176470588239</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7193.3516951160327</v>
      </c>
      <c r="C10" s="986">
        <f>SUM(C4:C9)</f>
        <v>0</v>
      </c>
      <c r="D10" s="986">
        <f t="shared" ref="D10:H10" si="0">SUM(D8:D9)</f>
        <v>0</v>
      </c>
      <c r="E10" s="986">
        <f t="shared" si="0"/>
        <v>0</v>
      </c>
      <c r="F10" s="986">
        <f t="shared" si="0"/>
        <v>0</v>
      </c>
      <c r="G10" s="986">
        <f t="shared" si="0"/>
        <v>0</v>
      </c>
      <c r="H10" s="986">
        <f t="shared" si="0"/>
        <v>0</v>
      </c>
      <c r="I10" s="986">
        <f>SUM(I8:I9)</f>
        <v>0</v>
      </c>
      <c r="J10" s="986">
        <f>SUM(J8:J9)</f>
        <v>52.941176470588239</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0.19116314061420092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64.285714285714292</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75.630252100840352</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64.285714285714292</v>
      </c>
      <c r="C20" s="986">
        <f>SUM(C17:C19)</f>
        <v>0</v>
      </c>
      <c r="D20" s="986">
        <f t="shared" ref="D20:H20" si="2">SUM(D17:D19)</f>
        <v>0</v>
      </c>
      <c r="E20" s="986">
        <f t="shared" si="2"/>
        <v>0</v>
      </c>
      <c r="F20" s="986">
        <f t="shared" si="2"/>
        <v>0</v>
      </c>
      <c r="G20" s="986">
        <f t="shared" si="2"/>
        <v>0</v>
      </c>
      <c r="H20" s="986">
        <f t="shared" si="2"/>
        <v>0</v>
      </c>
      <c r="I20" s="986">
        <f>SUM(I17:I19)</f>
        <v>0</v>
      </c>
      <c r="J20" s="986">
        <f>SUM(J17:J19)</f>
        <v>75.630252100840352</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0.19116314061420092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2022-07-26T12:14:45Z</dcterms:modified>
</cp:coreProperties>
</file>