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3\"/>
    </mc:Choice>
  </mc:AlternateContent>
  <xr:revisionPtr revIDLastSave="0" documentId="8_{638F9D7F-29A8-4B8B-A008-1CF6FC80825C}"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16" i="5"/>
  <c r="AC17" i="5"/>
  <c r="AC18" i="5"/>
  <c r="AC19" i="5"/>
  <c r="AC20" i="5"/>
  <c r="AC21" i="5"/>
  <c r="AC22" i="5"/>
  <c r="AC23" i="5"/>
  <c r="AC24" i="5"/>
  <c r="Y15" i="5"/>
  <c r="AC15" i="5"/>
  <c r="E42" i="22"/>
  <c r="E78" i="22"/>
  <c r="P7" i="59"/>
  <c r="P6" i="59"/>
  <c r="P5" i="59"/>
  <c r="P4" i="59"/>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c r="E18" i="18"/>
  <c r="D18" i="18"/>
  <c r="C18" i="18"/>
  <c r="B18" i="18"/>
  <c r="L9" i="18"/>
  <c r="K9" i="18"/>
  <c r="G9" i="18"/>
  <c r="G10" i="18"/>
  <c r="F9" i="18"/>
  <c r="F10"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c r="V38" i="18"/>
  <c r="U38" i="18"/>
  <c r="T38" i="18"/>
  <c r="I9" i="18"/>
  <c r="S38" i="18"/>
  <c r="E9" i="18"/>
  <c r="R38" i="18"/>
  <c r="Q38" i="18"/>
  <c r="P38" i="18"/>
  <c r="C9" i="18"/>
  <c r="O38" i="18"/>
  <c r="N38" i="18"/>
  <c r="B9" i="18"/>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17" i="18"/>
  <c r="N31" i="18"/>
  <c r="B8" i="18"/>
  <c r="M31" i="18"/>
  <c r="G22" i="18"/>
  <c r="F22" i="18"/>
  <c r="E22" i="18"/>
  <c r="D22" i="18"/>
  <c r="C22" i="18"/>
  <c r="L20" i="18"/>
  <c r="D20" i="18"/>
  <c r="G12" i="18"/>
  <c r="F12" i="18"/>
  <c r="E12" i="18"/>
  <c r="D12" i="18"/>
  <c r="C12" i="18"/>
  <c r="L10" i="18"/>
  <c r="K10" i="18"/>
  <c r="D10" i="18"/>
  <c r="B6" i="18"/>
  <c r="B5" i="18"/>
  <c r="B4" i="18"/>
  <c r="J9" i="18"/>
  <c r="O9" i="18"/>
  <c r="B47" i="18"/>
  <c r="I51" i="18"/>
  <c r="H17" i="18"/>
  <c r="H20" i="18"/>
  <c r="B20" i="18"/>
  <c r="C47" i="18"/>
  <c r="E50" i="18"/>
  <c r="E8" i="18"/>
  <c r="E10" i="18"/>
  <c r="O18" i="18"/>
  <c r="G20" i="18"/>
  <c r="K20" i="18"/>
  <c r="B10" i="18"/>
  <c r="O19" i="18"/>
  <c r="N6" i="17"/>
  <c r="B51" i="18"/>
  <c r="C17" i="18"/>
  <c r="C20" i="18"/>
  <c r="C51" i="18"/>
  <c r="H51" i="18"/>
  <c r="D51" i="18"/>
  <c r="J17" i="18"/>
  <c r="J20" i="18"/>
  <c r="F51" i="18"/>
  <c r="E51" i="18"/>
  <c r="E17" i="18"/>
  <c r="E20" i="18"/>
  <c r="G51" i="18"/>
  <c r="I17" i="18"/>
  <c r="I20" i="18"/>
  <c r="I50" i="18"/>
  <c r="H8" i="18"/>
  <c r="H10" i="18"/>
  <c r="G50" i="18"/>
  <c r="F50" i="18"/>
  <c r="I8" i="18"/>
  <c r="I10" i="18"/>
  <c r="D50" i="18"/>
  <c r="C50" i="18"/>
  <c r="B50" i="18"/>
  <c r="C8" i="18"/>
  <c r="C10" i="18"/>
  <c r="H50" i="18"/>
  <c r="L6" i="17"/>
  <c r="F6" i="17"/>
  <c r="D6" i="17"/>
  <c r="C6" i="17"/>
  <c r="N16" i="16"/>
  <c r="L16" i="16"/>
  <c r="F16" i="16"/>
  <c r="D16" i="16"/>
  <c r="C16" i="16"/>
  <c r="B16" i="16"/>
  <c r="B13" i="15"/>
  <c r="J8" i="18"/>
  <c r="J10" i="18"/>
  <c r="O8" i="18"/>
  <c r="O10" i="18"/>
  <c r="O17" i="18"/>
  <c r="O20" i="18"/>
  <c r="J89" i="14"/>
  <c r="J19" i="59"/>
  <c r="I89" i="14"/>
  <c r="I19" i="59"/>
  <c r="F89" i="14"/>
  <c r="F19" i="59"/>
  <c r="J88" i="14"/>
  <c r="J18" i="59"/>
  <c r="H88" i="14"/>
  <c r="H18" i="59"/>
  <c r="J77" i="14"/>
  <c r="J9" i="59"/>
  <c r="M77" i="14"/>
  <c r="M9" i="59"/>
  <c r="I77" i="14"/>
  <c r="I9" i="59"/>
  <c r="F13" i="15"/>
  <c r="D13" i="15"/>
  <c r="C13" i="15"/>
  <c r="D88" i="14"/>
  <c r="D18" i="59"/>
  <c r="E77" i="14"/>
  <c r="E9" i="59"/>
  <c r="D77" i="14"/>
  <c r="D9" i="59"/>
  <c r="D5" i="17"/>
  <c r="B19" i="6"/>
  <c r="B18" i="6"/>
  <c r="B5" i="6"/>
  <c r="C29" i="14"/>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c r="K4" i="48"/>
  <c r="I4" i="48"/>
  <c r="H4" i="48"/>
  <c r="G4" i="48"/>
  <c r="H11" i="48"/>
  <c r="G11" i="48"/>
  <c r="P32" i="48"/>
  <c r="P27" i="48"/>
  <c r="O89" i="14"/>
  <c r="O19" i="59"/>
  <c r="N89" i="14"/>
  <c r="N19" i="59"/>
  <c r="M89" i="14"/>
  <c r="M19" i="59"/>
  <c r="L89" i="14"/>
  <c r="L19" i="59"/>
  <c r="K89" i="14"/>
  <c r="K19" i="59"/>
  <c r="H89" i="14"/>
  <c r="H19" i="59"/>
  <c r="E89" i="14"/>
  <c r="E19" i="59"/>
  <c r="D89" i="14"/>
  <c r="D19" i="59"/>
  <c r="M88" i="14"/>
  <c r="M18" i="59"/>
  <c r="L88" i="14"/>
  <c r="L18" i="59"/>
  <c r="K88" i="14"/>
  <c r="K18" i="59"/>
  <c r="I88" i="14"/>
  <c r="I18" i="59"/>
  <c r="G88" i="14"/>
  <c r="G18" i="59"/>
  <c r="F88" i="14"/>
  <c r="F18" i="59"/>
  <c r="E88" i="14"/>
  <c r="O87" i="14"/>
  <c r="O17" i="59"/>
  <c r="N87" i="14"/>
  <c r="N17" i="59"/>
  <c r="L87" i="14"/>
  <c r="L17" i="59"/>
  <c r="K87" i="14"/>
  <c r="K17" i="59"/>
  <c r="H87" i="14"/>
  <c r="H17" i="59"/>
  <c r="G87" i="14"/>
  <c r="G17" i="59"/>
  <c r="E87" i="14"/>
  <c r="E17" i="59"/>
  <c r="O77" i="14"/>
  <c r="O9" i="59"/>
  <c r="N77" i="14"/>
  <c r="N9" i="59"/>
  <c r="L77" i="14"/>
  <c r="K77" i="14"/>
  <c r="K9" i="59"/>
  <c r="G77" i="14"/>
  <c r="G9" i="59"/>
  <c r="O76" i="14"/>
  <c r="O8" i="59"/>
  <c r="O10" i="59"/>
  <c r="N76" i="14"/>
  <c r="N8" i="59"/>
  <c r="L76" i="14"/>
  <c r="L8" i="59"/>
  <c r="K76" i="14"/>
  <c r="H76" i="14"/>
  <c r="H8" i="59"/>
  <c r="G76" i="14"/>
  <c r="G8" i="59"/>
  <c r="E76" i="14"/>
  <c r="E8" i="59"/>
  <c r="B75" i="14"/>
  <c r="B7" i="59"/>
  <c r="B74" i="14"/>
  <c r="B6" i="59"/>
  <c r="B73" i="14"/>
  <c r="B5" i="59"/>
  <c r="B72" i="14"/>
  <c r="B4" i="59"/>
  <c r="C64" i="14"/>
  <c r="Q54" i="14"/>
  <c r="P54" i="14"/>
  <c r="P56" i="14"/>
  <c r="L54" i="14"/>
  <c r="L56" i="14"/>
  <c r="J54" i="14"/>
  <c r="J56" i="14"/>
  <c r="I54" i="14"/>
  <c r="H54" i="14"/>
  <c r="H56" i="14"/>
  <c r="Q24" i="14"/>
  <c r="Q26" i="14"/>
  <c r="P24" i="14"/>
  <c r="N24" i="14"/>
  <c r="L24" i="14"/>
  <c r="J24" i="14"/>
  <c r="J26"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c r="C25" i="14"/>
  <c r="B14" i="48"/>
  <c r="P26" i="14"/>
  <c r="N26" i="14"/>
  <c r="L26" i="14"/>
  <c r="H26" i="14"/>
  <c r="P25" i="48"/>
  <c r="H20" i="59"/>
  <c r="O25" i="48"/>
  <c r="L20" i="59"/>
  <c r="D14" i="48"/>
  <c r="Q14" i="48"/>
  <c r="K78" i="14"/>
  <c r="K8" i="59"/>
  <c r="K10" i="59"/>
  <c r="E90" i="14"/>
  <c r="E18" i="59"/>
  <c r="E20" i="59"/>
  <c r="K20" i="59"/>
  <c r="E10" i="59"/>
  <c r="G10" i="59"/>
  <c r="N10" i="59"/>
  <c r="L78" i="14"/>
  <c r="L9" i="59"/>
  <c r="L10" i="59"/>
  <c r="N78" i="14"/>
  <c r="K90" i="14"/>
  <c r="L90" i="14"/>
  <c r="H90" i="14"/>
  <c r="L13" i="15"/>
  <c r="N13" i="15"/>
  <c r="F77" i="14"/>
  <c r="O78" i="14"/>
  <c r="N88" i="14"/>
  <c r="E78" i="14"/>
  <c r="H77" i="14"/>
  <c r="H9" i="59"/>
  <c r="H10" i="59"/>
  <c r="O88" i="14"/>
  <c r="G89" i="14"/>
  <c r="G78" i="14"/>
  <c r="O31" i="48"/>
  <c r="O27" i="48"/>
  <c r="P31" i="48"/>
  <c r="O24" i="48"/>
  <c r="O30" i="48"/>
  <c r="P24" i="48"/>
  <c r="P30" i="48"/>
  <c r="R25" i="14"/>
  <c r="C89" i="14"/>
  <c r="C19" i="59"/>
  <c r="G19" i="59"/>
  <c r="G20" i="59"/>
  <c r="O90" i="14"/>
  <c r="O18" i="59"/>
  <c r="O20" i="59"/>
  <c r="N90" i="14"/>
  <c r="N18" i="59"/>
  <c r="N20" i="59"/>
  <c r="B77" i="14"/>
  <c r="B9" i="59"/>
  <c r="F9" i="59"/>
  <c r="Q89" i="14"/>
  <c r="P19" i="59"/>
  <c r="G90" i="14"/>
  <c r="C77" i="14"/>
  <c r="C9" i="59"/>
  <c r="Q88" i="14"/>
  <c r="P18" i="59"/>
  <c r="H78" i="14"/>
  <c r="Q77" i="14"/>
  <c r="P9" i="59"/>
  <c r="B88" i="14"/>
  <c r="B18" i="59"/>
  <c r="I87" i="14"/>
  <c r="I17" i="59"/>
  <c r="I20" i="59"/>
  <c r="F87" i="14"/>
  <c r="F76" i="14"/>
  <c r="B89" i="14"/>
  <c r="B19" i="59"/>
  <c r="D87" i="14"/>
  <c r="D17" i="59"/>
  <c r="D20" i="59"/>
  <c r="I76" i="14"/>
  <c r="I8" i="59"/>
  <c r="I10" i="59"/>
  <c r="M87" i="14"/>
  <c r="M76" i="14"/>
  <c r="D76" i="14"/>
  <c r="D8" i="59"/>
  <c r="D10" i="59"/>
  <c r="C88" i="14"/>
  <c r="C18" i="59"/>
  <c r="M78" i="14"/>
  <c r="M8" i="59"/>
  <c r="M10" i="59"/>
  <c r="M90" i="14"/>
  <c r="M17" i="59"/>
  <c r="M20" i="59"/>
  <c r="F78" i="14"/>
  <c r="F8" i="59"/>
  <c r="F10" i="59"/>
  <c r="F90" i="14"/>
  <c r="F17" i="59"/>
  <c r="F20" i="59"/>
  <c r="I78" i="14"/>
  <c r="J76" i="14"/>
  <c r="J87" i="14"/>
  <c r="Q87" i="14"/>
  <c r="D90" i="14"/>
  <c r="Q76" i="14"/>
  <c r="D78" i="14"/>
  <c r="I90" i="14"/>
  <c r="Q78" i="14"/>
  <c r="B9" i="6"/>
  <c r="P8" i="59"/>
  <c r="P10" i="59"/>
  <c r="J78" i="14"/>
  <c r="J8" i="59"/>
  <c r="J10" i="59"/>
  <c r="J90" i="14"/>
  <c r="J17" i="59"/>
  <c r="J20" i="59"/>
  <c r="Q90" i="14"/>
  <c r="B17" i="6"/>
  <c r="P17" i="59"/>
  <c r="P20" i="59"/>
  <c r="B87" i="14"/>
  <c r="C76" i="14"/>
  <c r="B76" i="14"/>
  <c r="C87" i="14"/>
  <c r="C90" i="14"/>
  <c r="C17" i="59"/>
  <c r="C20" i="59"/>
  <c r="B78" i="14"/>
  <c r="B8" i="59"/>
  <c r="B10" i="59"/>
  <c r="C78" i="14"/>
  <c r="C8" i="59"/>
  <c r="C10" i="59"/>
  <c r="B90" i="14"/>
  <c r="B17" i="59"/>
  <c r="B20" i="59"/>
  <c r="B4" i="6"/>
  <c r="H14" i="15"/>
  <c r="H16" i="15"/>
  <c r="G14" i="15"/>
  <c r="G16" i="15"/>
  <c r="H10" i="14"/>
  <c r="H16" i="14"/>
  <c r="G5" i="48"/>
  <c r="H5" i="48"/>
  <c r="I10" i="14"/>
  <c r="I16" i="14"/>
  <c r="A32" i="23"/>
  <c r="A33" i="23"/>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c r="D6" i="22"/>
  <c r="D8" i="22"/>
  <c r="B51" i="22"/>
  <c r="B11" i="22"/>
  <c r="E11" i="22"/>
  <c r="D9" i="22"/>
  <c r="D7" i="22"/>
  <c r="B8" i="22"/>
  <c r="D11" i="22"/>
  <c r="E10" i="22"/>
  <c r="H9" i="22"/>
  <c r="B9" i="22"/>
  <c r="E8" i="22"/>
  <c r="H7" i="22"/>
  <c r="B7" i="22"/>
  <c r="E6" i="22"/>
  <c r="H8" i="22"/>
  <c r="B6" i="22"/>
  <c r="H11" i="22"/>
  <c r="H10" i="22"/>
  <c r="B10" i="22"/>
  <c r="E9" i="22"/>
  <c r="E7" i="22"/>
  <c r="H6" i="22"/>
  <c r="B52" i="22"/>
  <c r="C37" i="22"/>
  <c r="C73" i="22"/>
  <c r="B4" i="21"/>
  <c r="M15" i="19"/>
  <c r="O15" i="19"/>
  <c r="P15" i="19"/>
  <c r="Q9" i="14"/>
  <c r="P11" i="48"/>
  <c r="P29" i="48"/>
  <c r="P9" i="14"/>
  <c r="O11" i="48"/>
  <c r="O29" i="48"/>
  <c r="M14" i="15"/>
  <c r="M16" i="15"/>
  <c r="N9" i="14"/>
  <c r="M11" i="48"/>
  <c r="N10" i="14"/>
  <c r="M5" i="48"/>
  <c r="B28" i="17"/>
  <c r="B27" i="17"/>
  <c r="B26" i="17"/>
  <c r="B31" i="19"/>
  <c r="B24" i="19"/>
  <c r="B52" i="13"/>
  <c r="B35" i="19"/>
  <c r="B26" i="19"/>
  <c r="B27" i="19"/>
  <c r="B6" i="13"/>
  <c r="B17" i="17"/>
  <c r="B34" i="17"/>
  <c r="B6" i="16"/>
  <c r="L5" i="17"/>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O5" i="13"/>
  <c r="O8"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6" i="13"/>
  <c r="B33" i="13"/>
  <c r="B35" i="13"/>
  <c r="C35" i="13"/>
  <c r="B34" i="13"/>
  <c r="B32" i="13"/>
  <c r="C34" i="13"/>
  <c r="B67" i="22"/>
  <c r="P5" i="13"/>
  <c r="P8" i="13"/>
  <c r="B37" i="13"/>
  <c r="J15" i="16"/>
  <c r="D4" i="48"/>
  <c r="D22" i="48"/>
  <c r="E11" i="14"/>
  <c r="H32" i="48"/>
  <c r="H25" i="48"/>
  <c r="H29" i="48"/>
  <c r="H22" i="48"/>
  <c r="H24" i="48"/>
  <c r="H26" i="48"/>
  <c r="H30" i="48"/>
  <c r="H23" i="48"/>
  <c r="C10" i="48"/>
  <c r="D19" i="14"/>
  <c r="D22" i="14"/>
  <c r="L10" i="48"/>
  <c r="L28" i="48"/>
  <c r="M19" i="14"/>
  <c r="M22" i="14"/>
  <c r="D11" i="48"/>
  <c r="D29" i="48"/>
  <c r="E9" i="14"/>
  <c r="E14" i="15"/>
  <c r="F9" i="14"/>
  <c r="E11" i="48"/>
  <c r="F14" i="15"/>
  <c r="G9" i="14"/>
  <c r="F11" i="48"/>
  <c r="F29" i="48"/>
  <c r="O4" i="48"/>
  <c r="O22" i="48"/>
  <c r="P11" i="14"/>
  <c r="I26" i="48"/>
  <c r="I27" i="48"/>
  <c r="I25" i="48"/>
  <c r="I22" i="48"/>
  <c r="I31" i="48"/>
  <c r="I32" i="48"/>
  <c r="I24" i="48"/>
  <c r="I30" i="48"/>
  <c r="D10" i="48"/>
  <c r="D28" i="48"/>
  <c r="E19" i="14"/>
  <c r="N10" i="48"/>
  <c r="N28" i="48"/>
  <c r="O19" i="14"/>
  <c r="O22" i="14"/>
  <c r="C4" i="48"/>
  <c r="D11" i="14"/>
  <c r="L4" i="48"/>
  <c r="L22" i="48"/>
  <c r="M11" i="14"/>
  <c r="J27" i="48"/>
  <c r="J32" i="48"/>
  <c r="J31" i="48"/>
  <c r="J24" i="48"/>
  <c r="J30" i="48"/>
  <c r="P4" i="48"/>
  <c r="P22" i="48"/>
  <c r="Q11" i="14"/>
  <c r="B7" i="48"/>
  <c r="C24" i="14"/>
  <c r="C26" i="14"/>
  <c r="E10" i="48"/>
  <c r="E28" i="48"/>
  <c r="F19" i="14"/>
  <c r="O10" i="48"/>
  <c r="O28" i="48"/>
  <c r="P19" i="14"/>
  <c r="P22" i="14"/>
  <c r="G32" i="48"/>
  <c r="G26" i="48"/>
  <c r="G24" i="48"/>
  <c r="G29" i="48"/>
  <c r="G30" i="48"/>
  <c r="G25" i="48"/>
  <c r="G22" i="48"/>
  <c r="G23" i="48"/>
  <c r="J14" i="15"/>
  <c r="J11" i="48"/>
  <c r="J29" i="48"/>
  <c r="K9" i="14"/>
  <c r="M4" i="48"/>
  <c r="M22" i="48"/>
  <c r="N11" i="14"/>
  <c r="N16" i="14"/>
  <c r="K32" i="48"/>
  <c r="K26" i="48"/>
  <c r="K27" i="48"/>
  <c r="K24" i="48"/>
  <c r="K25" i="48"/>
  <c r="K30" i="48"/>
  <c r="K22" i="48"/>
  <c r="K31" i="48"/>
  <c r="F10" i="48"/>
  <c r="F28" i="48"/>
  <c r="G19" i="14"/>
  <c r="G22" i="14"/>
  <c r="P10" i="48"/>
  <c r="P28" i="48"/>
  <c r="Q19" i="14"/>
  <c r="Q22" i="14"/>
  <c r="K14" i="15"/>
  <c r="K16" i="15"/>
  <c r="K20" i="15"/>
  <c r="L40" i="14"/>
  <c r="K11" i="48"/>
  <c r="K29" i="48"/>
  <c r="L9" i="14"/>
  <c r="B12" i="22"/>
  <c r="B13" i="48"/>
  <c r="C18" i="14"/>
  <c r="D30" i="48"/>
  <c r="D24" i="48"/>
  <c r="D32" i="48"/>
  <c r="L32" i="48"/>
  <c r="L27" i="48"/>
  <c r="L30" i="48"/>
  <c r="L31" i="48"/>
  <c r="L24" i="48"/>
  <c r="I19" i="14"/>
  <c r="H10" i="48"/>
  <c r="H28" i="48"/>
  <c r="B6" i="9"/>
  <c r="B12" i="48"/>
  <c r="Q12" i="48"/>
  <c r="C12" i="14"/>
  <c r="R12" i="14"/>
  <c r="B14" i="15"/>
  <c r="B11" i="48"/>
  <c r="C9" i="14"/>
  <c r="L14" i="15"/>
  <c r="L16" i="15"/>
  <c r="M9" i="14"/>
  <c r="L11" i="48"/>
  <c r="L29" i="48"/>
  <c r="D12" i="22"/>
  <c r="E18" i="14"/>
  <c r="D13" i="48"/>
  <c r="D31" i="48"/>
  <c r="E32" i="48"/>
  <c r="E24" i="48"/>
  <c r="E30" i="48"/>
  <c r="M32" i="48"/>
  <c r="M26" i="48"/>
  <c r="M25" i="48"/>
  <c r="M24" i="48"/>
  <c r="M30" i="48"/>
  <c r="M29" i="48"/>
  <c r="M23" i="48"/>
  <c r="J19" i="14"/>
  <c r="J22" i="14"/>
  <c r="I10" i="48"/>
  <c r="I28" i="48"/>
  <c r="K10" i="48"/>
  <c r="K28" i="48"/>
  <c r="L19" i="14"/>
  <c r="L22" i="14"/>
  <c r="I11" i="48"/>
  <c r="I29" i="48"/>
  <c r="J9" i="14"/>
  <c r="C14" i="15"/>
  <c r="C16" i="15"/>
  <c r="C11" i="48"/>
  <c r="D9" i="14"/>
  <c r="N14" i="15"/>
  <c r="O9" i="14"/>
  <c r="N11" i="48"/>
  <c r="N29" i="48"/>
  <c r="E12" i="22"/>
  <c r="F18" i="14"/>
  <c r="E13" i="48"/>
  <c r="E31" i="48"/>
  <c r="B4" i="48"/>
  <c r="C11" i="14"/>
  <c r="F31" i="48"/>
  <c r="F32" i="48"/>
  <c r="F27" i="48"/>
  <c r="F24" i="48"/>
  <c r="F30" i="48"/>
  <c r="N32" i="48"/>
  <c r="N27" i="48"/>
  <c r="N31" i="48"/>
  <c r="N24" i="48"/>
  <c r="N30" i="48"/>
  <c r="K19" i="14"/>
  <c r="K22" i="14"/>
  <c r="J10" i="48"/>
  <c r="J28" i="48"/>
  <c r="P5" i="48"/>
  <c r="Q10" i="14"/>
  <c r="B10" i="48"/>
  <c r="C19" i="14"/>
  <c r="D8" i="17"/>
  <c r="D12" i="17"/>
  <c r="E54" i="14"/>
  <c r="E56" i="14"/>
  <c r="B8" i="9"/>
  <c r="B6" i="48"/>
  <c r="Q6" i="48"/>
  <c r="I14" i="15"/>
  <c r="I16" i="15"/>
  <c r="B13" i="16"/>
  <c r="C35" i="16"/>
  <c r="D14" i="15"/>
  <c r="P18" i="16"/>
  <c r="L18" i="16"/>
  <c r="L22" i="16"/>
  <c r="M43" i="14"/>
  <c r="N5" i="17"/>
  <c r="N8" i="17"/>
  <c r="J8" i="17"/>
  <c r="F8" i="17"/>
  <c r="G6" i="22"/>
  <c r="G9" i="22"/>
  <c r="M6" i="22"/>
  <c r="M11" i="22"/>
  <c r="G11" i="22"/>
  <c r="G7" i="22"/>
  <c r="G8" i="22"/>
  <c r="M8" i="22"/>
  <c r="G10" i="22"/>
  <c r="M7" i="22"/>
  <c r="M10" i="22"/>
  <c r="M9" i="22"/>
  <c r="B7" i="15"/>
  <c r="O5" i="16"/>
  <c r="B11" i="15"/>
  <c r="B11" i="16"/>
  <c r="J19" i="19"/>
  <c r="K39" i="14"/>
  <c r="N19" i="19"/>
  <c r="O39" i="14"/>
  <c r="C18" i="16"/>
  <c r="D31" i="20"/>
  <c r="E48" i="14"/>
  <c r="K19" i="19"/>
  <c r="L39" i="14"/>
  <c r="I19" i="19"/>
  <c r="J39" i="14"/>
  <c r="E31" i="20"/>
  <c r="F48" i="14"/>
  <c r="L12" i="13"/>
  <c r="M41" i="14"/>
  <c r="E8" i="16"/>
  <c r="F19" i="19"/>
  <c r="G39" i="14"/>
  <c r="L19" i="19"/>
  <c r="M39" i="14"/>
  <c r="M12" i="13"/>
  <c r="N41" i="14"/>
  <c r="C78" i="22"/>
  <c r="G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P12" i="13"/>
  <c r="Q41" i="14"/>
  <c r="D12" i="13"/>
  <c r="E41" i="14"/>
  <c r="O12" i="13"/>
  <c r="P41" i="14"/>
  <c r="J12" i="17"/>
  <c r="K54" i="14"/>
  <c r="K56" i="14"/>
  <c r="E5" i="17"/>
  <c r="C8" i="17"/>
  <c r="N46" i="14"/>
  <c r="P22" i="16"/>
  <c r="Q43" i="14"/>
  <c r="P8" i="48"/>
  <c r="P26" i="48"/>
  <c r="Q13" i="14"/>
  <c r="Q16" i="14"/>
  <c r="Q27" i="14"/>
  <c r="R9" i="14"/>
  <c r="Q11" i="48"/>
  <c r="E29" i="48"/>
  <c r="L10" i="14"/>
  <c r="L16" i="14"/>
  <c r="L27" i="14"/>
  <c r="K5" i="48"/>
  <c r="I5" i="48"/>
  <c r="J10" i="14"/>
  <c r="J16" i="14"/>
  <c r="J27" i="14"/>
  <c r="L46" i="14"/>
  <c r="L61" i="14"/>
  <c r="K24" i="14"/>
  <c r="K26" i="14"/>
  <c r="J7" i="48"/>
  <c r="J25" i="48"/>
  <c r="P23" i="48"/>
  <c r="O5" i="48"/>
  <c r="P10" i="14"/>
  <c r="F4" i="48"/>
  <c r="F22" i="48"/>
  <c r="G11" i="14"/>
  <c r="I18" i="14"/>
  <c r="H13" i="48"/>
  <c r="H31" i="48"/>
  <c r="M12" i="22"/>
  <c r="N18" i="14"/>
  <c r="M13" i="48"/>
  <c r="M31" i="48"/>
  <c r="H18" i="14"/>
  <c r="G13" i="48"/>
  <c r="F20" i="14"/>
  <c r="F22" i="14"/>
  <c r="E9" i="48"/>
  <c r="B9" i="48"/>
  <c r="C20" i="14"/>
  <c r="E20" i="14"/>
  <c r="E22" i="14"/>
  <c r="D9" i="48"/>
  <c r="D27" i="48"/>
  <c r="D24" i="14"/>
  <c r="D26" i="14"/>
  <c r="C7" i="48"/>
  <c r="C8" i="48"/>
  <c r="D13" i="14"/>
  <c r="F7" i="48"/>
  <c r="F25" i="48"/>
  <c r="G24" i="14"/>
  <c r="G26" i="14"/>
  <c r="L8" i="48"/>
  <c r="L26" i="48"/>
  <c r="M13" i="14"/>
  <c r="D7" i="48"/>
  <c r="E24" i="14"/>
  <c r="M10" i="14"/>
  <c r="L5" i="48"/>
  <c r="D10" i="14"/>
  <c r="C5" i="48"/>
  <c r="I20" i="15"/>
  <c r="J40" i="14"/>
  <c r="J46" i="14"/>
  <c r="J61" i="14"/>
  <c r="H12" i="22"/>
  <c r="O18" i="16"/>
  <c r="E8" i="17"/>
  <c r="G31" i="20"/>
  <c r="H48" i="14"/>
  <c r="G12" i="22"/>
  <c r="L8" i="17"/>
  <c r="D16" i="15"/>
  <c r="E5" i="13"/>
  <c r="E8" i="13"/>
  <c r="D18" i="16"/>
  <c r="M51" i="22"/>
  <c r="M50" i="22"/>
  <c r="M54" i="22"/>
  <c r="G50" i="22"/>
  <c r="G54" i="22"/>
  <c r="F12" i="17"/>
  <c r="G54" i="14"/>
  <c r="G56" i="14"/>
  <c r="M31" i="20"/>
  <c r="N48" i="14"/>
  <c r="H31" i="20"/>
  <c r="I48" i="14"/>
  <c r="M5" i="22"/>
  <c r="G5" i="22"/>
  <c r="H5"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N5" i="13"/>
  <c r="N8" i="13"/>
  <c r="J5" i="13"/>
  <c r="J8" i="13"/>
  <c r="G14" i="22"/>
  <c r="P15" i="48"/>
  <c r="Q63" i="14"/>
  <c r="L63" i="14"/>
  <c r="P33" i="48"/>
  <c r="P13" i="14"/>
  <c r="O8" i="48"/>
  <c r="O26" i="48"/>
  <c r="P16" i="14"/>
  <c r="P27" i="14"/>
  <c r="J63" i="14"/>
  <c r="I23" i="48"/>
  <c r="I33" i="48"/>
  <c r="I15" i="48"/>
  <c r="K15" i="48"/>
  <c r="K23" i="48"/>
  <c r="K33" i="48"/>
  <c r="F24" i="14"/>
  <c r="F26" i="14"/>
  <c r="E7" i="48"/>
  <c r="E25" i="48"/>
  <c r="O23" i="48"/>
  <c r="E12" i="13"/>
  <c r="F41" i="14"/>
  <c r="F11" i="14"/>
  <c r="E4" i="48"/>
  <c r="K11" i="14"/>
  <c r="J4" i="48"/>
  <c r="N4" i="48"/>
  <c r="N22" i="48"/>
  <c r="O11" i="14"/>
  <c r="R18" i="14"/>
  <c r="M14" i="22"/>
  <c r="N20" i="14"/>
  <c r="M10" i="48"/>
  <c r="M28" i="48"/>
  <c r="N19" i="14"/>
  <c r="G10" i="48"/>
  <c r="H19" i="14"/>
  <c r="Q13" i="48"/>
  <c r="G31" i="48"/>
  <c r="G9" i="48"/>
  <c r="H20" i="14"/>
  <c r="E27" i="48"/>
  <c r="C22" i="14"/>
  <c r="N12" i="17"/>
  <c r="O54" i="14"/>
  <c r="O56" i="14"/>
  <c r="N7" i="48"/>
  <c r="N25" i="48"/>
  <c r="O24" i="14"/>
  <c r="O26" i="14"/>
  <c r="B8" i="48"/>
  <c r="C13" i="14"/>
  <c r="D22" i="16"/>
  <c r="E43" i="14"/>
  <c r="D8" i="48"/>
  <c r="D26" i="48"/>
  <c r="E13" i="14"/>
  <c r="L12" i="17"/>
  <c r="M54" i="14"/>
  <c r="M56" i="14"/>
  <c r="M24" i="14"/>
  <c r="M26" i="14"/>
  <c r="L7" i="48"/>
  <c r="L25" i="48"/>
  <c r="M16" i="14"/>
  <c r="D16" i="14"/>
  <c r="D27" i="14"/>
  <c r="B20" i="6"/>
  <c r="B22" i="6"/>
  <c r="C22" i="59"/>
  <c r="E26" i="14"/>
  <c r="D25" i="48"/>
  <c r="C15" i="48"/>
  <c r="C10" i="14"/>
  <c r="B5" i="48"/>
  <c r="G10" i="14"/>
  <c r="F5" i="48"/>
  <c r="E10" i="14"/>
  <c r="D5" i="48"/>
  <c r="L23" i="48"/>
  <c r="O10" i="14"/>
  <c r="N5" i="48"/>
  <c r="D20" i="15"/>
  <c r="E40" i="14"/>
  <c r="E46" i="14"/>
  <c r="E12" i="17"/>
  <c r="F54" i="14"/>
  <c r="F56" i="14"/>
  <c r="H14" i="22"/>
  <c r="E16" i="15"/>
  <c r="O22" i="16"/>
  <c r="P43" i="14"/>
  <c r="P46" i="14"/>
  <c r="P61" i="14"/>
  <c r="J16" i="15"/>
  <c r="M58" i="22"/>
  <c r="N49" i="14"/>
  <c r="D18" i="22"/>
  <c r="E50" i="14"/>
  <c r="E52" i="14"/>
  <c r="E18" i="22"/>
  <c r="F50" i="14"/>
  <c r="F52" i="14"/>
  <c r="G58" i="22"/>
  <c r="H49" i="14"/>
  <c r="J20" i="15"/>
  <c r="K40" i="14"/>
  <c r="N20" i="15"/>
  <c r="O40" i="14"/>
  <c r="F20" i="15"/>
  <c r="G40" i="14"/>
  <c r="N5" i="16"/>
  <c r="E5" i="16"/>
  <c r="J5" i="16"/>
  <c r="F5" i="16"/>
  <c r="N12" i="13"/>
  <c r="O41" i="14"/>
  <c r="J12" i="13"/>
  <c r="K41" i="14"/>
  <c r="L20" i="15"/>
  <c r="M40" i="14"/>
  <c r="M46" i="14"/>
  <c r="P63" i="14"/>
  <c r="O15" i="48"/>
  <c r="O33" i="48"/>
  <c r="H22" i="14"/>
  <c r="H27" i="14"/>
  <c r="M9" i="48"/>
  <c r="M18" i="22"/>
  <c r="N50" i="14"/>
  <c r="N52" i="14"/>
  <c r="N61" i="14"/>
  <c r="E20" i="15"/>
  <c r="F40" i="14"/>
  <c r="F10" i="14"/>
  <c r="K10" i="14"/>
  <c r="R10" i="14"/>
  <c r="E5" i="48"/>
  <c r="E23" i="48"/>
  <c r="J5" i="48"/>
  <c r="J23" i="48"/>
  <c r="E22" i="48"/>
  <c r="Q4" i="48"/>
  <c r="R11" i="14"/>
  <c r="J22" i="48"/>
  <c r="N22" i="14"/>
  <c r="N27" i="14"/>
  <c r="E61" i="14"/>
  <c r="R19" i="14"/>
  <c r="Q10" i="48"/>
  <c r="G28" i="48"/>
  <c r="H9" i="48"/>
  <c r="I20" i="14"/>
  <c r="M27" i="48"/>
  <c r="M33" i="48"/>
  <c r="M15" i="48"/>
  <c r="G15" i="48"/>
  <c r="G27" i="48"/>
  <c r="M61" i="14"/>
  <c r="M27" i="14"/>
  <c r="E16" i="14"/>
  <c r="E27" i="14"/>
  <c r="L15" i="48"/>
  <c r="R24" i="14"/>
  <c r="R26" i="14"/>
  <c r="L33" i="48"/>
  <c r="Q7" i="48"/>
  <c r="D23" i="48"/>
  <c r="D33" i="48"/>
  <c r="D15" i="48"/>
  <c r="C16" i="14"/>
  <c r="C27" i="14"/>
  <c r="B3" i="6"/>
  <c r="B12" i="6"/>
  <c r="F23" i="48"/>
  <c r="N23" i="48"/>
  <c r="B15" i="48"/>
  <c r="F18" i="16"/>
  <c r="E18" i="16"/>
  <c r="E22" i="16"/>
  <c r="F43" i="14"/>
  <c r="N18" i="16"/>
  <c r="N22" i="16"/>
  <c r="O43" i="14"/>
  <c r="O46" i="14"/>
  <c r="O61" i="14"/>
  <c r="J18" i="16"/>
  <c r="G18" i="22"/>
  <c r="H50" i="14"/>
  <c r="H52" i="14"/>
  <c r="H61" i="14"/>
  <c r="H63" i="14"/>
  <c r="H18" i="22"/>
  <c r="I50" i="14"/>
  <c r="I52" i="14"/>
  <c r="I61" i="14"/>
  <c r="C10" i="17"/>
  <c r="C12" i="17"/>
  <c r="D54" i="14"/>
  <c r="D56" i="14"/>
  <c r="C16" i="22"/>
  <c r="C10" i="13"/>
  <c r="C17" i="48"/>
  <c r="C18" i="15"/>
  <c r="C20" i="15"/>
  <c r="D40" i="14"/>
  <c r="C20" i="16"/>
  <c r="C22" i="16"/>
  <c r="D43" i="14"/>
  <c r="C17" i="19"/>
  <c r="C19" i="19"/>
  <c r="D39" i="14"/>
  <c r="C29" i="20"/>
  <c r="C17" i="49"/>
  <c r="C56" i="22"/>
  <c r="C58" i="22"/>
  <c r="D49" i="14"/>
  <c r="D52" i="14"/>
  <c r="N63" i="14"/>
  <c r="F46" i="14"/>
  <c r="F61" i="14"/>
  <c r="E63" i="14"/>
  <c r="J22" i="16"/>
  <c r="K43" i="14"/>
  <c r="K46" i="14"/>
  <c r="K61" i="14"/>
  <c r="K13" i="14"/>
  <c r="K16" i="14"/>
  <c r="K27" i="14"/>
  <c r="J8" i="48"/>
  <c r="J26" i="48"/>
  <c r="J33" i="48"/>
  <c r="E8" i="48"/>
  <c r="F13" i="14"/>
  <c r="F16" i="14"/>
  <c r="F27" i="14"/>
  <c r="Q5" i="48"/>
  <c r="G33" i="48"/>
  <c r="I22" i="14"/>
  <c r="I27" i="14"/>
  <c r="I63" i="14"/>
  <c r="R20" i="14"/>
  <c r="R22" i="14"/>
  <c r="H27" i="48"/>
  <c r="H33" i="48"/>
  <c r="H15" i="48"/>
  <c r="Q9" i="48"/>
  <c r="C55" i="14"/>
  <c r="R55" i="14"/>
  <c r="C12" i="59"/>
  <c r="M63" i="14"/>
  <c r="N8" i="48"/>
  <c r="O13" i="14"/>
  <c r="O16" i="14"/>
  <c r="O27" i="14"/>
  <c r="O63" i="14"/>
  <c r="G13" i="14"/>
  <c r="F8" i="48"/>
  <c r="C32" i="48"/>
  <c r="C27" i="48"/>
  <c r="C31" i="48"/>
  <c r="C26" i="48"/>
  <c r="C22" i="48"/>
  <c r="C24" i="48"/>
  <c r="C25" i="48"/>
  <c r="C28" i="48"/>
  <c r="C30" i="48"/>
  <c r="C29" i="48"/>
  <c r="C23" i="48"/>
  <c r="F22" i="16"/>
  <c r="G43" i="14"/>
  <c r="G46" i="14"/>
  <c r="G61" i="14"/>
  <c r="C12" i="13"/>
  <c r="D41" i="14"/>
  <c r="D46" i="14"/>
  <c r="D61" i="14"/>
  <c r="D63" i="14"/>
  <c r="F63" i="14"/>
  <c r="E26" i="48"/>
  <c r="E33" i="48"/>
  <c r="E15" i="48"/>
  <c r="K63" i="14"/>
  <c r="J15" i="48"/>
  <c r="G16" i="14"/>
  <c r="G27" i="14"/>
  <c r="G63" i="14"/>
  <c r="R13" i="14"/>
  <c r="R16" i="14"/>
  <c r="R27" i="14"/>
  <c r="F26" i="48"/>
  <c r="F33" i="48"/>
  <c r="Q8" i="48"/>
  <c r="Q15" i="48"/>
  <c r="F15" i="48"/>
  <c r="N26" i="48"/>
  <c r="N33" i="48"/>
  <c r="N15" i="48"/>
  <c r="C33" i="48"/>
  <c r="B10" i="9"/>
  <c r="B12" i="9"/>
  <c r="B29" i="20"/>
  <c r="B31" i="20"/>
  <c r="C48" i="14"/>
  <c r="B20" i="16"/>
  <c r="B22" i="16"/>
  <c r="C43" i="14"/>
  <c r="R43" i="14"/>
  <c r="B18" i="15"/>
  <c r="B20" i="15"/>
  <c r="B10" i="17"/>
  <c r="B12" i="17"/>
  <c r="C54" i="14"/>
  <c r="B56" i="22"/>
  <c r="B58" i="22"/>
  <c r="C49" i="14"/>
  <c r="R49" i="14"/>
  <c r="B16" i="22"/>
  <c r="B18" i="22"/>
  <c r="C50" i="14"/>
  <c r="R50" i="14"/>
  <c r="B17" i="19"/>
  <c r="B19" i="19"/>
  <c r="C39" i="14"/>
  <c r="B17" i="49"/>
  <c r="B19" i="49"/>
  <c r="C42" i="14"/>
  <c r="R42" i="14"/>
  <c r="B10" i="13"/>
  <c r="R54" i="14"/>
  <c r="R56" i="14"/>
  <c r="C56" i="14"/>
  <c r="R39" i="14"/>
  <c r="C40" i="14"/>
  <c r="R40" i="14"/>
  <c r="B12" i="13"/>
  <c r="C41" i="14"/>
  <c r="R41" i="14"/>
  <c r="B17" i="48"/>
  <c r="C52" i="14"/>
  <c r="R48" i="14"/>
  <c r="R52" i="14"/>
  <c r="C46" i="14"/>
  <c r="C61" i="14"/>
  <c r="C63" i="14"/>
  <c r="R46" i="14"/>
  <c r="R61" i="14"/>
  <c r="B22" i="48"/>
  <c r="B26" i="48"/>
  <c r="Q26" i="48"/>
  <c r="B32" i="48"/>
  <c r="Q32" i="48"/>
  <c r="B24" i="48"/>
  <c r="Q24" i="48"/>
  <c r="B28" i="48"/>
  <c r="Q28" i="48"/>
  <c r="B30" i="48"/>
  <c r="Q30" i="48"/>
  <c r="B27" i="48"/>
  <c r="Q27" i="48"/>
  <c r="B25" i="48"/>
  <c r="Q25" i="48"/>
  <c r="B31" i="48"/>
  <c r="Q31" i="48"/>
  <c r="B29" i="48"/>
  <c r="Q29" i="48"/>
  <c r="B23" i="48"/>
  <c r="Q23" i="48"/>
  <c r="Q22" i="48"/>
  <c r="Q33" i="48"/>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<sst xmlns="http://schemas.openxmlformats.org/spreadsheetml/2006/main" count="2456" uniqueCount="911">
  <si>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</si>
  <si>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</si>
  <si>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</si>
  <si>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</si>
  <si>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</si>
  <si>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</si>
  <si>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</si>
  <si>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</si>
  <si>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</si>
  <si>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</si>
  <si>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</si>
  <si>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</si>
  <si>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</si>
  <si>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</si>
  <si>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</si>
  <si>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</si>
  <si>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</si>
  <si>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</si>
  <si>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</si>
  <si>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</si>
  <si>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</si>
  <si>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</si>
  <si>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</si>
  <si>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</si>
  <si>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</si>
  <si>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</si>
  <si>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</si>
  <si>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</si>
  <si>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</si>
  <si>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</si>
  <si>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</si>
  <si>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</si>
  <si>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</si>
  <si>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</si>
  <si>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</si>
  <si>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</si>
  <si>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</si>
  <si>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</si>
  <si>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</si>
  <si>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</si>
  <si>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</si>
  <si>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</si>
  <si>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</si>
  <si>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</si>
  <si>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</si>
  <si>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</si>
  <si>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</si>
  <si>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</si>
  <si>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</si>
  <si>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</si>
  <si>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</si>
  <si>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</si>
  <si>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</si>
  <si>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</si>
  <si>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</si>
  <si>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</si>
  <si>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</si>
  <si>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</si>
  <si>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</si>
  <si>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</si>
  <si>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</si>
  <si>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</si>
  <si>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</si>
  <si>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</si>
  <si>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</si>
  <si>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</si>
  <si>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</si>
  <si>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</si>
  <si>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</si>
  <si>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</si>
  <si>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</si>
  <si>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</si>
  <si>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</si>
  <si>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</si>
  <si>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</si>
  <si>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</si>
  <si>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</si>
  <si>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</si>
  <si>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</si>
  <si>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</si>
  <si>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</si>
  <si>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</si>
  <si>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</si>
  <si>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</si>
  <si>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</si>
  <si>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</si>
  <si>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</si>
  <si>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</si>
  <si>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</si>
  <si>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</si>
  <si>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</si>
  <si>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</si>
  <si>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</si>
  <si>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</si>
  <si>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</si>
  <si>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</si>
  <si>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</si>
  <si>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</si>
  <si>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</si>
  <si>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</si>
  <si>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</si>
  <si>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</si>
  <si>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</si>
  <si>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</si>
  <si>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</si>
  <si>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</si>
  <si>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</si>
  <si>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</si>
  <si>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</si>
  <si>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</si>
  <si>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</si>
  <si>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</si>
  <si>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</si>
  <si>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</si>
  <si>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</si>
  <si>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</si>
  <si>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</si>
  <si>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</si>
  <si>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</si>
  <si>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</si>
  <si>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</si>
  <si>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</si>
  <si>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</si>
  <si>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</si>
  <si>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</si>
  <si>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</si>
  <si>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</si>
  <si>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</si>
  <si>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</si>
  <si>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</si>
  <si>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</si>
  <si>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</si>
  <si>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</si>
  <si>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</si>
  <si>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</si>
  <si>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</si>
  <si>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</si>
  <si>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</si>
  <si>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</si>
  <si>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</si>
  <si>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</si>
  <si>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</si>
  <si>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</si>
  <si>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</si>
  <si>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</si>
  <si>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</si>
  <si>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</si>
  <si>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</si>
  <si>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</si>
  <si>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</si>
  <si>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</si>
  <si>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</si>
  <si>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</si>
  <si>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</si>
  <si>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</si>
  <si>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</si>
  <si>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</si>
  <si>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</si>
  <si>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</si>
  <si>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</si>
  <si>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</si>
  <si>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</si>
  <si>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</si>
  <si>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</si>
  <si>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</si>
  <si>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</si>
  <si>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</si>
  <si>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</si>
  <si>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</si>
  <si>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</si>
  <si>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</si>
  <si>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</si>
  <si>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</si>
  <si>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</si>
  <si>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</si>
  <si>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</si>
  <si>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</si>
  <si>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</si>
  <si>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</si>
  <si>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</si>
  <si>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</si>
  <si>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</si>
  <si>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</si>
  <si>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</si>
  <si>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</si>
  <si>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</si>
  <si>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</si>
  <si>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</si>
  <si>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</si>
  <si>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</si>
  <si>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</si>
  <si>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</si>
  <si>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</si>
  <si>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</si>
  <si>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</si>
  <si>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</si>
  <si>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</si>
  <si>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</si>
  <si>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</si>
  <si>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</si>
  <si>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</si>
  <si>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</si>
  <si>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</si>
  <si>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</si>
  <si>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</si>
  <si>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</si>
  <si>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</si>
  <si>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</si>
  <si>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</si>
  <si>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</si>
  <si>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</si>
  <si>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</si>
  <si>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</si>
  <si>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</si>
  <si>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</si>
  <si>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</si>
  <si>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</si>
  <si>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</si>
  <si>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</si>
  <si>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</si>
  <si>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</si>
  <si>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</si>
  <si>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</si>
  <si>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</si>
  <si>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</si>
  <si>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</si>
  <si>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</si>
  <si>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</si>
  <si>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</si>
  <si>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</si>
  <si>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</si>
  <si>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</si>
  <si>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</si>
  <si>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</si>
  <si>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</si>
  <si>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</si>
  <si>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</si>
  <si>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</si>
  <si>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</si>
  <si>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</si>
  <si>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</si>
  <si>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</si>
  <si>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</si>
  <si>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</si>
  <si>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</si>
  <si>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</si>
  <si>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</si>
  <si>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</si>
  <si>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</si>
  <si>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</si>
  <si>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</si>
  <si>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</si>
  <si>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</si>
  <si>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</si>
  <si>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</si>
  <si>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</si>
  <si>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</si>
  <si>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</si>
  <si>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</si>
  <si>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</si>
  <si>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</si>
  <si>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</si>
  <si>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</si>
  <si>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</si>
  <si>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</si>
  <si>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</si>
  <si>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</si>
  <si>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</si>
  <si>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</si>
  <si>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</si>
  <si>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</si>
  <si>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</si>
  <si>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</si>
  <si>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</si>
  <si>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</si>
  <si>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</si>
  <si>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</si>
  <si>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</si>
  <si>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</si>
  <si>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</si>
  <si>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</si>
  <si>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</si>
  <si>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</si>
  <si>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</si>
  <si>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</si>
  <si>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</si>
  <si>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</si>
  <si>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</si>
  <si>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</si>
  <si>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</si>
  <si>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</si>
  <si>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</si>
  <si>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</si>
  <si>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</si>
  <si>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</si>
  <si>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</si>
  <si>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</si>
  <si>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</si>
  <si>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</si>
  <si>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</si>
  <si>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</si>
  <si>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</si>
  <si>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</si>
  <si>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</si>
  <si>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</si>
  <si>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</si>
  <si>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</si>
  <si>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</si>
  <si>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</si>
  <si>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</si>
  <si>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</si>
  <si>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</si>
  <si>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</si>
  <si>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</si>
  <si>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</si>
  <si>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</si>
  <si>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</si>
  <si>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</si>
  <si>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</si>
  <si>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</si>
  <si>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</si>
  <si>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</si>
  <si>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</si>
  <si>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</si>
  <si>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</si>
  <si>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</si>
  <si>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</si>
  <si>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</si>
  <si>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</si>
  <si>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</si>
  <si>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</si>
  <si>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</si>
  <si>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</si>
  <si>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</si>
  <si>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</si>
  <si>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</si>
  <si>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</si>
  <si>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</si>
  <si>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</si>
  <si>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</si>
  <si>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</si>
  <si>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</si>
  <si>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</si>
  <si>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</si>
  <si>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</si>
  <si>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</si>
  <si>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</si>
  <si>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</si>
  <si>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</si>
  <si>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</si>
  <si>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</si>
  <si>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</si>
  <si>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</si>
  <si>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</si>
  <si>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</si>
  <si>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</si>
  <si>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</si>
  <si>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</si>
  <si>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</si>
  <si>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</si>
  <si>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</si>
  <si>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</si>
  <si>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</si>
  <si>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</si>
  <si>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</si>
  <si>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</si>
  <si>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</si>
  <si>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</si>
  <si>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</si>
  <si>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</si>
  <si>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</si>
  <si>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</si>
  <si>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</si>
  <si>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</si>
  <si>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</si>
  <si>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</si>
  <si>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</si>
  <si>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</si>
  <si>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</si>
  <si>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</si>
  <si>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</si>
  <si>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</si>
  <si>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</si>
  <si>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</si>
  <si>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</si>
  <si>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</si>
  <si>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</si>
  <si>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</si>
  <si>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</si>
  <si>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</si>
  <si>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</si>
  <si>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</si>
  <si>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</si>
  <si>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</si>
  <si>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</si>
  <si>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</si>
  <si>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</si>
  <si>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</si>
  <si>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</si>
  <si>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</si>
  <si>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</si>
  <si>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</si>
  <si>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</si>
  <si>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</si>
  <si>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</si>
  <si>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</si>
  <si>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</si>
  <si>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</si>
  <si>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</si>
  <si>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</si>
  <si>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</si>
  <si>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</si>
  <si>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</si>
  <si>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</si>
  <si>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</si>
  <si>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</si>
  <si>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</si>
  <si>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</si>
  <si>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</si>
  <si>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</si>
  <si>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</si>
  <si>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</si>
  <si>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</si>
  <si>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</si>
  <si>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</si>
  <si>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</si>
  <si>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</si>
  <si>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</si>
  <si>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</si>
  <si>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</si>
  <si>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</si>
  <si>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</si>
  <si>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</si>
  <si>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</si>
  <si>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</si>
  <si>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</si>
  <si>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</si>
  <si>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</si>
  <si>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</si>
  <si>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</si>
  <si>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</si>
  <si>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</si>
  <si>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</si>
  <si>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</si>
  <si>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</si>
  <si>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</si>
  <si>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</si>
  <si>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</si>
  <si>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</si>
  <si>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</si>
  <si>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</si>
  <si>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</si>
  <si>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</si>
  <si>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</si>
  <si>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</si>
  <si>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</si>
  <si>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</si>
  <si>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</si>
  <si>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</si>
  <si>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</si>
  <si>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</si>
  <si>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</si>
  <si>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</si>
  <si>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</si>
  <si>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</si>
  <si>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</si>
  <si>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</si>
  <si>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</si>
  <si>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</si>
  <si>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</si>
  <si>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</si>
  <si>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</si>
  <si>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</si>
  <si>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</si>
  <si>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</si>
  <si>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</si>
  <si>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</si>
  <si>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</si>
  <si>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</si>
  <si>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</si>
  <si>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</si>
  <si>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</si>
  <si>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</si>
  <si>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</si>
  <si>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</si>
  <si>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</si>
  <si>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</si>
  <si>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</si>
  <si>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</si>
  <si>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</si>
  <si>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</si>
  <si>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</si>
  <si>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</si>
  <si>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</si>
  <si>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</si>
  <si>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</si>
  <si>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</si>
  <si>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</si>
  <si>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</si>
  <si>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</si>
  <si>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</si>
  <si>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</si>
  <si>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</si>
  <si>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</si>
  <si>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</si>
  <si>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</si>
  <si>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</si>
  <si>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</si>
  <si>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</si>
  <si>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</si>
  <si>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</si>
  <si>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</si>
  <si>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</si>
  <si>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</si>
  <si>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</si>
  <si>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</si>
  <si>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</si>
  <si>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</si>
  <si>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</si>
  <si>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</si>
  <si>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</si>
  <si>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</si>
  <si>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</si>
  <si>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</si>
  <si>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</si>
  <si>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</si>
  <si>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</si>
  <si>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</si>
  <si>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</si>
  <si>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</si>
  <si>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</si>
  <si>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</si>
  <si>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</si>
  <si>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</si>
  <si>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</si>
  <si>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</si>
  <si>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</si>
  <si>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</si>
  <si>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</si>
  <si>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</si>
  <si>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</si>
  <si>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</si>
  <si>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</si>
  <si>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</si>
  <si>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</si>
  <si>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</si>
  <si>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</si>
  <si>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</si>
  <si>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</si>
  <si>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</si>
  <si>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</si>
  <si>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</si>
  <si>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</si>
  <si>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</si>
  <si>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</si>
  <si>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</si>
  <si>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</si>
  <si>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</si>
  <si>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</si>
  <si>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</si>
  <si>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</si>
  <si>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</si>
  <si>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</si>
  <si>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</si>
  <si>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</si>
  <si>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</si>
  <si>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</si>
  <si>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</si>
  <si>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</si>
  <si>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</si>
  <si>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</si>
  <si>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</si>
  <si>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</si>
  <si>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</si>
  <si>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</si>
  <si>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</si>
  <si>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</si>
  <si>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</si>
  <si>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</si>
  <si>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</si>
  <si>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</si>
  <si>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</si>
  <si>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</si>
  <si>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</si>
  <si>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</si>
  <si>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</si>
  <si>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</si>
  <si>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</si>
  <si>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</si>
  <si>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</si>
  <si>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</si>
  <si>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</si>
  <si>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</si>
  <si>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</si>
  <si>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</si>
  <si>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</si>
  <si>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</si>
  <si>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</si>
  <si>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</si>
  <si>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</si>
  <si>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</si>
  <si>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</si>
  <si>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</si>
  <si>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</si>
  <si>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</si>
  <si>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</si>
  <si>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</si>
  <si>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</si>
  <si>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</si>
  <si>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</si>
  <si>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</si>
  <si>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</si>
  <si>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</si>
  <si>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</si>
  <si>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</si>
  <si>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</si>
  <si>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</si>
  <si>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</si>
  <si>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</si>
  <si>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</si>
  <si>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</si>
  <si>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</si>
  <si>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</si>
  <si>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</si>
  <si>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</si>
  <si>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</si>
  <si>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</si>
  <si>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</si>
  <si>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</si>
  <si>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</si>
  <si>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</si>
  <si>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</si>
  <si>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</si>
  <si>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</si>
  <si>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</si>
  <si>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</si>
  <si>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</si>
  <si>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</si>
  <si>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</si>
  <si>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</si>
  <si>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</si>
  <si>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</si>
  <si>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</si>
  <si>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</si>
  <si>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</si>
  <si>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</si>
  <si>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</si>
  <si>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</si>
  <si>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</si>
  <si>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</si>
  <si>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</si>
  <si>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</si>
  <si>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</si>
  <si>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</si>
  <si>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</si>
  <si>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</si>
  <si>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</si>
  <si>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</si>
  <si>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</si>
  <si>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</si>
  <si>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</si>
  <si>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</si>
  <si>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</si>
  <si>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</si>
  <si>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</si>
  <si>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</si>
  <si>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</si>
  <si>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</si>
  <si>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</si>
  <si>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</si>
  <si>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</si>
  <si>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</si>
  <si>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</si>
  <si>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</si>
  <si>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</si>
  <si>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</si>
  <si>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</si>
  <si>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</si>
  <si>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</si>
  <si>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</si>
  <si>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</si>
  <si>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</si>
  <si>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</si>
  <si>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</si>
  <si>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</si>
  <si>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</si>
  <si>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</si>
  <si>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</si>
  <si>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</si>
  <si>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</si>
  <si>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</si>
  <si>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</si>
  <si>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</si>
  <si>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</si>
  <si>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</si>
  <si>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</si>
  <si>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</si>
  <si>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</si>
  <si>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</si>
  <si>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</si>
  <si>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</si>
  <si>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</si>
  <si>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</si>
  <si>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</si>
  <si>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</si>
  <si>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</si>
  <si>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</si>
  <si>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</si>
  <si>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</si>
  <si>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</si>
  <si>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</si>
  <si>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</si>
  <si>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</si>
  <si>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</si>
  <si>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</si>
  <si>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</si>
  <si>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</si>
  <si>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</si>
  <si>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</si>
  <si>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</si>
  <si>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</si>
  <si>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</si>
  <si>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</si>
  <si>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</si>
  <si>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</si>
  <si>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</si>
  <si>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</si>
  <si>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</si>
  <si>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</si>
  <si>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</si>
  <si>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</si>
  <si>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</si>
  <si>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</si>
  <si>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</si>
  <si>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</si>
  <si>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</si>
  <si>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</si>
  <si>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</si>
  <si>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</si>
  <si>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</si>
  <si>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</si>
  <si>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</si>
  <si>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</si>
  <si>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</si>
  <si>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</si>
  <si>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</si>
  <si>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</si>
  <si>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</si>
  <si>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</si>
  <si>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</si>
  <si>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</si>
  <si>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</si>
  <si>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</si>
  <si>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</si>
  <si>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</si>
  <si>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</si>
  <si>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</si>
  <si>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</si>
  <si>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</si>
  <si>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</si>
  <si>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</si>
  <si>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</si>
  <si>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</si>
  <si>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</si>
  <si>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</si>
  <si>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</si>
  <si>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</si>
  <si>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</si>
  <si>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</si>
  <si>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</si>
  <si>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</si>
  <si>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</si>
  <si>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</si>
  <si>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</si>
  <si>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</si>
  <si>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</si>
  <si>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</si>
  <si>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</si>
  <si>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</si>
  <si>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</si>
  <si>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</si>
  <si>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</si>
  <si>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</si>
  <si>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</si>
  <si>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</si>
  <si>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</si>
  <si>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</si>
  <si>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</si>
  <si>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</si>
  <si>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</si>
  <si>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</si>
  <si>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</si>
  <si>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</si>
  <si>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</si>
  <si>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</si>
  <si>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</si>
  <si>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</si>
  <si>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</si>
  <si>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</si>
  <si>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</si>
  <si>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</si>
  <si>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</si>
  <si>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</si>
  <si>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</si>
  <si>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</si>
  <si>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</si>
  <si>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</si>
  <si>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</si>
  <si>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</si>
  <si>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</si>
  <si>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</si>
  <si>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</si>
  <si>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</si>
  <si>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</si>
  <si>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</si>
  <si>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</si>
  <si>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</si>
  <si>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</si>
  <si>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</si>
  <si>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</si>
  <si>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</si>
  <si>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</si>
  <si>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</si>
  <si>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</si>
  <si>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</si>
  <si>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</si>
  <si>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</si>
  <si>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</si>
  <si>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</si>
  <si>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</si>
  <si>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</si>
  <si>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</si>
  <si>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</si>
  <si>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</si>
  <si>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</si>
  <si>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</si>
  <si>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</si>
  <si>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</si>
  <si>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</si>
  <si>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</si>
  <si>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</si>
  <si>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</si>
  <si>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</si>
  <si>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</si>
  <si>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</si>
  <si>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</si>
  <si>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</si>
  <si>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</si>
  <si>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</si>
  <si>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</si>
  <si>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</si>
  <si>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</si>
  <si>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</si>
  <si>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</si>
  <si>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</si>
  <si>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Diesel hybride</t>
  </si>
  <si>
    <t/>
  </si>
  <si>
    <t>Fuel Cell H2</t>
  </si>
  <si>
    <t>H2</t>
  </si>
  <si>
    <t>Diesel Hybrid PHEV</t>
  </si>
  <si>
    <t>Petrol Hybrid CS</t>
  </si>
  <si>
    <t>Petrol Hybrid PHEV</t>
  </si>
  <si>
    <t>COPERT 5.4</t>
  </si>
  <si>
    <t>Jaarverslag van De Lijn 2013</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</si>
  <si>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</si>
  <si>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</si>
  <si>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</si>
  <si>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</si>
  <si>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</si>
  <si>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</si>
  <si>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</si>
  <si>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</si>
  <si>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</si>
  <si>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</si>
  <si>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</si>
  <si>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</si>
  <si>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</si>
  <si>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</si>
  <si>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</si>
  <si>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</si>
  <si>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</si>
  <si>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</si>
  <si>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</si>
  <si>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</si>
  <si>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</si>
  <si>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2013_11</t>
  </si>
  <si>
    <t>update Energiebalans Vlaanderen voor huishoudens, tertiair en landbouw (industrie niet-ETS niet beschikbaar!)</t>
  </si>
  <si>
    <t>versie: 2013_11</t>
  </si>
  <si>
    <t xml:space="preserve">VITO Energiebalans Vlaanderen (december 2021) </t>
  </si>
  <si>
    <t>Energiebalans Vlaanderen</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</si>
  <si>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</si>
  <si>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</si>
  <si>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</si>
  <si>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</si>
  <si>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</si>
  <si>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</si>
  <si>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</si>
  <si>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</si>
  <si>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</si>
  <si>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</si>
  <si>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</si>
  <si>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</si>
  <si>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44085</t>
  </si>
  <si>
    <t>LIEVEGEM</t>
  </si>
  <si>
    <t>Cultuurgrond (ha)</t>
  </si>
  <si>
    <t>Paarden&amp;pony's 200 - 600 kg</t>
  </si>
  <si>
    <t>Paarden&amp;pony's &lt; 200 kg</t>
  </si>
  <si>
    <t>vloeibaar gas (MWh)</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</si>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</sst>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
    <numFmt numFmtId="180" formatCode="_-* #,##0_-;\-* #,##0_-;_-* &quot;-&quot;??_-;_-@_-"/>
  </numFmts>
  <fonts count="136">
    <font>
      <sz val="11"/>
      <color theme="1"/>
      <name val="Calibri"/>
      <family val="2"/>
      <scheme val="minor"/>
    </font>
    <font>
      <sz val="11"/>
      <name val="Calibri"/>
      <family val="2"/>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6" fillId="0" borderId="176"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77" applyNumberFormat="0" applyAlignment="0" applyProtection="0"/>
    <xf numFmtId="0" fontId="111" fillId="30" borderId="178" applyNumberFormat="0" applyAlignment="0" applyProtection="0"/>
    <xf numFmtId="0" fontId="112" fillId="30" borderId="177" applyNumberFormat="0" applyAlignment="0" applyProtection="0"/>
    <xf numFmtId="0" fontId="113"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4"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5" fillId="0" borderId="0"/>
    <xf numFmtId="0" fontId="5" fillId="0" borderId="0" applyNumberFormat="0" applyFill="0" applyBorder="0" applyAlignment="0" applyProtection="0"/>
    <xf numFmtId="0" fontId="116" fillId="0" borderId="176"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18" fillId="0" borderId="15" applyNumberFormat="0" applyFill="0" applyBorder="0" applyProtection="0">
      <alignment horizontal="left" vertical="center"/>
    </xf>
    <xf numFmtId="0" fontId="30" fillId="0" borderId="15" applyNumberFormat="0" applyFill="0" applyAlignment="0" applyProtection="0"/>
    <xf numFmtId="0" fontId="120"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18"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5"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18"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18"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18" fillId="0" borderId="212" applyNumberFormat="0" applyFill="0" applyBorder="0" applyProtection="0">
      <alignment horizontal="left" vertical="center"/>
    </xf>
    <xf numFmtId="49" fontId="118"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09"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18"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18"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18"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18"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18"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18"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18"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18"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18"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18"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18"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18"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0" fontId="134"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18"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5"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3"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5"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15" fillId="0" borderId="0"/>
    <xf numFmtId="0" fontId="131" fillId="63" borderId="215">
      <alignment horizontal="center"/>
    </xf>
    <xf numFmtId="0" fontId="132" fillId="64" borderId="215"/>
    <xf numFmtId="0" fontId="132" fillId="65" borderId="215"/>
    <xf numFmtId="0" fontId="8" fillId="0" borderId="0"/>
    <xf numFmtId="0" fontId="115" fillId="0" borderId="0"/>
    <xf numFmtId="9" fontId="115" fillId="0" borderId="0" applyFont="0" applyFill="0" applyBorder="0" applyAlignment="0" applyProtection="0"/>
    <xf numFmtId="0" fontId="8" fillId="0" borderId="0"/>
    <xf numFmtId="0" fontId="8" fillId="0" borderId="0"/>
    <xf numFmtId="0" fontId="130" fillId="0" borderId="0"/>
    <xf numFmtId="0" fontId="130" fillId="0" borderId="0"/>
    <xf numFmtId="0" fontId="130"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0"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 fillId="9" borderId="214">
      <alignment horizontal="right" vertical="center"/>
    </xf>
    <xf numFmtId="0" fontId="115" fillId="0" borderId="0"/>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18"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2"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2" fillId="64" borderId="215"/>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18"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18"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1"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5" fillId="0" borderId="0"/>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281">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8"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0" fontId="79" fillId="12" borderId="86" xfId="0" applyNumberFormat="1" applyFont="1" applyFill="1" applyBorder="1" applyAlignment="1">
      <alignment horizontal="left" vertical="center" wrapText="1"/>
    </xf>
    <xf numFmtId="172" fontId="104"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5"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1" fillId="12" borderId="28" xfId="0" applyNumberFormat="1" applyFont="1" applyFill="1" applyBorder="1" applyAlignment="1">
      <alignment horizontal="center" vertical="center" wrapText="1"/>
    </xf>
    <xf numFmtId="3" fontId="26" fillId="0" borderId="0" xfId="0" applyNumberFormat="1" applyFont="1"/>
    <xf numFmtId="3" fontId="121"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2"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3"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6" fillId="0" borderId="184" xfId="0" applyNumberFormat="1" applyFont="1" applyFill="1" applyBorder="1" applyAlignment="1">
      <alignment horizontal="left"/>
    </xf>
    <xf numFmtId="1" fontId="127"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6"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6" fillId="0" borderId="184" xfId="0" applyNumberFormat="1" applyFont="1" applyFill="1" applyBorder="1" applyAlignment="1">
      <alignment horizontal="left" vertical="top"/>
    </xf>
    <xf numFmtId="1" fontId="127" fillId="15" borderId="184" xfId="0" applyNumberFormat="1" applyFont="1" applyFill="1" applyBorder="1" applyAlignment="1">
      <alignment horizontal="left" vertical="top" wrapText="1"/>
    </xf>
    <xf numFmtId="1" fontId="127"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79" fontId="0" fillId="0" borderId="0" xfId="52" applyNumberFormat="1" applyFont="1"/>
    <xf numFmtId="179"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1" fillId="12" borderId="184"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5"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29"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0"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0" fontId="0" fillId="0" borderId="0" xfId="375" applyNumberFormat="1" applyFont="1"/>
    <xf numFmtId="180" fontId="27" fillId="0" borderId="0" xfId="375" applyNumberFormat="1" applyFont="1"/>
    <xf numFmtId="180"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0"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4B71A501-EF52-4094-BDF2-C7AE676E66FA}"/>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264659.68453683902</c:v>
                </c:pt>
                <c:pt idx="1">
                  <c:v>53726.618325248011</c:v>
                </c:pt>
                <c:pt idx="2">
                  <c:v>2145.9569999999999</c:v>
                </c:pt>
                <c:pt idx="3">
                  <c:v>47597.210298717815</c:v>
                </c:pt>
                <c:pt idx="4">
                  <c:v>90700.513212224119</c:v>
                </c:pt>
                <c:pt idx="5">
                  <c:v>167069.96113688417</c:v>
                </c:pt>
                <c:pt idx="6">
                  <c:v>1982.6428896684574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264659.68453683902</c:v>
                </c:pt>
                <c:pt idx="1">
                  <c:v>53726.618325248011</c:v>
                </c:pt>
                <c:pt idx="2">
                  <c:v>2145.9569999999999</c:v>
                </c:pt>
                <c:pt idx="3">
                  <c:v>47597.210298717815</c:v>
                </c:pt>
                <c:pt idx="4">
                  <c:v>90700.513212224119</c:v>
                </c:pt>
                <c:pt idx="5">
                  <c:v>167069.96113688417</c:v>
                </c:pt>
                <c:pt idx="6">
                  <c:v>1982.6428896684574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55062.256617277497</c:v>
                </c:pt>
                <c:pt idx="2">
                  <c:v>10137.587273027984</c:v>
                </c:pt>
                <c:pt idx="3">
                  <c:v>373.83137043197644</c:v>
                </c:pt>
                <c:pt idx="4">
                  <c:v>5583.1638062765896</c:v>
                </c:pt>
                <c:pt idx="5">
                  <c:v>18430.173901260983</c:v>
                </c:pt>
                <c:pt idx="6">
                  <c:v>42207.570923875835</c:v>
                </c:pt>
                <c:pt idx="7">
                  <c:v>505.85808977044792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55062.256617277497</c:v>
                </c:pt>
                <c:pt idx="2">
                  <c:v>10137.587273027984</c:v>
                </c:pt>
                <c:pt idx="3">
                  <c:v>373.83137043197644</c:v>
                </c:pt>
                <c:pt idx="4">
                  <c:v>5583.1638062765896</c:v>
                </c:pt>
                <c:pt idx="5">
                  <c:v>18430.173901260983</c:v>
                </c:pt>
                <c:pt idx="6">
                  <c:v>42207.570923875835</c:v>
                </c:pt>
                <c:pt idx="7">
                  <c:v>505.85808977044792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2">
    <tabColor theme="6"/>
  </sheetPr>
  <sheetViews>
    <sheetView zoomScale="7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8987" cy="629392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1.bin"/><Relationship Id="rId5" Type="http://schemas.openxmlformats.org/officeDocument/2006/relationships/hyperlink" Target="mailto:kaat.jespers@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22" sqref="A22"/>
    </sheetView>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630</v>
      </c>
      <c r="B2" s="389"/>
      <c r="C2" s="390"/>
    </row>
    <row r="3" spans="1:7" s="11" customFormat="1" ht="15" customHeight="1">
      <c r="A3" s="93"/>
      <c r="B3" s="74"/>
      <c r="C3" s="94"/>
    </row>
    <row r="4" spans="1:7" s="11" customFormat="1" ht="15.75" customHeight="1" thickBot="1">
      <c r="A4" s="105" t="s">
        <v>887</v>
      </c>
      <c r="B4" s="106"/>
      <c r="C4" s="107"/>
    </row>
    <row r="5" spans="1:7" s="383" customFormat="1" ht="15.75" customHeight="1">
      <c r="A5" s="380" t="s">
        <v>0</v>
      </c>
      <c r="B5" s="381"/>
      <c r="C5" s="382"/>
    </row>
    <row r="6" spans="1:7" s="383" customFormat="1" ht="15" customHeight="1">
      <c r="A6" s="384" t="str">
        <f>txtNIS</f>
        <v>44085</v>
      </c>
      <c r="B6" s="385"/>
      <c r="C6" s="386"/>
    </row>
    <row r="7" spans="1:7" s="383" customFormat="1" ht="15.75" customHeight="1">
      <c r="A7" s="387" t="str">
        <f>txtMunicipality</f>
        <v>LIEVEGEM</v>
      </c>
      <c r="B7" s="385"/>
      <c r="C7" s="386"/>
    </row>
    <row r="8" spans="1:7" ht="15.75" thickBot="1">
      <c r="A8" s="45"/>
      <c r="B8" s="108"/>
      <c r="C8" s="109"/>
    </row>
    <row r="9" spans="1:7" s="376" customFormat="1" ht="15.75" thickBot="1">
      <c r="A9" s="400" t="s">
        <v>344</v>
      </c>
      <c r="B9" s="403"/>
      <c r="C9" s="404"/>
    </row>
    <row r="10" spans="1:7" s="15" customFormat="1" ht="57.75" customHeight="1" thickBot="1">
      <c r="A10" s="1027" t="s">
        <v>884</v>
      </c>
      <c r="B10" s="1028"/>
      <c r="C10" s="1029"/>
    </row>
    <row r="11" spans="1:7" s="377" customFormat="1" ht="15.75" thickBot="1">
      <c r="A11" s="400" t="s">
        <v>347</v>
      </c>
      <c r="B11" s="403"/>
      <c r="C11" s="404"/>
      <c r="G11" s="378"/>
    </row>
    <row r="12" spans="1:7">
      <c r="A12" s="44"/>
      <c r="B12" s="43"/>
      <c r="C12" s="96"/>
    </row>
    <row r="13" spans="1:7" s="377" customFormat="1">
      <c r="A13" s="721" t="s">
        <v>587</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30" t="s">
        <v>514</v>
      </c>
      <c r="C16" s="1031"/>
    </row>
    <row r="17" spans="1:3" s="15" customFormat="1" ht="15.75">
      <c r="A17" s="98"/>
      <c r="B17" s="70"/>
      <c r="C17" s="99"/>
    </row>
    <row r="18" spans="1:3">
      <c r="A18" s="95" t="s">
        <v>351</v>
      </c>
      <c r="B18" s="69" t="s">
        <v>363</v>
      </c>
      <c r="C18" s="100" t="s">
        <v>362</v>
      </c>
    </row>
    <row r="19" spans="1:3" s="333" customFormat="1">
      <c r="A19" s="367" t="s">
        <v>349</v>
      </c>
      <c r="B19" s="368" t="s">
        <v>632</v>
      </c>
      <c r="C19" s="369" t="s">
        <v>512</v>
      </c>
    </row>
    <row r="20" spans="1:3" s="333" customFormat="1">
      <c r="A20" s="370"/>
      <c r="B20" s="330"/>
      <c r="C20" s="371"/>
    </row>
    <row r="21" spans="1:3" s="333" customFormat="1">
      <c r="A21" s="372" t="s">
        <v>350</v>
      </c>
      <c r="B21" s="368" t="s">
        <v>509</v>
      </c>
      <c r="C21" s="369" t="s">
        <v>513</v>
      </c>
    </row>
    <row r="22" spans="1:3" s="333" customFormat="1">
      <c r="A22" s="373"/>
      <c r="B22" s="330"/>
      <c r="C22" s="371"/>
    </row>
    <row r="23" spans="1:3" s="333" customFormat="1" ht="30">
      <c r="A23" s="367" t="s">
        <v>431</v>
      </c>
      <c r="B23" s="439" t="s">
        <v>435</v>
      </c>
      <c r="C23" s="369" t="s">
        <v>510</v>
      </c>
    </row>
    <row r="24" spans="1:3" s="333" customFormat="1">
      <c r="A24" s="373"/>
      <c r="B24" s="330"/>
      <c r="C24" s="371"/>
    </row>
    <row r="25" spans="1:3" s="333" customFormat="1">
      <c r="A25" s="367" t="s">
        <v>433</v>
      </c>
      <c r="B25" s="368" t="s">
        <v>432</v>
      </c>
      <c r="C25" s="369" t="s">
        <v>511</v>
      </c>
    </row>
    <row r="26" spans="1:3" s="333" customFormat="1">
      <c r="A26" s="373"/>
      <c r="B26" s="330"/>
      <c r="C26" s="371"/>
    </row>
    <row r="27" spans="1:3" s="333" customFormat="1">
      <c r="A27" s="367" t="s">
        <v>404</v>
      </c>
      <c r="B27" s="368" t="s">
        <v>430</v>
      </c>
      <c r="C27" s="369"/>
    </row>
    <row r="28" spans="1:3" s="333" customFormat="1">
      <c r="A28" s="373"/>
      <c r="B28" s="330" t="s">
        <v>567</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463</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42"/>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633</v>
      </c>
      <c r="C6" s="411" t="s">
        <v>345</v>
      </c>
    </row>
    <row r="7" spans="1:3" s="327" customFormat="1">
      <c r="A7" s="412" t="s">
        <v>613</v>
      </c>
      <c r="B7" s="413" t="s">
        <v>578</v>
      </c>
      <c r="C7" s="414" t="s">
        <v>577</v>
      </c>
    </row>
    <row r="8" spans="1:3" s="327" customFormat="1">
      <c r="A8" s="441"/>
      <c r="B8" s="413"/>
      <c r="C8" s="414"/>
    </row>
    <row r="9" spans="1:3" ht="21">
      <c r="A9" s="126" t="s">
        <v>464</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32" t="s">
        <v>210</v>
      </c>
      <c r="B2" s="1032"/>
      <c r="C2" s="1032"/>
      <c r="D2" s="59"/>
      <c r="E2" s="59"/>
      <c r="F2" s="59"/>
      <c r="G2" s="59"/>
      <c r="H2" s="60"/>
      <c r="I2" s="60"/>
      <c r="J2" s="61"/>
      <c r="K2" s="61"/>
      <c r="L2" s="60"/>
      <c r="M2" s="60"/>
      <c r="N2" s="60"/>
      <c r="O2" s="60"/>
      <c r="P2" s="60"/>
      <c r="Q2" s="60"/>
      <c r="R2" s="60"/>
    </row>
    <row r="3" spans="1:19">
      <c r="A3" s="1033"/>
      <c r="B3" s="1033"/>
      <c r="C3" s="1033"/>
      <c r="D3" s="1033"/>
      <c r="E3" s="1033"/>
      <c r="F3" s="1033"/>
      <c r="G3" s="1033"/>
      <c r="H3" s="1033"/>
      <c r="I3" s="1033"/>
      <c r="J3" s="1033"/>
      <c r="K3" s="1033"/>
      <c r="L3" s="1033"/>
      <c r="M3" s="1033"/>
      <c r="N3" s="1033"/>
      <c r="O3" s="1033"/>
      <c r="P3" s="1033"/>
      <c r="Q3" s="1033"/>
      <c r="R3" s="1033"/>
    </row>
    <row r="4" spans="1:19" ht="15.75" thickBot="1">
      <c r="A4" s="443"/>
      <c r="B4" s="443"/>
      <c r="C4" s="63"/>
      <c r="D4" s="63"/>
      <c r="E4" s="63"/>
      <c r="F4" s="63"/>
      <c r="G4" s="63"/>
      <c r="H4" s="63"/>
      <c r="I4" s="63"/>
      <c r="J4" s="63"/>
      <c r="K4" s="63"/>
      <c r="L4" s="63"/>
      <c r="M4" s="63"/>
      <c r="N4" s="63"/>
      <c r="O4" s="63"/>
      <c r="P4" s="63"/>
      <c r="Q4" s="63"/>
      <c r="R4" s="63"/>
    </row>
    <row r="5" spans="1:19" ht="16.5" thickBot="1">
      <c r="A5" s="1034" t="s">
        <v>211</v>
      </c>
      <c r="B5" s="745"/>
      <c r="C5" s="1037" t="s">
        <v>330</v>
      </c>
      <c r="D5" s="1038"/>
      <c r="E5" s="1038"/>
      <c r="F5" s="1038"/>
      <c r="G5" s="1038"/>
      <c r="H5" s="1038"/>
      <c r="I5" s="1038"/>
      <c r="J5" s="1038"/>
      <c r="K5" s="1038"/>
      <c r="L5" s="1038"/>
      <c r="M5" s="1038"/>
      <c r="N5" s="1038"/>
      <c r="O5" s="1038"/>
      <c r="P5" s="1038"/>
      <c r="Q5" s="1038"/>
      <c r="R5" s="1039"/>
    </row>
    <row r="6" spans="1:19" ht="16.5" thickTop="1">
      <c r="A6" s="1035"/>
      <c r="B6" s="746"/>
      <c r="C6" s="1040" t="s">
        <v>20</v>
      </c>
      <c r="D6" s="1042" t="s">
        <v>189</v>
      </c>
      <c r="E6" s="1044" t="s">
        <v>190</v>
      </c>
      <c r="F6" s="1045"/>
      <c r="G6" s="1045"/>
      <c r="H6" s="1045"/>
      <c r="I6" s="1045"/>
      <c r="J6" s="1045"/>
      <c r="K6" s="1045"/>
      <c r="L6" s="1046"/>
      <c r="M6" s="1044" t="s">
        <v>191</v>
      </c>
      <c r="N6" s="1045"/>
      <c r="O6" s="1045"/>
      <c r="P6" s="1045"/>
      <c r="Q6" s="1045"/>
      <c r="R6" s="1047" t="s">
        <v>109</v>
      </c>
    </row>
    <row r="7" spans="1:19" ht="45.75" thickBot="1">
      <c r="A7" s="1036"/>
      <c r="B7" s="747"/>
      <c r="C7" s="1041"/>
      <c r="D7" s="1043"/>
      <c r="E7" s="936" t="s">
        <v>192</v>
      </c>
      <c r="F7" s="936" t="s">
        <v>193</v>
      </c>
      <c r="G7" s="64" t="s">
        <v>194</v>
      </c>
      <c r="H7" s="936" t="s">
        <v>195</v>
      </c>
      <c r="I7" s="936" t="s">
        <v>113</v>
      </c>
      <c r="J7" s="936" t="s">
        <v>196</v>
      </c>
      <c r="K7" s="440" t="s">
        <v>197</v>
      </c>
      <c r="L7" s="440" t="s">
        <v>198</v>
      </c>
      <c r="M7" s="64" t="s">
        <v>199</v>
      </c>
      <c r="N7" s="65" t="s">
        <v>200</v>
      </c>
      <c r="O7" s="65" t="s">
        <v>201</v>
      </c>
      <c r="P7" s="65" t="s">
        <v>202</v>
      </c>
      <c r="Q7" s="66" t="s">
        <v>203</v>
      </c>
      <c r="R7" s="1048"/>
    </row>
    <row r="8" spans="1:19" ht="18.75" customHeight="1" thickTop="1">
      <c r="A8" s="753" t="s">
        <v>331</v>
      </c>
      <c r="B8" s="758"/>
      <c r="C8" s="1053"/>
      <c r="D8" s="1053"/>
      <c r="E8" s="1053"/>
      <c r="F8" s="1053"/>
      <c r="G8" s="1053"/>
      <c r="H8" s="1053"/>
      <c r="I8" s="1053"/>
      <c r="J8" s="1053"/>
      <c r="K8" s="1053"/>
      <c r="L8" s="1053"/>
      <c r="M8" s="1053"/>
      <c r="N8" s="1053"/>
      <c r="O8" s="1053"/>
      <c r="P8" s="1053"/>
      <c r="Q8" s="1053"/>
      <c r="R8" s="303"/>
    </row>
    <row r="9" spans="1:19" s="444" customFormat="1">
      <c r="A9" s="754" t="s">
        <v>212</v>
      </c>
      <c r="B9" s="759"/>
      <c r="C9" s="640">
        <f>'Eigen gebouwen'!B15</f>
        <v>0</v>
      </c>
      <c r="D9" s="640">
        <f>'Eigen gebouwen'!C15</f>
        <v>0</v>
      </c>
      <c r="E9" s="640">
        <f>'Eigen gebouwen'!D15</f>
        <v>0</v>
      </c>
      <c r="F9" s="640">
        <f>'Eigen gebouwen'!E15</f>
        <v>0</v>
      </c>
      <c r="G9" s="640">
        <f>'Eigen gebouwen'!F15</f>
        <v>0</v>
      </c>
      <c r="H9" s="640">
        <f>'Eigen gebouwen'!G15</f>
        <v>0</v>
      </c>
      <c r="I9" s="640">
        <f>'Eigen gebouwen'!H15</f>
        <v>0</v>
      </c>
      <c r="J9" s="640">
        <f>'Eigen gebouwen'!I15</f>
        <v>0</v>
      </c>
      <c r="K9" s="640">
        <f>'Eigen gebouwen'!J15</f>
        <v>0</v>
      </c>
      <c r="L9" s="640">
        <f>'Eigen gebouwen'!K15</f>
        <v>0</v>
      </c>
      <c r="M9" s="640">
        <f>'Eigen gebouwen'!L15</f>
        <v>0</v>
      </c>
      <c r="N9" s="640">
        <f>'Eigen gebouwen'!M15</f>
        <v>0</v>
      </c>
      <c r="O9" s="640">
        <f>'Eigen gebouwen'!N15</f>
        <v>0</v>
      </c>
      <c r="P9" s="640">
        <f>'Eigen gebouwen'!O15</f>
        <v>0</v>
      </c>
      <c r="Q9" s="641">
        <f>'Eigen gebouwen'!P15</f>
        <v>0</v>
      </c>
      <c r="R9" s="642">
        <f>SUM(C9:Q9)</f>
        <v>0</v>
      </c>
      <c r="S9" s="67"/>
    </row>
    <row r="10" spans="1:19" s="444" customFormat="1">
      <c r="A10" s="755" t="s">
        <v>213</v>
      </c>
      <c r="B10" s="760"/>
      <c r="C10" s="640">
        <f ca="1">tertiair!B16+'openbare verlichting'!B8</f>
        <v>24007.110538775964</v>
      </c>
      <c r="D10" s="640">
        <f ca="1">tertiair!C16</f>
        <v>0</v>
      </c>
      <c r="E10" s="640">
        <f ca="1">tertiair!D16</f>
        <v>27409.283809412053</v>
      </c>
      <c r="F10" s="640">
        <f>tertiair!E16</f>
        <v>128.1033610042407</v>
      </c>
      <c r="G10" s="640">
        <f ca="1">tertiair!F16</f>
        <v>2745.2421420029495</v>
      </c>
      <c r="H10" s="640">
        <f>tertiair!G16</f>
        <v>0</v>
      </c>
      <c r="I10" s="640">
        <f>tertiair!H16</f>
        <v>0</v>
      </c>
      <c r="J10" s="640">
        <f>tertiair!I16</f>
        <v>0</v>
      </c>
      <c r="K10" s="640">
        <f>tertiair!J16</f>
        <v>86.390430826470961</v>
      </c>
      <c r="L10" s="640">
        <f>tertiair!K16</f>
        <v>0</v>
      </c>
      <c r="M10" s="640">
        <f ca="1">tertiair!L16</f>
        <v>0</v>
      </c>
      <c r="N10" s="640">
        <f>tertiair!M16</f>
        <v>0</v>
      </c>
      <c r="O10" s="640">
        <f ca="1">tertiair!N16</f>
        <v>1431.4283765596738</v>
      </c>
      <c r="P10" s="640">
        <f>tertiair!O16</f>
        <v>7.8166666666666664</v>
      </c>
      <c r="Q10" s="641">
        <f>tertiair!P16</f>
        <v>57.2</v>
      </c>
      <c r="R10" s="643">
        <f ca="1">SUM(C10:Q10)</f>
        <v>55872.575325248006</v>
      </c>
      <c r="S10" s="67"/>
    </row>
    <row r="11" spans="1:19" s="444" customFormat="1">
      <c r="A11" s="754" t="s">
        <v>214</v>
      </c>
      <c r="B11" s="759"/>
      <c r="C11" s="640">
        <f>huishoudens!B8</f>
        <v>53968.917498594717</v>
      </c>
      <c r="D11" s="640">
        <f>huishoudens!C8</f>
        <v>0</v>
      </c>
      <c r="E11" s="640">
        <f>huishoudens!D8</f>
        <v>85864.204440023634</v>
      </c>
      <c r="F11" s="640">
        <f>huishoudens!E8</f>
        <v>3286.9238810126503</v>
      </c>
      <c r="G11" s="640">
        <f>huishoudens!F8</f>
        <v>100729.33624856631</v>
      </c>
      <c r="H11" s="640">
        <f>huishoudens!G8</f>
        <v>0</v>
      </c>
      <c r="I11" s="640">
        <f>huishoudens!H8</f>
        <v>0</v>
      </c>
      <c r="J11" s="640">
        <f>huishoudens!I8</f>
        <v>0</v>
      </c>
      <c r="K11" s="640">
        <f>huishoudens!J8</f>
        <v>1907.6130588734791</v>
      </c>
      <c r="L11" s="640">
        <f>huishoudens!K8</f>
        <v>0</v>
      </c>
      <c r="M11" s="640">
        <f>huishoudens!L8</f>
        <v>0</v>
      </c>
      <c r="N11" s="640">
        <f>huishoudens!M8</f>
        <v>0</v>
      </c>
      <c r="O11" s="640">
        <f>huishoudens!N8</f>
        <v>17402.249409768185</v>
      </c>
      <c r="P11" s="640">
        <f>huishoudens!O8</f>
        <v>356.44</v>
      </c>
      <c r="Q11" s="641">
        <f>huishoudens!P8</f>
        <v>1144</v>
      </c>
      <c r="R11" s="643">
        <f>SUM(C11:Q11)</f>
        <v>264659.68453683902</v>
      </c>
      <c r="S11" s="67"/>
    </row>
    <row r="12" spans="1:19" s="444" customFormat="1">
      <c r="A12" s="754" t="s">
        <v>496</v>
      </c>
      <c r="B12" s="759"/>
      <c r="C12" s="640">
        <f>'Eigen openbare verlichting'!B15</f>
        <v>0</v>
      </c>
      <c r="D12" s="640"/>
      <c r="E12" s="640"/>
      <c r="F12" s="640"/>
      <c r="G12" s="640"/>
      <c r="H12" s="640"/>
      <c r="I12" s="640"/>
      <c r="J12" s="640"/>
      <c r="K12" s="640"/>
      <c r="L12" s="640"/>
      <c r="M12" s="640"/>
      <c r="N12" s="640"/>
      <c r="O12" s="640"/>
      <c r="P12" s="640"/>
      <c r="Q12" s="640"/>
      <c r="R12" s="643">
        <f>SUM(C12:Q12)</f>
        <v>0</v>
      </c>
      <c r="S12" s="67"/>
    </row>
    <row r="13" spans="1:19" s="444" customFormat="1">
      <c r="A13" s="754" t="s">
        <v>617</v>
      </c>
      <c r="B13" s="763" t="s">
        <v>615</v>
      </c>
      <c r="C13" s="640">
        <f>industrie!B18</f>
        <v>26460.692317563986</v>
      </c>
      <c r="D13" s="640">
        <f>industrie!C18</f>
        <v>0</v>
      </c>
      <c r="E13" s="640">
        <f>industrie!D18</f>
        <v>25493.056914581317</v>
      </c>
      <c r="F13" s="640">
        <f>industrie!E18</f>
        <v>2390.7804900065612</v>
      </c>
      <c r="G13" s="640">
        <f>industrie!F18</f>
        <v>30424.166454774975</v>
      </c>
      <c r="H13" s="640">
        <f>industrie!G18</f>
        <v>0</v>
      </c>
      <c r="I13" s="640">
        <f>industrie!H18</f>
        <v>0</v>
      </c>
      <c r="J13" s="640">
        <f>industrie!I18</f>
        <v>0</v>
      </c>
      <c r="K13" s="640">
        <f>industrie!J18</f>
        <v>14.390917698026566</v>
      </c>
      <c r="L13" s="640">
        <f>industrie!K18</f>
        <v>0</v>
      </c>
      <c r="M13" s="640">
        <f>industrie!L18</f>
        <v>0</v>
      </c>
      <c r="N13" s="640">
        <f>industrie!M18</f>
        <v>0</v>
      </c>
      <c r="O13" s="640">
        <f>industrie!N18</f>
        <v>5917.4261175992615</v>
      </c>
      <c r="P13" s="640">
        <f>industrie!O18</f>
        <v>0</v>
      </c>
      <c r="Q13" s="641">
        <f>industrie!P18</f>
        <v>0</v>
      </c>
      <c r="R13" s="643">
        <f>SUM(C13:Q13)</f>
        <v>90700.513212224119</v>
      </c>
      <c r="S13" s="67"/>
    </row>
    <row r="14" spans="1:19" s="444" customFormat="1">
      <c r="A14" s="754"/>
      <c r="B14" s="763" t="s">
        <v>616</v>
      </c>
      <c r="C14" s="640"/>
      <c r="D14" s="640"/>
      <c r="E14" s="640"/>
      <c r="F14" s="640"/>
      <c r="G14" s="640"/>
      <c r="H14" s="640"/>
      <c r="I14" s="640"/>
      <c r="J14" s="640"/>
      <c r="K14" s="640"/>
      <c r="L14" s="640"/>
      <c r="M14" s="640"/>
      <c r="N14" s="640"/>
      <c r="O14" s="640"/>
      <c r="P14" s="640"/>
      <c r="Q14" s="640"/>
      <c r="R14" s="643"/>
      <c r="S14" s="67"/>
    </row>
    <row r="15" spans="1:19" s="444" customFormat="1" ht="15" thickBot="1">
      <c r="A15" s="938" t="s">
        <v>804</v>
      </c>
      <c r="B15" s="939"/>
      <c r="C15" s="940"/>
      <c r="D15" s="940"/>
      <c r="E15" s="940"/>
      <c r="F15" s="940"/>
      <c r="G15" s="940"/>
      <c r="H15" s="940"/>
      <c r="I15" s="940"/>
      <c r="J15" s="940"/>
      <c r="K15" s="940"/>
      <c r="L15" s="940"/>
      <c r="M15" s="940"/>
      <c r="N15" s="940"/>
      <c r="O15" s="940"/>
      <c r="P15" s="940"/>
      <c r="Q15" s="941"/>
      <c r="R15" s="642"/>
      <c r="S15" s="67"/>
    </row>
    <row r="16" spans="1:19" s="444" customFormat="1" ht="15.75" thickBot="1">
      <c r="A16" s="644" t="s">
        <v>215</v>
      </c>
      <c r="B16" s="761"/>
      <c r="C16" s="675">
        <f ca="1">SUM(C9:C15)</f>
        <v>104436.72035493466</v>
      </c>
      <c r="D16" s="675">
        <f t="shared" ref="D16:R16" ca="1" si="0">SUM(D9:D15)</f>
        <v>0</v>
      </c>
      <c r="E16" s="675">
        <f t="shared" ca="1" si="0"/>
        <v>138766.54516401701</v>
      </c>
      <c r="F16" s="675">
        <f t="shared" si="0"/>
        <v>5805.8077320234524</v>
      </c>
      <c r="G16" s="675">
        <f t="shared" ca="1" si="0"/>
        <v>133898.74484534422</v>
      </c>
      <c r="H16" s="675">
        <f t="shared" si="0"/>
        <v>0</v>
      </c>
      <c r="I16" s="675">
        <f t="shared" si="0"/>
        <v>0</v>
      </c>
      <c r="J16" s="675">
        <f t="shared" si="0"/>
        <v>0</v>
      </c>
      <c r="K16" s="675">
        <f t="shared" si="0"/>
        <v>2008.3944073979767</v>
      </c>
      <c r="L16" s="675">
        <f t="shared" si="0"/>
        <v>0</v>
      </c>
      <c r="M16" s="675">
        <f t="shared" ca="1" si="0"/>
        <v>0</v>
      </c>
      <c r="N16" s="675">
        <f t="shared" si="0"/>
        <v>0</v>
      </c>
      <c r="O16" s="675">
        <f t="shared" ca="1" si="0"/>
        <v>24751.10390392712</v>
      </c>
      <c r="P16" s="675">
        <f t="shared" si="0"/>
        <v>364.25666666666666</v>
      </c>
      <c r="Q16" s="675">
        <f t="shared" si="0"/>
        <v>1201.2</v>
      </c>
      <c r="R16" s="675">
        <f t="shared" ca="1" si="0"/>
        <v>411232.77307431115</v>
      </c>
      <c r="S16" s="67"/>
    </row>
    <row r="17" spans="1:19" s="444" customFormat="1" ht="15.75">
      <c r="A17" s="756" t="s">
        <v>216</v>
      </c>
      <c r="B17" s="679"/>
      <c r="C17" s="1054"/>
      <c r="D17" s="1054"/>
      <c r="E17" s="1054"/>
      <c r="F17" s="1054"/>
      <c r="G17" s="1054"/>
      <c r="H17" s="1054"/>
      <c r="I17" s="1054"/>
      <c r="J17" s="1054"/>
      <c r="K17" s="1054"/>
      <c r="L17" s="1054"/>
      <c r="M17" s="1054"/>
      <c r="N17" s="1054"/>
      <c r="O17" s="1054"/>
      <c r="P17" s="1054"/>
      <c r="Q17" s="1054"/>
      <c r="R17" s="645"/>
      <c r="S17" s="67"/>
    </row>
    <row r="18" spans="1:19" s="444" customFormat="1">
      <c r="A18" s="754" t="s">
        <v>217</v>
      </c>
      <c r="B18" s="759"/>
      <c r="C18" s="640">
        <f>'Eigen vloot'!B27</f>
        <v>0</v>
      </c>
      <c r="D18" s="640">
        <f>'Eigen vloot'!C27</f>
        <v>0</v>
      </c>
      <c r="E18" s="640">
        <f>'Eigen vloot'!D27</f>
        <v>0</v>
      </c>
      <c r="F18" s="640">
        <f>'Eigen vloot'!E27</f>
        <v>0</v>
      </c>
      <c r="G18" s="640">
        <f>'Eigen vloot'!F27</f>
        <v>0</v>
      </c>
      <c r="H18" s="640">
        <f>'Eigen vloot'!G27</f>
        <v>0</v>
      </c>
      <c r="I18" s="640">
        <f>'Eigen vloot'!H27</f>
        <v>0</v>
      </c>
      <c r="J18" s="640">
        <f>'Eigen vloot'!I27</f>
        <v>0</v>
      </c>
      <c r="K18" s="640">
        <f>'Eigen vloot'!J27</f>
        <v>0</v>
      </c>
      <c r="L18" s="640">
        <f>'Eigen vloot'!K27</f>
        <v>0</v>
      </c>
      <c r="M18" s="640">
        <f>'Eigen vloot'!L27</f>
        <v>0</v>
      </c>
      <c r="N18" s="640">
        <f>'Eigen vloot'!M27</f>
        <v>0</v>
      </c>
      <c r="O18" s="640">
        <f>'Eigen vloot'!N27</f>
        <v>0</v>
      </c>
      <c r="P18" s="640">
        <f>'Eigen vloot'!O27</f>
        <v>0</v>
      </c>
      <c r="Q18" s="641">
        <f>'Eigen vloot'!P27</f>
        <v>0</v>
      </c>
      <c r="R18" s="643">
        <f>SUM(C18:Q18)</f>
        <v>0</v>
      </c>
      <c r="S18" s="67"/>
    </row>
    <row r="19" spans="1:19" s="444" customFormat="1">
      <c r="A19" s="754" t="s">
        <v>218</v>
      </c>
      <c r="B19" s="759"/>
      <c r="C19" s="640">
        <f>transport!B54</f>
        <v>9.7011304000574476</v>
      </c>
      <c r="D19" s="640">
        <f>transport!C54</f>
        <v>0</v>
      </c>
      <c r="E19" s="640">
        <f>transport!D54</f>
        <v>0</v>
      </c>
      <c r="F19" s="640">
        <f>transport!E54</f>
        <v>0</v>
      </c>
      <c r="G19" s="640">
        <f>transport!F54</f>
        <v>0</v>
      </c>
      <c r="H19" s="640">
        <f>transport!G54</f>
        <v>1888.2701395625004</v>
      </c>
      <c r="I19" s="640">
        <f>transport!H54</f>
        <v>0</v>
      </c>
      <c r="J19" s="640">
        <f>transport!I54</f>
        <v>0</v>
      </c>
      <c r="K19" s="640">
        <f>transport!J54</f>
        <v>0</v>
      </c>
      <c r="L19" s="640">
        <f>transport!K54</f>
        <v>0</v>
      </c>
      <c r="M19" s="640">
        <f>transport!L54</f>
        <v>0</v>
      </c>
      <c r="N19" s="640">
        <f>transport!M54</f>
        <v>84.671619705899488</v>
      </c>
      <c r="O19" s="640">
        <f>transport!N54</f>
        <v>0</v>
      </c>
      <c r="P19" s="640">
        <f>transport!O54</f>
        <v>0</v>
      </c>
      <c r="Q19" s="641">
        <f>transport!P54</f>
        <v>0</v>
      </c>
      <c r="R19" s="643">
        <f>SUM(C19:Q19)</f>
        <v>1982.6428896684574</v>
      </c>
      <c r="S19" s="67"/>
    </row>
    <row r="20" spans="1:19" s="444" customFormat="1">
      <c r="A20" s="754" t="s">
        <v>296</v>
      </c>
      <c r="B20" s="759"/>
      <c r="C20" s="640">
        <f>transport!B14</f>
        <v>12.503911043216185</v>
      </c>
      <c r="D20" s="640">
        <f>transport!C14</f>
        <v>0</v>
      </c>
      <c r="E20" s="640">
        <f>transport!D14</f>
        <v>14.027480688952203</v>
      </c>
      <c r="F20" s="640">
        <f>transport!E14</f>
        <v>493.51924302382116</v>
      </c>
      <c r="G20" s="640">
        <f>transport!F14</f>
        <v>0</v>
      </c>
      <c r="H20" s="640">
        <f>transport!G14</f>
        <v>134098.65319502421</v>
      </c>
      <c r="I20" s="640">
        <f>transport!H14</f>
        <v>25245.742519075346</v>
      </c>
      <c r="J20" s="640">
        <f>transport!I14</f>
        <v>0</v>
      </c>
      <c r="K20" s="640">
        <f>transport!J14</f>
        <v>0</v>
      </c>
      <c r="L20" s="640">
        <f>transport!K14</f>
        <v>0</v>
      </c>
      <c r="M20" s="640">
        <f>transport!L14</f>
        <v>0</v>
      </c>
      <c r="N20" s="640">
        <f>transport!M14</f>
        <v>7205.5147880286513</v>
      </c>
      <c r="O20" s="640">
        <f>transport!N14</f>
        <v>0</v>
      </c>
      <c r="P20" s="640">
        <f>transport!O14</f>
        <v>0</v>
      </c>
      <c r="Q20" s="641">
        <f>transport!P14</f>
        <v>0</v>
      </c>
      <c r="R20" s="643">
        <f>SUM(C20:Q20)</f>
        <v>167069.96113688417</v>
      </c>
      <c r="S20" s="67"/>
    </row>
    <row r="21" spans="1:19" s="444" customFormat="1" ht="15" thickBot="1">
      <c r="A21" s="776" t="s">
        <v>805</v>
      </c>
      <c r="B21" s="939"/>
      <c r="C21" s="940"/>
      <c r="D21" s="940"/>
      <c r="E21" s="940"/>
      <c r="F21" s="940"/>
      <c r="G21" s="940"/>
      <c r="H21" s="940"/>
      <c r="I21" s="940"/>
      <c r="J21" s="940"/>
      <c r="K21" s="940"/>
      <c r="L21" s="940"/>
      <c r="M21" s="940"/>
      <c r="N21" s="940"/>
      <c r="O21" s="940"/>
      <c r="P21" s="940"/>
      <c r="Q21" s="941"/>
      <c r="R21" s="642"/>
      <c r="S21" s="67"/>
    </row>
    <row r="22" spans="1:19" s="444" customFormat="1" ht="15.75" thickBot="1">
      <c r="A22" s="648" t="s">
        <v>219</v>
      </c>
      <c r="B22" s="762"/>
      <c r="C22" s="757">
        <f>SUM(C18:C21)</f>
        <v>22.205041443273632</v>
      </c>
      <c r="D22" s="757">
        <f t="shared" ref="D22:R22" si="1">SUM(D18:D21)</f>
        <v>0</v>
      </c>
      <c r="E22" s="757">
        <f t="shared" si="1"/>
        <v>14.027480688952203</v>
      </c>
      <c r="F22" s="757">
        <f t="shared" si="1"/>
        <v>493.51924302382116</v>
      </c>
      <c r="G22" s="757">
        <f t="shared" si="1"/>
        <v>0</v>
      </c>
      <c r="H22" s="757">
        <f t="shared" si="1"/>
        <v>135986.9233345867</v>
      </c>
      <c r="I22" s="757">
        <f t="shared" si="1"/>
        <v>25245.742519075346</v>
      </c>
      <c r="J22" s="757">
        <f t="shared" si="1"/>
        <v>0</v>
      </c>
      <c r="K22" s="757">
        <f t="shared" si="1"/>
        <v>0</v>
      </c>
      <c r="L22" s="757">
        <f t="shared" si="1"/>
        <v>0</v>
      </c>
      <c r="M22" s="757">
        <f t="shared" si="1"/>
        <v>0</v>
      </c>
      <c r="N22" s="757">
        <f t="shared" si="1"/>
        <v>7290.1864077345508</v>
      </c>
      <c r="O22" s="757">
        <f t="shared" si="1"/>
        <v>0</v>
      </c>
      <c r="P22" s="757">
        <f t="shared" si="1"/>
        <v>0</v>
      </c>
      <c r="Q22" s="757">
        <f t="shared" si="1"/>
        <v>0</v>
      </c>
      <c r="R22" s="757">
        <f t="shared" si="1"/>
        <v>169052.60402655264</v>
      </c>
      <c r="S22" s="67"/>
    </row>
    <row r="23" spans="1:19" s="444" customFormat="1" ht="15.75">
      <c r="A23" s="756" t="s">
        <v>226</v>
      </c>
      <c r="B23" s="679"/>
      <c r="C23" s="1054"/>
      <c r="D23" s="1054"/>
      <c r="E23" s="1054"/>
      <c r="F23" s="1054"/>
      <c r="G23" s="1054"/>
      <c r="H23" s="1054"/>
      <c r="I23" s="1054"/>
      <c r="J23" s="1054"/>
      <c r="K23" s="1054"/>
      <c r="L23" s="1054"/>
      <c r="M23" s="1054"/>
      <c r="N23" s="1054"/>
      <c r="O23" s="1054"/>
      <c r="P23" s="1054"/>
      <c r="Q23" s="1054"/>
      <c r="R23" s="645"/>
      <c r="S23" s="67"/>
    </row>
    <row r="24" spans="1:19" s="444" customFormat="1">
      <c r="A24" s="754" t="s">
        <v>611</v>
      </c>
      <c r="B24" s="759"/>
      <c r="C24" s="640">
        <f>+landbouw!B8</f>
        <v>4743.5749554210652</v>
      </c>
      <c r="D24" s="640">
        <f>+landbouw!C8</f>
        <v>25120.928571428569</v>
      </c>
      <c r="E24" s="640">
        <f>+landbouw!D8</f>
        <v>326.23483309764521</v>
      </c>
      <c r="F24" s="640">
        <f>+landbouw!E8</f>
        <v>98.498959054755062</v>
      </c>
      <c r="G24" s="640">
        <f>+landbouw!F8</f>
        <v>16763.914934635715</v>
      </c>
      <c r="H24" s="640">
        <f>+landbouw!G8</f>
        <v>0</v>
      </c>
      <c r="I24" s="640">
        <f>+landbouw!H8</f>
        <v>0</v>
      </c>
      <c r="J24" s="640">
        <f>+landbouw!I8</f>
        <v>0</v>
      </c>
      <c r="K24" s="640">
        <f>+landbouw!J8</f>
        <v>544.05804508006304</v>
      </c>
      <c r="L24" s="640">
        <f>+landbouw!K8</f>
        <v>0</v>
      </c>
      <c r="M24" s="640">
        <f>+landbouw!L8</f>
        <v>0</v>
      </c>
      <c r="N24" s="640">
        <f>+landbouw!M8</f>
        <v>0</v>
      </c>
      <c r="O24" s="640">
        <f>+landbouw!N8</f>
        <v>0</v>
      </c>
      <c r="P24" s="640">
        <f>+landbouw!O8</f>
        <v>0</v>
      </c>
      <c r="Q24" s="641">
        <f>+landbouw!P8</f>
        <v>0</v>
      </c>
      <c r="R24" s="643">
        <f>SUM(C24:Q24)</f>
        <v>47597.210298717815</v>
      </c>
      <c r="S24" s="67"/>
    </row>
    <row r="25" spans="1:19" s="444" customFormat="1" ht="15" thickBot="1">
      <c r="A25" s="776" t="s">
        <v>806</v>
      </c>
      <c r="B25" s="939"/>
      <c r="C25" s="940">
        <f>IF(Onbekend_ele_kWh="---",0,Onbekend_ele_kWh)/1000+IF(REST_rest_ele_kWh="---",0,REST_rest_ele_kWh)/1000</f>
        <v>1778.4276558318102</v>
      </c>
      <c r="D25" s="940"/>
      <c r="E25" s="940">
        <f>IF(onbekend_gas_kWh="---",0,onbekend_gas_kWh)/1000+IF(REST_rest_gas_kWh="---",0,REST_rest_gas_kWh)/1000</f>
        <v>3382.9977230424929</v>
      </c>
      <c r="F25" s="940"/>
      <c r="G25" s="940"/>
      <c r="H25" s="940"/>
      <c r="I25" s="940"/>
      <c r="J25" s="940"/>
      <c r="K25" s="940"/>
      <c r="L25" s="940"/>
      <c r="M25" s="940"/>
      <c r="N25" s="940"/>
      <c r="O25" s="940"/>
      <c r="P25" s="940"/>
      <c r="Q25" s="941"/>
      <c r="R25" s="643">
        <f>SUM(C25:Q25)</f>
        <v>5161.4253788743026</v>
      </c>
      <c r="S25" s="67"/>
    </row>
    <row r="26" spans="1:19" s="444" customFormat="1" ht="15.75" thickBot="1">
      <c r="A26" s="648" t="s">
        <v>807</v>
      </c>
      <c r="B26" s="762"/>
      <c r="C26" s="757">
        <f>SUM(C24:C25)</f>
        <v>6522.0026112528758</v>
      </c>
      <c r="D26" s="757">
        <f t="shared" ref="D26:R26" si="2">SUM(D24:D25)</f>
        <v>25120.928571428569</v>
      </c>
      <c r="E26" s="757">
        <f t="shared" si="2"/>
        <v>3709.2325561401381</v>
      </c>
      <c r="F26" s="757">
        <f t="shared" si="2"/>
        <v>98.498959054755062</v>
      </c>
      <c r="G26" s="757">
        <f t="shared" si="2"/>
        <v>16763.914934635715</v>
      </c>
      <c r="H26" s="757">
        <f t="shared" si="2"/>
        <v>0</v>
      </c>
      <c r="I26" s="757">
        <f t="shared" si="2"/>
        <v>0</v>
      </c>
      <c r="J26" s="757">
        <f t="shared" si="2"/>
        <v>0</v>
      </c>
      <c r="K26" s="757">
        <f t="shared" si="2"/>
        <v>544.05804508006304</v>
      </c>
      <c r="L26" s="757">
        <f t="shared" si="2"/>
        <v>0</v>
      </c>
      <c r="M26" s="757">
        <f t="shared" si="2"/>
        <v>0</v>
      </c>
      <c r="N26" s="757">
        <f t="shared" si="2"/>
        <v>0</v>
      </c>
      <c r="O26" s="757">
        <f t="shared" si="2"/>
        <v>0</v>
      </c>
      <c r="P26" s="757">
        <f t="shared" si="2"/>
        <v>0</v>
      </c>
      <c r="Q26" s="757">
        <f t="shared" si="2"/>
        <v>0</v>
      </c>
      <c r="R26" s="757">
        <f t="shared" si="2"/>
        <v>52758.635677592116</v>
      </c>
      <c r="S26" s="67"/>
    </row>
    <row r="27" spans="1:19" s="444" customFormat="1" ht="17.25" thickTop="1" thickBot="1">
      <c r="A27" s="649" t="s">
        <v>109</v>
      </c>
      <c r="B27" s="749"/>
      <c r="C27" s="650">
        <f ca="1">C22+C16+C26</f>
        <v>110980.92800763081</v>
      </c>
      <c r="D27" s="650">
        <f t="shared" ref="D27:R27" ca="1" si="3">D22+D16+D26</f>
        <v>25120.928571428569</v>
      </c>
      <c r="E27" s="650">
        <f t="shared" ca="1" si="3"/>
        <v>142489.80520084611</v>
      </c>
      <c r="F27" s="650">
        <f t="shared" si="3"/>
        <v>6397.8259341020284</v>
      </c>
      <c r="G27" s="650">
        <f t="shared" ca="1" si="3"/>
        <v>150662.65977997993</v>
      </c>
      <c r="H27" s="650">
        <f t="shared" si="3"/>
        <v>135986.9233345867</v>
      </c>
      <c r="I27" s="650">
        <f t="shared" si="3"/>
        <v>25245.742519075346</v>
      </c>
      <c r="J27" s="650">
        <f t="shared" si="3"/>
        <v>0</v>
      </c>
      <c r="K27" s="650">
        <f t="shared" si="3"/>
        <v>2552.45245247804</v>
      </c>
      <c r="L27" s="650">
        <f t="shared" si="3"/>
        <v>0</v>
      </c>
      <c r="M27" s="650">
        <f t="shared" ca="1" si="3"/>
        <v>0</v>
      </c>
      <c r="N27" s="650">
        <f t="shared" si="3"/>
        <v>7290.1864077345508</v>
      </c>
      <c r="O27" s="650">
        <f t="shared" ca="1" si="3"/>
        <v>24751.10390392712</v>
      </c>
      <c r="P27" s="650">
        <f t="shared" si="3"/>
        <v>364.25666666666666</v>
      </c>
      <c r="Q27" s="650">
        <f t="shared" si="3"/>
        <v>1201.2</v>
      </c>
      <c r="R27" s="650">
        <f t="shared" ca="1" si="3"/>
        <v>633044.01277845586</v>
      </c>
      <c r="S27" s="67"/>
    </row>
    <row r="28" spans="1:19" ht="15.75" customHeight="1" thickBot="1">
      <c r="A28" s="651"/>
      <c r="B28" s="651"/>
      <c r="C28" s="652"/>
      <c r="D28" s="652"/>
      <c r="E28" s="652"/>
      <c r="F28" s="652"/>
      <c r="G28" s="652"/>
      <c r="H28" s="652"/>
      <c r="I28" s="652"/>
      <c r="J28" s="652"/>
      <c r="K28" s="652"/>
      <c r="L28" s="652"/>
      <c r="M28" s="652"/>
      <c r="N28" s="652"/>
      <c r="O28" s="652"/>
      <c r="P28" s="652"/>
      <c r="Q28" s="652"/>
      <c r="R28" s="652"/>
    </row>
    <row r="29" spans="1:19" ht="41.25" customHeight="1" thickTop="1" thickBot="1">
      <c r="A29" s="653" t="s">
        <v>332</v>
      </c>
      <c r="B29" s="653"/>
      <c r="C29" s="654">
        <f>'EF ele_warmte'!B5</f>
        <v>0</v>
      </c>
      <c r="D29" s="655"/>
      <c r="E29" s="656"/>
      <c r="F29" s="655"/>
      <c r="G29" s="655"/>
      <c r="H29" s="655"/>
      <c r="I29" s="655"/>
      <c r="J29" s="655"/>
      <c r="K29" s="655"/>
      <c r="L29" s="655"/>
      <c r="M29" s="655"/>
      <c r="N29" s="655"/>
      <c r="O29" s="655"/>
      <c r="P29" s="655"/>
      <c r="Q29" s="655"/>
      <c r="R29" s="655"/>
    </row>
    <row r="30" spans="1:19" ht="31.5" thickTop="1" thickBot="1">
      <c r="A30" s="657" t="s">
        <v>333</v>
      </c>
      <c r="B30" s="657"/>
      <c r="C30" s="658" t="s">
        <v>204</v>
      </c>
      <c r="D30" s="659"/>
      <c r="E30" s="659"/>
      <c r="F30" s="659"/>
      <c r="G30" s="659"/>
      <c r="H30" s="660"/>
      <c r="I30" s="661"/>
      <c r="J30" s="661"/>
      <c r="K30" s="661"/>
      <c r="L30" s="661"/>
      <c r="M30" s="661"/>
      <c r="N30" s="661"/>
      <c r="O30" s="661"/>
      <c r="P30" s="661"/>
      <c r="Q30" s="661"/>
      <c r="R30" s="661"/>
    </row>
    <row r="31" spans="1:19" ht="15" thickTop="1">
      <c r="A31" s="1055"/>
      <c r="B31" s="1055"/>
      <c r="C31" s="1055"/>
      <c r="D31" s="662"/>
      <c r="E31" s="661"/>
      <c r="F31" s="661"/>
      <c r="G31" s="661"/>
      <c r="H31" s="661"/>
      <c r="I31" s="661"/>
      <c r="J31" s="661"/>
      <c r="K31" s="661"/>
      <c r="L31" s="661"/>
      <c r="M31" s="661"/>
      <c r="N31" s="661"/>
      <c r="O31" s="661"/>
      <c r="P31" s="661"/>
      <c r="Q31" s="661"/>
      <c r="R31" s="661"/>
    </row>
    <row r="32" spans="1:19" ht="15.75">
      <c r="A32" s="663" t="s">
        <v>220</v>
      </c>
      <c r="B32" s="663"/>
      <c r="C32" s="662"/>
      <c r="D32" s="662"/>
      <c r="E32" s="661"/>
      <c r="F32" s="661"/>
      <c r="G32" s="661"/>
      <c r="H32" s="661"/>
      <c r="I32" s="661"/>
      <c r="J32" s="661"/>
      <c r="K32" s="661"/>
      <c r="L32" s="661"/>
      <c r="M32" s="661"/>
      <c r="N32" s="661"/>
      <c r="O32" s="661"/>
      <c r="P32" s="661"/>
      <c r="Q32" s="661"/>
      <c r="R32" s="661"/>
    </row>
    <row r="33" spans="1:18">
      <c r="A33" s="1056"/>
      <c r="B33" s="1056"/>
      <c r="C33" s="1056"/>
      <c r="D33" s="1056"/>
      <c r="E33" s="1056"/>
      <c r="F33" s="1056"/>
      <c r="G33" s="1056"/>
      <c r="H33" s="1056"/>
      <c r="I33" s="1056"/>
      <c r="J33" s="1056"/>
      <c r="K33" s="1056"/>
      <c r="L33" s="1056"/>
      <c r="M33" s="1056"/>
      <c r="N33" s="1056"/>
      <c r="O33" s="1056"/>
      <c r="P33" s="1056"/>
      <c r="Q33" s="1056"/>
      <c r="R33" s="1056"/>
    </row>
    <row r="34" spans="1:18" ht="15.75" thickBot="1">
      <c r="A34" s="664"/>
      <c r="B34" s="664"/>
      <c r="C34" s="665"/>
      <c r="D34" s="665"/>
      <c r="E34" s="665"/>
      <c r="F34" s="665"/>
      <c r="G34" s="665"/>
      <c r="H34" s="665"/>
      <c r="I34" s="665"/>
      <c r="J34" s="665"/>
      <c r="K34" s="665"/>
      <c r="L34" s="665"/>
      <c r="M34" s="665"/>
      <c r="N34" s="665"/>
      <c r="O34" s="665"/>
      <c r="P34" s="665"/>
      <c r="Q34" s="665"/>
      <c r="R34" s="665"/>
    </row>
    <row r="35" spans="1:18" ht="17.25" thickTop="1" thickBot="1">
      <c r="A35" s="1057"/>
      <c r="B35" s="764"/>
      <c r="C35" s="1059" t="s">
        <v>334</v>
      </c>
      <c r="D35" s="1060"/>
      <c r="E35" s="1060"/>
      <c r="F35" s="1060"/>
      <c r="G35" s="1060"/>
      <c r="H35" s="1060"/>
      <c r="I35" s="1060"/>
      <c r="J35" s="1060"/>
      <c r="K35" s="1060"/>
      <c r="L35" s="1060"/>
      <c r="M35" s="1060"/>
      <c r="N35" s="1060"/>
      <c r="O35" s="1060"/>
      <c r="P35" s="1060"/>
      <c r="Q35" s="1060"/>
      <c r="R35" s="1061"/>
    </row>
    <row r="36" spans="1:18" ht="16.5" thickTop="1">
      <c r="A36" s="1058"/>
      <c r="B36" s="765"/>
      <c r="C36" s="1062" t="s">
        <v>20</v>
      </c>
      <c r="D36" s="1064" t="s">
        <v>221</v>
      </c>
      <c r="E36" s="1066" t="s">
        <v>190</v>
      </c>
      <c r="F36" s="1067"/>
      <c r="G36" s="1067"/>
      <c r="H36" s="1067"/>
      <c r="I36" s="1067"/>
      <c r="J36" s="1067"/>
      <c r="K36" s="1067"/>
      <c r="L36" s="1068"/>
      <c r="M36" s="1066" t="s">
        <v>191</v>
      </c>
      <c r="N36" s="1067"/>
      <c r="O36" s="1067"/>
      <c r="P36" s="1067"/>
      <c r="Q36" s="1067"/>
      <c r="R36" s="1069" t="s">
        <v>109</v>
      </c>
    </row>
    <row r="37" spans="1:18" ht="45.75" thickBot="1">
      <c r="A37" s="1058"/>
      <c r="B37" s="765"/>
      <c r="C37" s="1063"/>
      <c r="D37" s="1065"/>
      <c r="E37" s="666" t="s">
        <v>192</v>
      </c>
      <c r="F37" s="666" t="s">
        <v>193</v>
      </c>
      <c r="G37" s="666" t="s">
        <v>194</v>
      </c>
      <c r="H37" s="666" t="s">
        <v>195</v>
      </c>
      <c r="I37" s="666" t="s">
        <v>113</v>
      </c>
      <c r="J37" s="666" t="s">
        <v>196</v>
      </c>
      <c r="K37" s="667" t="s">
        <v>222</v>
      </c>
      <c r="L37" s="667" t="s">
        <v>198</v>
      </c>
      <c r="M37" s="64" t="s">
        <v>199</v>
      </c>
      <c r="N37" s="65" t="s">
        <v>200</v>
      </c>
      <c r="O37" s="666" t="s">
        <v>223</v>
      </c>
      <c r="P37" s="666" t="s">
        <v>224</v>
      </c>
      <c r="Q37" s="667" t="s">
        <v>203</v>
      </c>
      <c r="R37" s="1070"/>
    </row>
    <row r="38" spans="1:18" ht="17.25" thickTop="1" thickBot="1">
      <c r="A38" s="777" t="s">
        <v>331</v>
      </c>
      <c r="B38" s="778"/>
      <c r="C38" s="668" t="s">
        <v>225</v>
      </c>
      <c r="D38" s="669"/>
      <c r="E38" s="670"/>
      <c r="F38" s="670"/>
      <c r="G38" s="670"/>
      <c r="H38" s="670"/>
      <c r="I38" s="670"/>
      <c r="J38" s="670"/>
      <c r="K38" s="670"/>
      <c r="L38" s="670"/>
      <c r="M38" s="942"/>
      <c r="N38" s="942"/>
      <c r="O38" s="670"/>
      <c r="P38" s="942"/>
      <c r="Q38" s="671"/>
      <c r="R38" s="672"/>
    </row>
    <row r="39" spans="1:18" ht="15" thickTop="1">
      <c r="A39" s="750" t="s">
        <v>212</v>
      </c>
      <c r="B39" s="774"/>
      <c r="C39" s="640">
        <f ca="1">'Eigen gebouwen'!B19</f>
        <v>0</v>
      </c>
      <c r="D39" s="640">
        <f ca="1">'Eigen gebouwen'!C19</f>
        <v>0</v>
      </c>
      <c r="E39" s="640">
        <f>'Eigen gebouwen'!D19</f>
        <v>0</v>
      </c>
      <c r="F39" s="640">
        <f>'Eigen gebouwen'!E19</f>
        <v>0</v>
      </c>
      <c r="G39" s="640">
        <f>'Eigen gebouwen'!F19</f>
        <v>0</v>
      </c>
      <c r="H39" s="640">
        <f>'Eigen gebouwen'!G19</f>
        <v>0</v>
      </c>
      <c r="I39" s="640">
        <f>'Eigen gebouwen'!H19</f>
        <v>0</v>
      </c>
      <c r="J39" s="640">
        <f>'Eigen gebouwen'!I19</f>
        <v>0</v>
      </c>
      <c r="K39" s="640">
        <f>'Eigen gebouwen'!J19</f>
        <v>0</v>
      </c>
      <c r="L39" s="640">
        <f>'Eigen gebouwen'!K19</f>
        <v>0</v>
      </c>
      <c r="M39" s="640">
        <f>'Eigen gebouwen'!L19</f>
        <v>0</v>
      </c>
      <c r="N39" s="640">
        <f>'Eigen gebouwen'!M19</f>
        <v>0</v>
      </c>
      <c r="O39" s="640">
        <f>'Eigen gebouwen'!N19</f>
        <v>0</v>
      </c>
      <c r="P39" s="640">
        <f>'Eigen gebouwen'!O19</f>
        <v>0</v>
      </c>
      <c r="Q39" s="717">
        <f>'Eigen gebouwen'!P19</f>
        <v>0</v>
      </c>
      <c r="R39" s="943">
        <f t="shared" ref="R39:R44" ca="1" si="4">SUM(C39:Q39)</f>
        <v>0</v>
      </c>
    </row>
    <row r="40" spans="1:18">
      <c r="A40" s="755" t="s">
        <v>213</v>
      </c>
      <c r="B40" s="775"/>
      <c r="C40" s="640">
        <f ca="1">tertiair!B20+'openbare verlichting'!B12</f>
        <v>4182.1019865834051</v>
      </c>
      <c r="D40" s="640">
        <f ca="1">tertiair!C20</f>
        <v>0</v>
      </c>
      <c r="E40" s="640">
        <f ca="1">tertiair!D20</f>
        <v>5536.675329501235</v>
      </c>
      <c r="F40" s="640">
        <f>tertiair!E20</f>
        <v>29.079462947962639</v>
      </c>
      <c r="G40" s="640">
        <f ca="1">tertiair!F20</f>
        <v>732.97965191478761</v>
      </c>
      <c r="H40" s="640">
        <f>tertiair!G20</f>
        <v>0</v>
      </c>
      <c r="I40" s="640">
        <f>tertiair!H20</f>
        <v>0</v>
      </c>
      <c r="J40" s="640">
        <f>tertiair!I20</f>
        <v>0</v>
      </c>
      <c r="K40" s="640">
        <f>tertiair!J20</f>
        <v>30.58221251257072</v>
      </c>
      <c r="L40" s="640">
        <f>tertiair!K20</f>
        <v>0</v>
      </c>
      <c r="M40" s="640">
        <f ca="1">tertiair!L20</f>
        <v>0</v>
      </c>
      <c r="N40" s="640">
        <f>tertiair!M20</f>
        <v>0</v>
      </c>
      <c r="O40" s="640">
        <f ca="1">tertiair!N20</f>
        <v>0</v>
      </c>
      <c r="P40" s="640">
        <f>tertiair!O20</f>
        <v>0</v>
      </c>
      <c r="Q40" s="717">
        <f>tertiair!P20</f>
        <v>0</v>
      </c>
      <c r="R40" s="795">
        <f t="shared" ca="1" si="4"/>
        <v>10511.418643459961</v>
      </c>
    </row>
    <row r="41" spans="1:18">
      <c r="A41" s="767" t="s">
        <v>214</v>
      </c>
      <c r="B41" s="774"/>
      <c r="C41" s="640">
        <f ca="1">huishoudens!B12</f>
        <v>9401.5277981944364</v>
      </c>
      <c r="D41" s="640">
        <f ca="1">huishoudens!C12</f>
        <v>0</v>
      </c>
      <c r="E41" s="640">
        <f>huishoudens!D12</f>
        <v>17344.569296884776</v>
      </c>
      <c r="F41" s="640">
        <f>huishoudens!E12</f>
        <v>746.13172098987161</v>
      </c>
      <c r="G41" s="640">
        <f>huishoudens!F12</f>
        <v>26894.732778367204</v>
      </c>
      <c r="H41" s="640">
        <f>huishoudens!G12</f>
        <v>0</v>
      </c>
      <c r="I41" s="640">
        <f>huishoudens!H12</f>
        <v>0</v>
      </c>
      <c r="J41" s="640">
        <f>huishoudens!I12</f>
        <v>0</v>
      </c>
      <c r="K41" s="640">
        <f>huishoudens!J12</f>
        <v>675.29502284121156</v>
      </c>
      <c r="L41" s="640">
        <f>huishoudens!K12</f>
        <v>0</v>
      </c>
      <c r="M41" s="640">
        <f>huishoudens!L12</f>
        <v>0</v>
      </c>
      <c r="N41" s="640">
        <f>huishoudens!M12</f>
        <v>0</v>
      </c>
      <c r="O41" s="640">
        <f>huishoudens!N12</f>
        <v>0</v>
      </c>
      <c r="P41" s="640">
        <f>huishoudens!O12</f>
        <v>0</v>
      </c>
      <c r="Q41" s="717">
        <f>huishoudens!P12</f>
        <v>0</v>
      </c>
      <c r="R41" s="795">
        <f t="shared" ca="1" si="4"/>
        <v>55062.256617277497</v>
      </c>
    </row>
    <row r="42" spans="1:18">
      <c r="A42" s="767" t="s">
        <v>496</v>
      </c>
      <c r="B42" s="774"/>
      <c r="C42" s="640">
        <f ca="1">'Eigen openbare verlichting'!B19</f>
        <v>0</v>
      </c>
      <c r="D42" s="640"/>
      <c r="E42" s="640"/>
      <c r="F42" s="640"/>
      <c r="G42" s="640"/>
      <c r="H42" s="640"/>
      <c r="I42" s="640"/>
      <c r="J42" s="640"/>
      <c r="K42" s="640"/>
      <c r="L42" s="640"/>
      <c r="M42" s="640"/>
      <c r="N42" s="640"/>
      <c r="O42" s="640"/>
      <c r="P42" s="640"/>
      <c r="Q42" s="717"/>
      <c r="R42" s="795">
        <f t="shared" ca="1" si="4"/>
        <v>0</v>
      </c>
    </row>
    <row r="43" spans="1:18">
      <c r="A43" s="767" t="s">
        <v>618</v>
      </c>
      <c r="B43" s="782" t="s">
        <v>615</v>
      </c>
      <c r="C43" s="640">
        <f ca="1">industrie!B22</f>
        <v>4609.5224049940498</v>
      </c>
      <c r="D43" s="640">
        <f ca="1">industrie!C22</f>
        <v>0</v>
      </c>
      <c r="E43" s="640">
        <f>industrie!D22</f>
        <v>5149.5974967454267</v>
      </c>
      <c r="F43" s="640">
        <f>industrie!E22</f>
        <v>542.70717123148938</v>
      </c>
      <c r="G43" s="640">
        <f>industrie!F22</f>
        <v>8123.252443424919</v>
      </c>
      <c r="H43" s="640">
        <f>industrie!G22</f>
        <v>0</v>
      </c>
      <c r="I43" s="640">
        <f>industrie!H22</f>
        <v>0</v>
      </c>
      <c r="J43" s="640">
        <f>industrie!I22</f>
        <v>0</v>
      </c>
      <c r="K43" s="640">
        <f>industrie!J22</f>
        <v>5.0943848651014045</v>
      </c>
      <c r="L43" s="640">
        <f>industrie!K22</f>
        <v>0</v>
      </c>
      <c r="M43" s="640">
        <f>industrie!L22</f>
        <v>0</v>
      </c>
      <c r="N43" s="640">
        <f>industrie!M22</f>
        <v>0</v>
      </c>
      <c r="O43" s="640">
        <f>industrie!N22</f>
        <v>0</v>
      </c>
      <c r="P43" s="640">
        <f>industrie!O22</f>
        <v>0</v>
      </c>
      <c r="Q43" s="717">
        <f>industrie!P22</f>
        <v>0</v>
      </c>
      <c r="R43" s="794">
        <f t="shared" ca="1" si="4"/>
        <v>18430.173901260983</v>
      </c>
    </row>
    <row r="44" spans="1:18">
      <c r="A44" s="767"/>
      <c r="B44" s="774" t="s">
        <v>616</v>
      </c>
      <c r="C44" s="640"/>
      <c r="D44" s="640"/>
      <c r="E44" s="640"/>
      <c r="F44" s="640"/>
      <c r="G44" s="640"/>
      <c r="H44" s="640"/>
      <c r="I44" s="640"/>
      <c r="J44" s="640"/>
      <c r="K44" s="640"/>
      <c r="L44" s="640"/>
      <c r="M44" s="640"/>
      <c r="N44" s="640"/>
      <c r="O44" s="640"/>
      <c r="P44" s="640"/>
      <c r="Q44" s="717"/>
      <c r="R44" s="795">
        <f t="shared" si="4"/>
        <v>0</v>
      </c>
    </row>
    <row r="45" spans="1:18" ht="15" thickBot="1">
      <c r="A45" s="938" t="s">
        <v>804</v>
      </c>
      <c r="B45" s="944"/>
      <c r="C45" s="940"/>
      <c r="D45" s="940"/>
      <c r="E45" s="940"/>
      <c r="F45" s="940"/>
      <c r="G45" s="940"/>
      <c r="H45" s="940"/>
      <c r="I45" s="940"/>
      <c r="J45" s="940"/>
      <c r="K45" s="940"/>
      <c r="L45" s="940"/>
      <c r="M45" s="940"/>
      <c r="N45" s="940"/>
      <c r="O45" s="940"/>
      <c r="P45" s="940"/>
      <c r="Q45" s="941"/>
      <c r="R45" s="945"/>
    </row>
    <row r="46" spans="1:18" ht="15.75" thickBot="1">
      <c r="A46" s="768" t="s">
        <v>215</v>
      </c>
      <c r="B46" s="781"/>
      <c r="C46" s="675">
        <f ca="1">SUM(C39:C45)</f>
        <v>18193.152189771892</v>
      </c>
      <c r="D46" s="675">
        <f t="shared" ref="D46:Q46" ca="1" si="5">SUM(D39:D45)</f>
        <v>0</v>
      </c>
      <c r="E46" s="675">
        <f t="shared" ca="1" si="5"/>
        <v>28030.842123131439</v>
      </c>
      <c r="F46" s="675">
        <f t="shared" si="5"/>
        <v>1317.9183551693236</v>
      </c>
      <c r="G46" s="675">
        <f t="shared" ca="1" si="5"/>
        <v>35750.964873706915</v>
      </c>
      <c r="H46" s="675">
        <f t="shared" si="5"/>
        <v>0</v>
      </c>
      <c r="I46" s="675">
        <f t="shared" si="5"/>
        <v>0</v>
      </c>
      <c r="J46" s="675">
        <f t="shared" si="5"/>
        <v>0</v>
      </c>
      <c r="K46" s="675">
        <f t="shared" si="5"/>
        <v>710.97162021888369</v>
      </c>
      <c r="L46" s="675">
        <f t="shared" si="5"/>
        <v>0</v>
      </c>
      <c r="M46" s="675">
        <f t="shared" ca="1" si="5"/>
        <v>0</v>
      </c>
      <c r="N46" s="675">
        <f t="shared" si="5"/>
        <v>0</v>
      </c>
      <c r="O46" s="675">
        <f t="shared" ca="1" si="5"/>
        <v>0</v>
      </c>
      <c r="P46" s="675">
        <f t="shared" si="5"/>
        <v>0</v>
      </c>
      <c r="Q46" s="675">
        <f t="shared" si="5"/>
        <v>0</v>
      </c>
      <c r="R46" s="675">
        <f ca="1">SUM(R39:R45)</f>
        <v>84003.849161998427</v>
      </c>
    </row>
    <row r="47" spans="1:18" ht="15.75">
      <c r="A47" s="769" t="s">
        <v>216</v>
      </c>
      <c r="B47" s="779"/>
      <c r="C47" s="668"/>
      <c r="D47" s="669"/>
      <c r="E47" s="669"/>
      <c r="F47" s="669"/>
      <c r="G47" s="669"/>
      <c r="H47" s="669"/>
      <c r="I47" s="669"/>
      <c r="J47" s="669"/>
      <c r="K47" s="669"/>
      <c r="L47" s="669"/>
      <c r="M47" s="678"/>
      <c r="N47" s="678"/>
      <c r="O47" s="669"/>
      <c r="P47" s="678"/>
      <c r="Q47" s="678"/>
      <c r="R47" s="672"/>
    </row>
    <row r="48" spans="1:18">
      <c r="A48" s="767" t="s">
        <v>217</v>
      </c>
      <c r="B48" s="774"/>
      <c r="C48" s="640">
        <f ca="1">'Eigen vloot'!B31</f>
        <v>0</v>
      </c>
      <c r="D48" s="640">
        <f>'Eigen vloot'!C31</f>
        <v>0</v>
      </c>
      <c r="E48" s="640">
        <f>'Eigen vloot'!D31</f>
        <v>0</v>
      </c>
      <c r="F48" s="640">
        <f>'Eigen vloot'!E31</f>
        <v>0</v>
      </c>
      <c r="G48" s="640">
        <f>'Eigen vloot'!F31</f>
        <v>0</v>
      </c>
      <c r="H48" s="640">
        <f>'Eigen vloot'!G31</f>
        <v>0</v>
      </c>
      <c r="I48" s="640">
        <f>'Eigen vloot'!H31</f>
        <v>0</v>
      </c>
      <c r="J48" s="640">
        <f>'Eigen vloot'!I31</f>
        <v>0</v>
      </c>
      <c r="K48" s="640">
        <f>'Eigen vloot'!J31</f>
        <v>0</v>
      </c>
      <c r="L48" s="640">
        <f>'Eigen vloot'!K31</f>
        <v>0</v>
      </c>
      <c r="M48" s="640">
        <f>'Eigen vloot'!L31</f>
        <v>0</v>
      </c>
      <c r="N48" s="640">
        <f>'Eigen vloot'!M31</f>
        <v>0</v>
      </c>
      <c r="O48" s="640">
        <f>'Eigen vloot'!N31</f>
        <v>0</v>
      </c>
      <c r="P48" s="640">
        <f>'Eigen vloot'!O31</f>
        <v>0</v>
      </c>
      <c r="Q48" s="640">
        <f>'Eigen vloot'!P31</f>
        <v>0</v>
      </c>
      <c r="R48" s="673">
        <f ca="1">SUM(C48:Q48)</f>
        <v>0</v>
      </c>
    </row>
    <row r="49" spans="1:18">
      <c r="A49" s="767" t="s">
        <v>218</v>
      </c>
      <c r="B49" s="774"/>
      <c r="C49" s="640">
        <f ca="1">transport!B58</f>
        <v>1.6899625072602964</v>
      </c>
      <c r="D49" s="640">
        <f ca="1">transport!C58</f>
        <v>0</v>
      </c>
      <c r="E49" s="640">
        <f>transport!D58</f>
        <v>0</v>
      </c>
      <c r="F49" s="640">
        <f>transport!E58</f>
        <v>0</v>
      </c>
      <c r="G49" s="640">
        <f>transport!F58</f>
        <v>0</v>
      </c>
      <c r="H49" s="640">
        <f>transport!G58</f>
        <v>504.16812726318761</v>
      </c>
      <c r="I49" s="640">
        <f>transport!H58</f>
        <v>0</v>
      </c>
      <c r="J49" s="640">
        <f>transport!I58</f>
        <v>0</v>
      </c>
      <c r="K49" s="640">
        <f>transport!J58</f>
        <v>0</v>
      </c>
      <c r="L49" s="640">
        <f>transport!K58</f>
        <v>0</v>
      </c>
      <c r="M49" s="640">
        <f>transport!L58</f>
        <v>0</v>
      </c>
      <c r="N49" s="640">
        <f>transport!M58</f>
        <v>0</v>
      </c>
      <c r="O49" s="640">
        <f>transport!N58</f>
        <v>0</v>
      </c>
      <c r="P49" s="640">
        <f>transport!O58</f>
        <v>0</v>
      </c>
      <c r="Q49" s="641">
        <f>transport!P58</f>
        <v>0</v>
      </c>
      <c r="R49" s="673">
        <f ca="1">SUM(C49:Q49)</f>
        <v>505.85808977044792</v>
      </c>
    </row>
    <row r="50" spans="1:18">
      <c r="A50" s="770" t="s">
        <v>296</v>
      </c>
      <c r="B50" s="780"/>
      <c r="C50" s="646">
        <f ca="1">transport!B18</f>
        <v>2.1782142890305027</v>
      </c>
      <c r="D50" s="646">
        <f>transport!C18</f>
        <v>0</v>
      </c>
      <c r="E50" s="646">
        <f>transport!D18</f>
        <v>2.833551099168345</v>
      </c>
      <c r="F50" s="646">
        <f>transport!E18</f>
        <v>112.02886816640741</v>
      </c>
      <c r="G50" s="646">
        <f>transport!F18</f>
        <v>0</v>
      </c>
      <c r="H50" s="646">
        <f>transport!G18</f>
        <v>35804.340403071466</v>
      </c>
      <c r="I50" s="646">
        <f>transport!H18</f>
        <v>6286.1898872497613</v>
      </c>
      <c r="J50" s="646">
        <f>transport!I18</f>
        <v>0</v>
      </c>
      <c r="K50" s="646">
        <f>transport!J18</f>
        <v>0</v>
      </c>
      <c r="L50" s="646">
        <f>transport!K18</f>
        <v>0</v>
      </c>
      <c r="M50" s="646">
        <f>transport!L18</f>
        <v>0</v>
      </c>
      <c r="N50" s="646">
        <f>transport!M18</f>
        <v>0</v>
      </c>
      <c r="O50" s="646">
        <f>transport!N18</f>
        <v>0</v>
      </c>
      <c r="P50" s="646">
        <f>transport!O18</f>
        <v>0</v>
      </c>
      <c r="Q50" s="647">
        <f>transport!P18</f>
        <v>0</v>
      </c>
      <c r="R50" s="674">
        <f ca="1">SUM(C50:Q50)</f>
        <v>42207.570923875835</v>
      </c>
    </row>
    <row r="51" spans="1:18" ht="15" thickBot="1">
      <c r="A51" s="767" t="s">
        <v>805</v>
      </c>
      <c r="B51" s="774"/>
      <c r="C51" s="640"/>
      <c r="D51" s="640"/>
      <c r="E51" s="640"/>
      <c r="F51" s="640"/>
      <c r="G51" s="640"/>
      <c r="H51" s="640"/>
      <c r="I51" s="640"/>
      <c r="J51" s="640"/>
      <c r="K51" s="640"/>
      <c r="L51" s="640"/>
      <c r="M51" s="640"/>
      <c r="N51" s="640"/>
      <c r="O51" s="640"/>
      <c r="P51" s="640"/>
      <c r="Q51" s="641"/>
      <c r="R51" s="673"/>
    </row>
    <row r="52" spans="1:18" ht="15.75" thickBot="1">
      <c r="A52" s="768" t="s">
        <v>219</v>
      </c>
      <c r="B52" s="781"/>
      <c r="C52" s="675">
        <f ca="1">SUM(C48:C51)</f>
        <v>3.8681767962907991</v>
      </c>
      <c r="D52" s="675">
        <f t="shared" ref="D52:Q52" ca="1" si="6">SUM(D48:D51)</f>
        <v>0</v>
      </c>
      <c r="E52" s="675">
        <f t="shared" si="6"/>
        <v>2.833551099168345</v>
      </c>
      <c r="F52" s="675">
        <f t="shared" si="6"/>
        <v>112.02886816640741</v>
      </c>
      <c r="G52" s="675">
        <f t="shared" si="6"/>
        <v>0</v>
      </c>
      <c r="H52" s="675">
        <f t="shared" si="6"/>
        <v>36308.508530334657</v>
      </c>
      <c r="I52" s="675">
        <f t="shared" si="6"/>
        <v>6286.1898872497613</v>
      </c>
      <c r="J52" s="675">
        <f t="shared" si="6"/>
        <v>0</v>
      </c>
      <c r="K52" s="675">
        <f t="shared" si="6"/>
        <v>0</v>
      </c>
      <c r="L52" s="675">
        <f t="shared" si="6"/>
        <v>0</v>
      </c>
      <c r="M52" s="675">
        <f t="shared" si="6"/>
        <v>0</v>
      </c>
      <c r="N52" s="675">
        <f t="shared" si="6"/>
        <v>0</v>
      </c>
      <c r="O52" s="675">
        <f t="shared" si="6"/>
        <v>0</v>
      </c>
      <c r="P52" s="675">
        <f t="shared" si="6"/>
        <v>0</v>
      </c>
      <c r="Q52" s="675">
        <f t="shared" si="6"/>
        <v>0</v>
      </c>
      <c r="R52" s="675">
        <f ca="1">SUM(R48:R51)</f>
        <v>42713.429013646281</v>
      </c>
    </row>
    <row r="53" spans="1:18" ht="15.75">
      <c r="A53" s="769" t="s">
        <v>226</v>
      </c>
      <c r="B53" s="748"/>
      <c r="C53" s="668"/>
      <c r="D53" s="669"/>
      <c r="E53" s="669"/>
      <c r="F53" s="669"/>
      <c r="G53" s="669"/>
      <c r="H53" s="669"/>
      <c r="I53" s="669"/>
      <c r="J53" s="669"/>
      <c r="K53" s="669"/>
      <c r="L53" s="669"/>
      <c r="M53" s="678"/>
      <c r="N53" s="678"/>
      <c r="O53" s="669"/>
      <c r="P53" s="678"/>
      <c r="Q53" s="678"/>
      <c r="R53" s="672"/>
    </row>
    <row r="54" spans="1:18">
      <c r="A54" s="770" t="s">
        <v>611</v>
      </c>
      <c r="B54" s="780"/>
      <c r="C54" s="646">
        <f ca="1">+landbouw!B12</f>
        <v>826.34327077935779</v>
      </c>
      <c r="D54" s="646">
        <f ca="1">+landbouw!C12</f>
        <v>0</v>
      </c>
      <c r="E54" s="646">
        <f>+landbouw!D12</f>
        <v>65.899436285724335</v>
      </c>
      <c r="F54" s="646">
        <f>+landbouw!E12</f>
        <v>22.359263705429399</v>
      </c>
      <c r="G54" s="646">
        <f>+landbouw!F12</f>
        <v>4475.9652875477359</v>
      </c>
      <c r="H54" s="646">
        <f>+landbouw!G12</f>
        <v>0</v>
      </c>
      <c r="I54" s="646">
        <f>+landbouw!H12</f>
        <v>0</v>
      </c>
      <c r="J54" s="646">
        <f>+landbouw!I12</f>
        <v>0</v>
      </c>
      <c r="K54" s="646">
        <f>+landbouw!J12</f>
        <v>192.59654795834231</v>
      </c>
      <c r="L54" s="646">
        <f>+landbouw!K12</f>
        <v>0</v>
      </c>
      <c r="M54" s="646">
        <f>+landbouw!L12</f>
        <v>0</v>
      </c>
      <c r="N54" s="646">
        <f>+landbouw!M12</f>
        <v>0</v>
      </c>
      <c r="O54" s="646">
        <f>+landbouw!N12</f>
        <v>0</v>
      </c>
      <c r="P54" s="646">
        <f>+landbouw!O12</f>
        <v>0</v>
      </c>
      <c r="Q54" s="647">
        <f>+landbouw!P12</f>
        <v>0</v>
      </c>
      <c r="R54" s="674">
        <f ca="1">SUM(C54:Q54)</f>
        <v>5583.1638062765896</v>
      </c>
    </row>
    <row r="55" spans="1:18" ht="15" thickBot="1">
      <c r="A55" s="770" t="s">
        <v>806</v>
      </c>
      <c r="B55" s="780"/>
      <c r="C55" s="646">
        <f ca="1">C25*'EF ele_warmte'!B12</f>
        <v>309.80678913591134</v>
      </c>
      <c r="D55" s="646"/>
      <c r="E55" s="646">
        <f>E25*EF_CO2_aardgas</f>
        <v>683.36554005458356</v>
      </c>
      <c r="F55" s="646"/>
      <c r="G55" s="646"/>
      <c r="H55" s="646"/>
      <c r="I55" s="646"/>
      <c r="J55" s="646"/>
      <c r="K55" s="646"/>
      <c r="L55" s="646"/>
      <c r="M55" s="646"/>
      <c r="N55" s="646"/>
      <c r="O55" s="646"/>
      <c r="P55" s="646"/>
      <c r="Q55" s="647"/>
      <c r="R55" s="674">
        <f ca="1">SUM(C55:Q55)</f>
        <v>993.17232919049491</v>
      </c>
    </row>
    <row r="56" spans="1:18" ht="15.75" thickBot="1">
      <c r="A56" s="768" t="s">
        <v>807</v>
      </c>
      <c r="B56" s="781"/>
      <c r="C56" s="675">
        <f ca="1">SUM(C54:C55)</f>
        <v>1136.1500599152691</v>
      </c>
      <c r="D56" s="675">
        <f t="shared" ref="D56:Q56" ca="1" si="7">SUM(D54:D55)</f>
        <v>0</v>
      </c>
      <c r="E56" s="675">
        <f t="shared" si="7"/>
        <v>749.26497634030784</v>
      </c>
      <c r="F56" s="675">
        <f t="shared" si="7"/>
        <v>22.359263705429399</v>
      </c>
      <c r="G56" s="675">
        <f t="shared" si="7"/>
        <v>4475.9652875477359</v>
      </c>
      <c r="H56" s="675">
        <f t="shared" si="7"/>
        <v>0</v>
      </c>
      <c r="I56" s="675">
        <f t="shared" si="7"/>
        <v>0</v>
      </c>
      <c r="J56" s="675">
        <f t="shared" si="7"/>
        <v>0</v>
      </c>
      <c r="K56" s="675">
        <f t="shared" si="7"/>
        <v>192.59654795834231</v>
      </c>
      <c r="L56" s="675">
        <f t="shared" si="7"/>
        <v>0</v>
      </c>
      <c r="M56" s="675">
        <f t="shared" si="7"/>
        <v>0</v>
      </c>
      <c r="N56" s="675">
        <f t="shared" si="7"/>
        <v>0</v>
      </c>
      <c r="O56" s="675">
        <f t="shared" si="7"/>
        <v>0</v>
      </c>
      <c r="P56" s="675">
        <f t="shared" si="7"/>
        <v>0</v>
      </c>
      <c r="Q56" s="676">
        <f t="shared" si="7"/>
        <v>0</v>
      </c>
      <c r="R56" s="677">
        <f ca="1">SUM(R54:R55)</f>
        <v>6576.3361354670842</v>
      </c>
    </row>
    <row r="57" spans="1:18" ht="15.75">
      <c r="A57" s="748" t="s">
        <v>612</v>
      </c>
      <c r="B57" s="748"/>
      <c r="C57" s="680"/>
      <c r="D57" s="669"/>
      <c r="E57" s="669"/>
      <c r="F57" s="669"/>
      <c r="G57" s="669"/>
      <c r="H57" s="669"/>
      <c r="I57" s="669"/>
      <c r="J57" s="669"/>
      <c r="K57" s="669"/>
      <c r="L57" s="669"/>
      <c r="M57" s="678"/>
      <c r="N57" s="678"/>
      <c r="O57" s="669"/>
      <c r="P57" s="678"/>
      <c r="Q57" s="678"/>
      <c r="R57" s="672"/>
    </row>
    <row r="58" spans="1:18" ht="15">
      <c r="A58" s="771" t="s">
        <v>227</v>
      </c>
      <c r="B58" s="785"/>
      <c r="C58" s="1049"/>
      <c r="D58" s="1050"/>
      <c r="E58" s="1050"/>
      <c r="F58" s="1050"/>
      <c r="G58" s="1050"/>
      <c r="H58" s="1050"/>
      <c r="I58" s="1050"/>
      <c r="J58" s="1050"/>
      <c r="K58" s="1050"/>
      <c r="L58" s="1050"/>
      <c r="M58" s="1050"/>
      <c r="N58" s="1050"/>
      <c r="O58" s="1050"/>
      <c r="P58" s="1050"/>
      <c r="Q58" s="1050"/>
      <c r="R58" s="681"/>
    </row>
    <row r="59" spans="1:18" ht="15">
      <c r="A59" s="772" t="s">
        <v>228</v>
      </c>
      <c r="B59" s="759"/>
      <c r="C59" s="1051"/>
      <c r="D59" s="1052"/>
      <c r="E59" s="1052"/>
      <c r="F59" s="1052"/>
      <c r="G59" s="1052"/>
      <c r="H59" s="1052"/>
      <c r="I59" s="1052"/>
      <c r="J59" s="1052"/>
      <c r="K59" s="1052"/>
      <c r="L59" s="1052"/>
      <c r="M59" s="1052"/>
      <c r="N59" s="1052"/>
      <c r="O59" s="1052"/>
      <c r="P59" s="1052"/>
      <c r="Q59" s="1052"/>
      <c r="R59" s="682"/>
    </row>
    <row r="60" spans="1:18" ht="15" thickBot="1">
      <c r="A60" s="783" t="s">
        <v>229</v>
      </c>
      <c r="B60" s="784"/>
      <c r="C60" s="1051"/>
      <c r="D60" s="1052"/>
      <c r="E60" s="1052"/>
      <c r="F60" s="1052"/>
      <c r="G60" s="1052"/>
      <c r="H60" s="1052"/>
      <c r="I60" s="1052"/>
      <c r="J60" s="1052"/>
      <c r="K60" s="1052"/>
      <c r="L60" s="1052"/>
      <c r="M60" s="1052"/>
      <c r="N60" s="1052"/>
      <c r="O60" s="1052"/>
      <c r="P60" s="1052"/>
      <c r="Q60" s="1052"/>
      <c r="R60" s="674"/>
    </row>
    <row r="61" spans="1:18" ht="16.5" thickBot="1">
      <c r="A61" s="786" t="s">
        <v>109</v>
      </c>
      <c r="B61" s="787"/>
      <c r="C61" s="683">
        <f ca="1">C46+C52+C56</f>
        <v>19333.170426483452</v>
      </c>
      <c r="D61" s="683">
        <f t="shared" ref="D61:Q61" ca="1" si="8">D46+D52+D56</f>
        <v>0</v>
      </c>
      <c r="E61" s="683">
        <f t="shared" ca="1" si="8"/>
        <v>28782.940650570912</v>
      </c>
      <c r="F61" s="683">
        <f t="shared" si="8"/>
        <v>1452.3064870411604</v>
      </c>
      <c r="G61" s="683">
        <f t="shared" ca="1" si="8"/>
        <v>40226.930161254648</v>
      </c>
      <c r="H61" s="683">
        <f t="shared" si="8"/>
        <v>36308.508530334657</v>
      </c>
      <c r="I61" s="683">
        <f t="shared" si="8"/>
        <v>6286.1898872497613</v>
      </c>
      <c r="J61" s="683">
        <f t="shared" si="8"/>
        <v>0</v>
      </c>
      <c r="K61" s="683">
        <f t="shared" si="8"/>
        <v>903.56816817722597</v>
      </c>
      <c r="L61" s="683">
        <f t="shared" si="8"/>
        <v>0</v>
      </c>
      <c r="M61" s="683">
        <f t="shared" ca="1" si="8"/>
        <v>0</v>
      </c>
      <c r="N61" s="683">
        <f t="shared" si="8"/>
        <v>0</v>
      </c>
      <c r="O61" s="683">
        <f t="shared" ca="1" si="8"/>
        <v>0</v>
      </c>
      <c r="P61" s="683">
        <f t="shared" si="8"/>
        <v>0</v>
      </c>
      <c r="Q61" s="683">
        <f t="shared" si="8"/>
        <v>0</v>
      </c>
      <c r="R61" s="683">
        <f ca="1">R46+R52+R56</f>
        <v>133293.6143111118</v>
      </c>
    </row>
    <row r="62" spans="1:18" ht="15.75" thickTop="1" thickBot="1">
      <c r="A62" s="934"/>
      <c r="B62" s="934"/>
      <c r="C62" s="684"/>
      <c r="D62" s="684"/>
      <c r="E62" s="685"/>
      <c r="F62" s="685"/>
      <c r="G62" s="685"/>
      <c r="H62" s="685"/>
      <c r="I62" s="685"/>
      <c r="J62" s="685"/>
      <c r="K62" s="685"/>
      <c r="L62" s="685"/>
      <c r="M62" s="685"/>
      <c r="N62" s="685"/>
      <c r="O62" s="685"/>
      <c r="P62" s="685"/>
      <c r="Q62" s="685"/>
      <c r="R62" s="685"/>
    </row>
    <row r="63" spans="1:18" ht="20.25" thickTop="1" thickBot="1">
      <c r="A63" s="686" t="s">
        <v>335</v>
      </c>
      <c r="B63" s="766"/>
      <c r="C63" s="726">
        <f t="shared" ref="C63:Q63" ca="1" si="9">IF(ISERROR(C61/C27),0,C61/C27)</f>
        <v>0.17420263799879332</v>
      </c>
      <c r="D63" s="726">
        <f t="shared" ca="1" si="9"/>
        <v>0</v>
      </c>
      <c r="E63" s="946">
        <f t="shared" ca="1" si="9"/>
        <v>0.20199999999999999</v>
      </c>
      <c r="F63" s="726">
        <f t="shared" si="9"/>
        <v>0.22699999999999998</v>
      </c>
      <c r="G63" s="726">
        <f t="shared" ca="1" si="9"/>
        <v>0.26700000000000002</v>
      </c>
      <c r="H63" s="726">
        <f t="shared" si="9"/>
        <v>0.26700000000000007</v>
      </c>
      <c r="I63" s="726">
        <f t="shared" si="9"/>
        <v>0.249</v>
      </c>
      <c r="J63" s="726">
        <f t="shared" si="9"/>
        <v>0</v>
      </c>
      <c r="K63" s="726">
        <f t="shared" si="9"/>
        <v>0.35399999999999993</v>
      </c>
      <c r="L63" s="726">
        <f t="shared" si="9"/>
        <v>0</v>
      </c>
      <c r="M63" s="726">
        <f t="shared" ca="1" si="9"/>
        <v>0</v>
      </c>
      <c r="N63" s="726">
        <f t="shared" si="9"/>
        <v>0</v>
      </c>
      <c r="O63" s="726">
        <f t="shared" ca="1" si="9"/>
        <v>0</v>
      </c>
      <c r="P63" s="726">
        <f t="shared" si="9"/>
        <v>0</v>
      </c>
      <c r="Q63" s="726">
        <f t="shared" si="9"/>
        <v>0</v>
      </c>
      <c r="R63" s="685"/>
    </row>
    <row r="64" spans="1:18" ht="33" thickTop="1" thickBot="1">
      <c r="A64" s="773" t="s">
        <v>336</v>
      </c>
      <c r="B64" s="751"/>
      <c r="C64" s="727">
        <f>'EF ele_warmte'!B6</f>
        <v>0.221</v>
      </c>
      <c r="D64" s="728"/>
      <c r="E64" s="729"/>
      <c r="F64" s="730"/>
      <c r="G64" s="730"/>
      <c r="H64" s="730"/>
      <c r="I64" s="730"/>
      <c r="J64" s="730"/>
      <c r="K64" s="730"/>
      <c r="L64" s="730"/>
      <c r="M64" s="730"/>
      <c r="N64" s="730"/>
      <c r="O64" s="730"/>
      <c r="P64" s="730"/>
      <c r="Q64" s="730"/>
      <c r="R64" s="685"/>
    </row>
    <row r="65" spans="1:18" ht="15" thickTop="1">
      <c r="A65" s="687"/>
      <c r="B65" s="687"/>
      <c r="C65" s="685"/>
      <c r="D65" s="685"/>
      <c r="E65" s="685"/>
      <c r="F65" s="685"/>
      <c r="G65" s="685"/>
      <c r="H65" s="685"/>
      <c r="I65" s="685"/>
      <c r="J65" s="685"/>
      <c r="K65" s="685"/>
      <c r="L65" s="685"/>
      <c r="M65" s="685"/>
      <c r="N65" s="685"/>
      <c r="O65" s="685"/>
      <c r="P65" s="685"/>
      <c r="Q65" s="685"/>
      <c r="R65" s="685"/>
    </row>
    <row r="66" spans="1:18" ht="18.75">
      <c r="A66" s="688" t="s">
        <v>337</v>
      </c>
      <c r="B66" s="688"/>
      <c r="C66" s="661"/>
      <c r="D66" s="689"/>
      <c r="E66" s="661"/>
      <c r="F66" s="661"/>
      <c r="G66" s="661"/>
      <c r="H66" s="661"/>
      <c r="I66" s="661"/>
      <c r="J66" s="661"/>
      <c r="K66" s="661"/>
      <c r="L66" s="661"/>
      <c r="M66" s="661"/>
      <c r="N66" s="661"/>
      <c r="O66" s="661"/>
      <c r="P66" s="690"/>
      <c r="Q66" s="690"/>
      <c r="R66" s="690"/>
    </row>
    <row r="67" spans="1:18">
      <c r="A67" s="1056"/>
      <c r="B67" s="1056"/>
      <c r="C67" s="1056"/>
      <c r="D67" s="1056"/>
      <c r="E67" s="1056"/>
      <c r="F67" s="1056"/>
      <c r="G67" s="1056"/>
      <c r="H67" s="1056"/>
      <c r="I67" s="1056"/>
      <c r="J67" s="1056"/>
      <c r="K67" s="1056"/>
      <c r="L67" s="1056"/>
      <c r="M67" s="1056"/>
      <c r="N67" s="1056"/>
      <c r="O67" s="1056"/>
      <c r="P67" s="1056"/>
      <c r="Q67" s="1056"/>
      <c r="R67" s="691"/>
    </row>
    <row r="68" spans="1:18" ht="16.5" customHeight="1" thickBot="1">
      <c r="A68" s="664"/>
      <c r="B68" s="664"/>
      <c r="C68" s="665"/>
      <c r="D68" s="665"/>
      <c r="E68" s="665"/>
      <c r="F68" s="665"/>
      <c r="G68" s="665"/>
      <c r="H68" s="665"/>
      <c r="I68" s="665"/>
      <c r="J68" s="665"/>
      <c r="K68" s="665"/>
      <c r="L68" s="665"/>
      <c r="M68" s="665"/>
      <c r="N68" s="665"/>
      <c r="O68" s="665"/>
      <c r="P68" s="665"/>
      <c r="Q68" s="665"/>
      <c r="R68" s="665"/>
    </row>
    <row r="69" spans="1:18" ht="48.75" customHeight="1" thickTop="1" thickBot="1">
      <c r="A69" s="1069" t="s">
        <v>230</v>
      </c>
      <c r="B69" s="1072" t="s">
        <v>338</v>
      </c>
      <c r="C69" s="1073"/>
      <c r="D69" s="1076" t="s">
        <v>339</v>
      </c>
      <c r="E69" s="1077"/>
      <c r="F69" s="1077"/>
      <c r="G69" s="1077"/>
      <c r="H69" s="1077"/>
      <c r="I69" s="1077"/>
      <c r="J69" s="1077"/>
      <c r="K69" s="1077"/>
      <c r="L69" s="1077"/>
      <c r="M69" s="1077"/>
      <c r="N69" s="1077"/>
      <c r="O69" s="1078"/>
      <c r="P69" s="947" t="s">
        <v>621</v>
      </c>
      <c r="Q69" s="1079" t="s">
        <v>620</v>
      </c>
      <c r="R69" s="1080"/>
    </row>
    <row r="70" spans="1:18" ht="61.5" thickTop="1" thickBot="1">
      <c r="A70" s="1071"/>
      <c r="B70" s="1074"/>
      <c r="C70" s="1075"/>
      <c r="D70" s="1081" t="s">
        <v>190</v>
      </c>
      <c r="E70" s="1082"/>
      <c r="F70" s="1082"/>
      <c r="G70" s="1082"/>
      <c r="H70" s="1083"/>
      <c r="I70" s="927" t="s">
        <v>235</v>
      </c>
      <c r="J70" s="927" t="s">
        <v>223</v>
      </c>
      <c r="K70" s="927" t="s">
        <v>202</v>
      </c>
      <c r="L70" s="927" t="s">
        <v>203</v>
      </c>
      <c r="M70" s="692" t="s">
        <v>234</v>
      </c>
      <c r="N70" s="927" t="s">
        <v>236</v>
      </c>
      <c r="O70" s="929" t="s">
        <v>120</v>
      </c>
      <c r="P70" s="948"/>
      <c r="Q70" s="801"/>
      <c r="R70" s="802"/>
    </row>
    <row r="71" spans="1:18" ht="95.25" customHeight="1" thickTop="1" thickBot="1">
      <c r="A71" s="1070"/>
      <c r="B71" s="932" t="s">
        <v>619</v>
      </c>
      <c r="C71" s="932" t="s">
        <v>808</v>
      </c>
      <c r="D71" s="949" t="s">
        <v>192</v>
      </c>
      <c r="E71" s="950" t="s">
        <v>193</v>
      </c>
      <c r="F71" s="927" t="s">
        <v>194</v>
      </c>
      <c r="G71" s="924" t="s">
        <v>196</v>
      </c>
      <c r="H71" s="951" t="s">
        <v>197</v>
      </c>
      <c r="I71" s="928"/>
      <c r="J71" s="928"/>
      <c r="K71" s="928"/>
      <c r="L71" s="928"/>
      <c r="M71" s="925"/>
      <c r="N71" s="928"/>
      <c r="O71" s="933"/>
      <c r="P71" s="952"/>
      <c r="Q71" s="935" t="s">
        <v>622</v>
      </c>
      <c r="R71" s="933" t="s">
        <v>623</v>
      </c>
    </row>
    <row r="72" spans="1:18" ht="15.75" thickTop="1">
      <c r="A72" s="693" t="s">
        <v>238</v>
      </c>
      <c r="B72" s="788">
        <f>'lokale energieproductie'!B4</f>
        <v>0</v>
      </c>
      <c r="C72" s="1105"/>
      <c r="D72" s="1105"/>
      <c r="E72" s="1106"/>
      <c r="F72" s="1106"/>
      <c r="G72" s="1096"/>
      <c r="H72" s="1099"/>
      <c r="I72" s="1102"/>
      <c r="J72" s="930"/>
      <c r="K72" s="1084"/>
      <c r="L72" s="1084"/>
      <c r="M72" s="1084"/>
      <c r="N72" s="1084"/>
      <c r="O72" s="1087"/>
      <c r="P72" s="796">
        <v>0</v>
      </c>
      <c r="Q72" s="953"/>
      <c r="R72" s="796">
        <v>0</v>
      </c>
    </row>
    <row r="73" spans="1:18" ht="15">
      <c r="A73" s="694" t="s">
        <v>239</v>
      </c>
      <c r="B73" s="693">
        <f>'lokale energieproductie'!B5</f>
        <v>0</v>
      </c>
      <c r="C73" s="1103"/>
      <c r="D73" s="1103"/>
      <c r="E73" s="1085"/>
      <c r="F73" s="1085"/>
      <c r="G73" s="1097"/>
      <c r="H73" s="1100"/>
      <c r="I73" s="1103"/>
      <c r="J73" s="931"/>
      <c r="K73" s="1085"/>
      <c r="L73" s="1085"/>
      <c r="M73" s="1085"/>
      <c r="N73" s="1085"/>
      <c r="O73" s="1088"/>
      <c r="P73" s="797">
        <v>0</v>
      </c>
      <c r="Q73" s="803"/>
      <c r="R73" s="797">
        <v>0</v>
      </c>
    </row>
    <row r="74" spans="1:18" ht="15">
      <c r="A74" s="694" t="s">
        <v>240</v>
      </c>
      <c r="B74" s="693">
        <f>'lokale energieproductie'!B6</f>
        <v>5915.8688380224366</v>
      </c>
      <c r="C74" s="1103"/>
      <c r="D74" s="1103"/>
      <c r="E74" s="1085"/>
      <c r="F74" s="1085"/>
      <c r="G74" s="1097"/>
      <c r="H74" s="1100"/>
      <c r="I74" s="1103"/>
      <c r="J74" s="931"/>
      <c r="K74" s="1085"/>
      <c r="L74" s="1085"/>
      <c r="M74" s="1085"/>
      <c r="N74" s="1085"/>
      <c r="O74" s="1088"/>
      <c r="P74" s="797">
        <v>0</v>
      </c>
      <c r="Q74" s="803"/>
      <c r="R74" s="797">
        <v>0</v>
      </c>
    </row>
    <row r="75" spans="1:18" ht="15.75" thickBot="1">
      <c r="A75" s="694" t="s">
        <v>809</v>
      </c>
      <c r="B75" s="693">
        <f>'lokale energieproductie'!B7</f>
        <v>0</v>
      </c>
      <c r="C75" s="1104"/>
      <c r="D75" s="1104"/>
      <c r="E75" s="1086"/>
      <c r="F75" s="1086"/>
      <c r="G75" s="1098"/>
      <c r="H75" s="1101"/>
      <c r="I75" s="1104"/>
      <c r="J75" s="954"/>
      <c r="K75" s="1086"/>
      <c r="L75" s="1086"/>
      <c r="M75" s="1086"/>
      <c r="N75" s="1086"/>
      <c r="O75" s="1089"/>
      <c r="P75" s="797">
        <v>0</v>
      </c>
      <c r="Q75" s="955"/>
      <c r="R75" s="797">
        <v>0</v>
      </c>
    </row>
    <row r="76" spans="1:18" ht="15">
      <c r="A76" s="695" t="s">
        <v>241</v>
      </c>
      <c r="B76" s="693">
        <f>'lokale energieproductie'!B8*IFERROR(SUM(I76:O76)/SUM(D76:O76),0)</f>
        <v>17584.650000000001</v>
      </c>
      <c r="C76" s="693">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20687.823529411766</v>
      </c>
      <c r="K76" s="957">
        <f>'lokale energieproductie'!M8</f>
        <v>0</v>
      </c>
      <c r="L76" s="957">
        <f>'lokale energieproductie'!N8</f>
        <v>0</v>
      </c>
      <c r="M76" s="957">
        <f>'lokale energieproductie'!H8</f>
        <v>0</v>
      </c>
      <c r="N76" s="957">
        <f>'lokale energieproductie'!K8</f>
        <v>0</v>
      </c>
      <c r="O76" s="958">
        <f>'lokale energieproductie'!L8</f>
        <v>0</v>
      </c>
      <c r="P76" s="959"/>
      <c r="Q76" s="798">
        <f>D76*EF_CO2_aardgas+E76*EF_VLgas_CO2+'SEAP template'!F76*EF_stookolie_CO2+EF_bruinkool_CO2*'SEAP template'!G76+'SEAP template'!H76*EF_steenkool_CO2+'EF brandstof'!M4*'SEAP template'!M76+'SEAP template'!O76*EF_anderfossiel_CO2</f>
        <v>0</v>
      </c>
      <c r="R76" s="797">
        <v>0</v>
      </c>
    </row>
    <row r="77" spans="1:18" ht="30.75" thickBot="1">
      <c r="A77" s="696" t="s">
        <v>340</v>
      </c>
      <c r="B77" s="693">
        <f>'lokale energieproductie'!B9*IFERROR(SUM(I77:O77)/SUM(D77:O77),0)</f>
        <v>0</v>
      </c>
      <c r="C77" s="693">
        <f>'lokale energieproductie'!B9*IFERROR(SUM(D77:H77)/SUM(D77:O77),0)</f>
        <v>0</v>
      </c>
      <c r="D77" s="718">
        <f>'lokale energieproductie'!C9</f>
        <v>0</v>
      </c>
      <c r="E77" s="719">
        <f>'lokale energieproductie'!D9</f>
        <v>0</v>
      </c>
      <c r="F77" s="719">
        <f>'lokale energieproductie'!E9</f>
        <v>0</v>
      </c>
      <c r="G77" s="719">
        <f>'lokale energieproductie'!F9</f>
        <v>0</v>
      </c>
      <c r="H77" s="719">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58">
        <f>'lokale energieproductie'!L9</f>
        <v>0</v>
      </c>
      <c r="P77" s="790"/>
      <c r="Q77" s="798">
        <f>D77*EF_CO2_aardgas+E77*EF_VLgas_CO2+'SEAP template'!F77*EF_stookolie_CO2+EF_bruinkool_CO2*'SEAP template'!G77+'SEAP template'!H77*EF_steenkool_CO2+'EF brandstof'!M4*'SEAP template'!M77+'SEAP template'!O77*EF_anderfossiel_CO2</f>
        <v>0</v>
      </c>
      <c r="R77" s="800">
        <v>0</v>
      </c>
    </row>
    <row r="78" spans="1:18" ht="16.5" thickTop="1" thickBot="1">
      <c r="A78" s="697" t="s">
        <v>109</v>
      </c>
      <c r="B78" s="698">
        <f>SUM(B72:B77)</f>
        <v>23500.518838022439</v>
      </c>
      <c r="C78" s="698">
        <f>SUM(C72:C77)</f>
        <v>0</v>
      </c>
      <c r="D78" s="699">
        <f t="shared" ref="D78:H78" si="10">SUM(D76:D77)</f>
        <v>0</v>
      </c>
      <c r="E78" s="699">
        <f t="shared" si="10"/>
        <v>0</v>
      </c>
      <c r="F78" s="699">
        <f t="shared" si="10"/>
        <v>0</v>
      </c>
      <c r="G78" s="699">
        <f t="shared" si="10"/>
        <v>0</v>
      </c>
      <c r="H78" s="699">
        <f t="shared" si="10"/>
        <v>0</v>
      </c>
      <c r="I78" s="699">
        <f>SUM(I76:I77)</f>
        <v>0</v>
      </c>
      <c r="J78" s="699">
        <f>SUM(J76:J77)</f>
        <v>20687.823529411766</v>
      </c>
      <c r="K78" s="699">
        <f t="shared" ref="K78:L78" si="11">SUM(K76:K77)</f>
        <v>0</v>
      </c>
      <c r="L78" s="699">
        <f t="shared" si="11"/>
        <v>0</v>
      </c>
      <c r="M78" s="699">
        <f>SUM(M76:M77)</f>
        <v>0</v>
      </c>
      <c r="N78" s="699">
        <f>SUM(N76:N77)</f>
        <v>0</v>
      </c>
      <c r="O78" s="805">
        <f>SUM(O76:O77)</f>
        <v>0</v>
      </c>
      <c r="P78" s="700">
        <v>0</v>
      </c>
      <c r="Q78" s="700">
        <f>SUM(Q76:Q77)</f>
        <v>0</v>
      </c>
      <c r="R78" s="700">
        <f>SUM(R72:R77)</f>
        <v>0</v>
      </c>
    </row>
    <row r="79" spans="1:18" ht="15.75" thickTop="1">
      <c r="A79" s="701"/>
      <c r="B79" s="752"/>
      <c r="C79" s="702"/>
      <c r="D79" s="702"/>
      <c r="E79" s="662"/>
      <c r="F79" s="661"/>
      <c r="G79" s="661"/>
      <c r="H79" s="661"/>
      <c r="I79" s="703"/>
      <c r="J79" s="661"/>
      <c r="K79" s="661"/>
      <c r="L79" s="661"/>
      <c r="M79" s="661"/>
      <c r="N79" s="704"/>
      <c r="O79" s="661"/>
      <c r="P79" s="661"/>
      <c r="Q79" s="661"/>
      <c r="R79" s="661"/>
    </row>
    <row r="80" spans="1:18" ht="15">
      <c r="A80" s="934"/>
      <c r="B80" s="934"/>
      <c r="C80" s="702"/>
      <c r="D80" s="702"/>
      <c r="E80" s="661"/>
      <c r="F80" s="661"/>
      <c r="G80" s="661"/>
      <c r="H80" s="661"/>
      <c r="I80" s="661"/>
      <c r="J80" s="661"/>
      <c r="K80" s="661"/>
      <c r="L80" s="661"/>
      <c r="M80" s="661"/>
      <c r="N80" s="661"/>
      <c r="O80" s="661"/>
      <c r="P80" s="661"/>
      <c r="Q80" s="661"/>
      <c r="R80" s="661"/>
    </row>
    <row r="81" spans="1:19" ht="18.75">
      <c r="A81" s="705" t="s">
        <v>341</v>
      </c>
      <c r="B81" s="705"/>
      <c r="C81" s="706"/>
      <c r="D81" s="689"/>
      <c r="E81" s="661"/>
      <c r="F81" s="661"/>
      <c r="G81" s="661"/>
      <c r="H81" s="661"/>
      <c r="I81" s="661"/>
      <c r="J81" s="661"/>
      <c r="K81" s="661"/>
      <c r="L81" s="661"/>
      <c r="M81" s="661"/>
      <c r="N81" s="661"/>
      <c r="O81" s="661"/>
      <c r="P81" s="661"/>
      <c r="Q81" s="661"/>
      <c r="R81" s="661"/>
    </row>
    <row r="82" spans="1:19">
      <c r="A82" s="1056"/>
      <c r="B82" s="1056"/>
      <c r="C82" s="1056"/>
      <c r="D82" s="1056"/>
      <c r="E82" s="1056"/>
      <c r="F82" s="1056"/>
      <c r="G82" s="1056"/>
      <c r="H82" s="1056"/>
      <c r="I82" s="1056"/>
      <c r="J82" s="1056"/>
      <c r="K82" s="1056"/>
      <c r="L82" s="1056"/>
      <c r="M82" s="1056"/>
      <c r="N82" s="1056"/>
      <c r="O82" s="1056"/>
      <c r="P82" s="1056"/>
      <c r="Q82" s="691"/>
      <c r="R82" s="691"/>
    </row>
    <row r="83" spans="1:19" ht="15.75" thickBot="1">
      <c r="A83" s="664"/>
      <c r="B83" s="664"/>
      <c r="C83" s="665"/>
      <c r="D83" s="665"/>
      <c r="E83" s="665"/>
      <c r="F83" s="665"/>
      <c r="G83" s="665"/>
      <c r="H83" s="665"/>
      <c r="I83" s="665"/>
      <c r="J83" s="665"/>
      <c r="K83" s="665"/>
      <c r="L83" s="665"/>
      <c r="M83" s="665"/>
      <c r="N83" s="665"/>
      <c r="O83" s="665"/>
      <c r="P83" s="665"/>
      <c r="Q83" s="665"/>
      <c r="R83" s="665"/>
    </row>
    <row r="84" spans="1:19" ht="48.2" customHeight="1" thickTop="1" thickBot="1">
      <c r="A84" s="1069" t="s">
        <v>242</v>
      </c>
      <c r="B84" s="1072" t="s">
        <v>342</v>
      </c>
      <c r="C84" s="1090"/>
      <c r="D84" s="1093" t="s">
        <v>343</v>
      </c>
      <c r="E84" s="1094"/>
      <c r="F84" s="1094"/>
      <c r="G84" s="1094"/>
      <c r="H84" s="1094"/>
      <c r="I84" s="1094"/>
      <c r="J84" s="1094"/>
      <c r="K84" s="1094"/>
      <c r="L84" s="1094"/>
      <c r="M84" s="1094"/>
      <c r="N84" s="1094"/>
      <c r="O84" s="1095"/>
      <c r="P84" s="947" t="s">
        <v>621</v>
      </c>
      <c r="Q84" s="1072" t="s">
        <v>620</v>
      </c>
      <c r="R84" s="1073"/>
    </row>
    <row r="85" spans="1:19" ht="16.5" customHeight="1" thickTop="1" thickBot="1">
      <c r="A85" s="1071"/>
      <c r="B85" s="1091"/>
      <c r="C85" s="1092"/>
      <c r="D85" s="1110" t="s">
        <v>190</v>
      </c>
      <c r="E85" s="1111"/>
      <c r="F85" s="1111"/>
      <c r="G85" s="1111"/>
      <c r="H85" s="1112"/>
      <c r="I85" s="1113" t="s">
        <v>235</v>
      </c>
      <c r="J85" s="1064" t="s">
        <v>223</v>
      </c>
      <c r="K85" s="1116" t="s">
        <v>202</v>
      </c>
      <c r="L85" s="1116" t="s">
        <v>203</v>
      </c>
      <c r="M85" s="1117" t="s">
        <v>234</v>
      </c>
      <c r="N85" s="1116" t="s">
        <v>246</v>
      </c>
      <c r="O85" s="1119" t="s">
        <v>120</v>
      </c>
      <c r="P85" s="948"/>
      <c r="Q85" s="801"/>
      <c r="R85" s="802"/>
    </row>
    <row r="86" spans="1:19" ht="110.25" customHeight="1" thickTop="1" thickBot="1">
      <c r="A86" s="1070"/>
      <c r="B86" s="789" t="s">
        <v>619</v>
      </c>
      <c r="C86" s="789" t="s">
        <v>808</v>
      </c>
      <c r="D86" s="935" t="s">
        <v>192</v>
      </c>
      <c r="E86" s="928" t="s">
        <v>193</v>
      </c>
      <c r="F86" s="926" t="s">
        <v>194</v>
      </c>
      <c r="G86" s="928" t="s">
        <v>196</v>
      </c>
      <c r="H86" s="707" t="s">
        <v>197</v>
      </c>
      <c r="I86" s="1114"/>
      <c r="J86" s="1115"/>
      <c r="K86" s="1065"/>
      <c r="L86" s="1065"/>
      <c r="M86" s="1118"/>
      <c r="N86" s="1065"/>
      <c r="O86" s="1120"/>
      <c r="P86" s="952"/>
      <c r="Q86" s="935" t="s">
        <v>622</v>
      </c>
      <c r="R86" s="933" t="s">
        <v>623</v>
      </c>
    </row>
    <row r="87" spans="1:19" ht="15.75" thickTop="1">
      <c r="A87" s="708" t="s">
        <v>241</v>
      </c>
      <c r="B87" s="709">
        <f>'lokale energieproductie'!B17*IFERROR(SUM(I87:O87)/SUM(D87:O87),0)</f>
        <v>25120.928571428569</v>
      </c>
      <c r="C87" s="709">
        <f>'lokale energieproductie'!B17*IFERROR(SUM(D87:H87)/SUM(D87:O87),0)</f>
        <v>0</v>
      </c>
      <c r="D87" s="720">
        <f>'lokale energieproductie'!C17</f>
        <v>0</v>
      </c>
      <c r="E87" s="720">
        <f>'lokale energieproductie'!D17</f>
        <v>0</v>
      </c>
      <c r="F87" s="720">
        <f>'lokale energieproductie'!E17</f>
        <v>0</v>
      </c>
      <c r="G87" s="720">
        <f>'lokale energieproductie'!F17</f>
        <v>0</v>
      </c>
      <c r="H87" s="720">
        <f>'lokale energieproductie'!G17</f>
        <v>0</v>
      </c>
      <c r="I87" s="720">
        <f>'lokale energieproductie'!I17</f>
        <v>0</v>
      </c>
      <c r="J87" s="720">
        <f>'lokale energieproductie'!J17</f>
        <v>29554.033613445372</v>
      </c>
      <c r="K87" s="720">
        <f>'lokale energieproductie'!M17</f>
        <v>0</v>
      </c>
      <c r="L87" s="720">
        <f>'lokale energieproductie'!N17</f>
        <v>0</v>
      </c>
      <c r="M87" s="720">
        <f>'lokale energieproductie'!H17</f>
        <v>0</v>
      </c>
      <c r="N87" s="720">
        <f>'lokale energieproductie'!K17</f>
        <v>0</v>
      </c>
      <c r="O87" s="720">
        <f>'lokale energieproductie'!L17</f>
        <v>0</v>
      </c>
      <c r="P87" s="1107"/>
      <c r="Q87" s="804">
        <f>D87*EF_CO2_aardgas+E87*EF_VLgas_CO2+'SEAP template'!F87*EF_stookolie_CO2+EF_bruinkool_CO2*'SEAP template'!G87+'SEAP template'!H87*EF_steenkool_CO2+'EF brandstof'!M4*'SEAP template'!M87+'SEAP template'!O87*EF_anderfossiel_CO2</f>
        <v>0</v>
      </c>
      <c r="R87" s="791">
        <v>0</v>
      </c>
    </row>
    <row r="88" spans="1:19" ht="15">
      <c r="A88" s="710" t="s">
        <v>247</v>
      </c>
      <c r="B88" s="709">
        <f>'lokale energieproductie'!B18*IFERROR(SUM(I88:O88)/SUM(D88:O88),0)</f>
        <v>0</v>
      </c>
      <c r="C88" s="709">
        <f>'lokale energieproductie'!B18*IFERROR(SUM(D88:H88)/SUM(D88:O88),0)</f>
        <v>0</v>
      </c>
      <c r="D88" s="720">
        <f>'lokale energieproductie'!C18</f>
        <v>0</v>
      </c>
      <c r="E88" s="720">
        <f>'lokale energieproductie'!D18</f>
        <v>0</v>
      </c>
      <c r="F88" s="720">
        <f>'lokale energieproductie'!E18</f>
        <v>0</v>
      </c>
      <c r="G88" s="720">
        <f>'lokale energieproductie'!F18</f>
        <v>0</v>
      </c>
      <c r="H88" s="720">
        <f>'lokale energieproductie'!G18</f>
        <v>0</v>
      </c>
      <c r="I88" s="720">
        <f>'lokale energieproductie'!I18</f>
        <v>0</v>
      </c>
      <c r="J88" s="720">
        <f>'lokale energieproductie'!J18</f>
        <v>0</v>
      </c>
      <c r="K88" s="720">
        <f>'lokale energieproductie'!M18</f>
        <v>0</v>
      </c>
      <c r="L88" s="720">
        <f>'lokale energieproductie'!N18</f>
        <v>0</v>
      </c>
      <c r="M88" s="720">
        <f>'lokale energieproductie'!H18</f>
        <v>0</v>
      </c>
      <c r="N88" s="720">
        <f>'lokale energieproductie'!K18</f>
        <v>0</v>
      </c>
      <c r="O88" s="720">
        <f>'lokale energieproductie'!L18</f>
        <v>0</v>
      </c>
      <c r="P88" s="1108"/>
      <c r="Q88" s="798">
        <f>D88*EF_CO2_aardgas+E88*EF_VLgas_CO2+'SEAP template'!F88*EF_stookolie_CO2+EF_bruinkool_CO2*'SEAP template'!G88+'SEAP template'!H88*EF_steenkool_CO2+'EF brandstof'!M4*'SEAP template'!M88+'SEAP template'!O88*EF_anderfossiel_CO2</f>
        <v>0</v>
      </c>
      <c r="R88" s="792">
        <v>0</v>
      </c>
    </row>
    <row r="89" spans="1:19" ht="30" thickBot="1">
      <c r="A89" s="696" t="s">
        <v>340</v>
      </c>
      <c r="B89" s="709">
        <f>'lokale energieproductie'!B19*IFERROR(SUM(I89:O89)/SUM(D89:O89),0)</f>
        <v>0</v>
      </c>
      <c r="C89" s="709">
        <f>'lokale energieproductie'!B19*IFERROR(SUM(D89:H89)/SUM(D89:O89),0)</f>
        <v>0</v>
      </c>
      <c r="D89" s="720">
        <f>'lokale energieproductie'!C19</f>
        <v>0</v>
      </c>
      <c r="E89" s="720">
        <f>'lokale energieproductie'!D19</f>
        <v>0</v>
      </c>
      <c r="F89" s="720">
        <f>'lokale energieproductie'!E19</f>
        <v>0</v>
      </c>
      <c r="G89" s="720">
        <f>'lokale energieproductie'!F19</f>
        <v>0</v>
      </c>
      <c r="H89" s="720">
        <f>'lokale energieproductie'!G19</f>
        <v>0</v>
      </c>
      <c r="I89" s="720">
        <f>'lokale energieproductie'!I19</f>
        <v>0</v>
      </c>
      <c r="J89" s="720">
        <f>'lokale energieproductie'!J19</f>
        <v>0</v>
      </c>
      <c r="K89" s="720">
        <f>'lokale energieproductie'!M19</f>
        <v>0</v>
      </c>
      <c r="L89" s="720">
        <f>'lokale energieproductie'!N19</f>
        <v>0</v>
      </c>
      <c r="M89" s="720">
        <f>'lokale energieproductie'!H19</f>
        <v>0</v>
      </c>
      <c r="N89" s="720">
        <f>'lokale energieproductie'!K19</f>
        <v>0</v>
      </c>
      <c r="O89" s="720">
        <f>'lokale energieproductie'!L19</f>
        <v>0</v>
      </c>
      <c r="P89" s="1109"/>
      <c r="Q89" s="799">
        <f>D89*EF_CO2_aardgas+E89*EF_VLgas_CO2+'SEAP template'!F89*EF_stookolie_CO2+EF_bruinkool_CO2*'SEAP template'!G89+'SEAP template'!H89*EF_steenkool_CO2+'EF brandstof'!M4*'SEAP template'!M89+'SEAP template'!O89*EF_anderfossiel_CO2</f>
        <v>0</v>
      </c>
      <c r="R89" s="793">
        <v>0</v>
      </c>
    </row>
    <row r="90" spans="1:19" ht="16.5" thickTop="1" thickBot="1">
      <c r="A90" s="711" t="s">
        <v>109</v>
      </c>
      <c r="B90" s="698">
        <f>SUM(B87:B89)</f>
        <v>25120.928571428569</v>
      </c>
      <c r="C90" s="698">
        <f>SUM(C87:C89)</f>
        <v>0</v>
      </c>
      <c r="D90" s="698">
        <f t="shared" ref="D90:H90" si="12">SUM(D87:D89)</f>
        <v>0</v>
      </c>
      <c r="E90" s="698">
        <f t="shared" si="12"/>
        <v>0</v>
      </c>
      <c r="F90" s="698">
        <f t="shared" si="12"/>
        <v>0</v>
      </c>
      <c r="G90" s="698">
        <f t="shared" si="12"/>
        <v>0</v>
      </c>
      <c r="H90" s="698">
        <f t="shared" si="12"/>
        <v>0</v>
      </c>
      <c r="I90" s="698">
        <f>SUM(I87:I89)</f>
        <v>0</v>
      </c>
      <c r="J90" s="698">
        <f>SUM(J87:J89)</f>
        <v>29554.033613445372</v>
      </c>
      <c r="K90" s="698">
        <f t="shared" ref="K90:L90" si="13">SUM(K87:K89)</f>
        <v>0</v>
      </c>
      <c r="L90" s="698">
        <f t="shared" si="13"/>
        <v>0</v>
      </c>
      <c r="M90" s="698">
        <f>SUM(M87:M89)</f>
        <v>0</v>
      </c>
      <c r="N90" s="698">
        <f>SUM(N87:N89)</f>
        <v>0</v>
      </c>
      <c r="O90" s="698">
        <f>SUM(O87:O89)</f>
        <v>0</v>
      </c>
      <c r="P90" s="698">
        <v>0</v>
      </c>
      <c r="Q90" s="698">
        <f>SUM(Q87:Q89)</f>
        <v>0</v>
      </c>
      <c r="R90" s="805">
        <f>SUM(R87:R89)</f>
        <v>0</v>
      </c>
    </row>
    <row r="91" spans="1:19" ht="15.75" thickTop="1">
      <c r="A91" s="712"/>
      <c r="B91" s="712"/>
      <c r="C91" s="713"/>
      <c r="D91" s="714"/>
      <c r="E91" s="715"/>
      <c r="F91" s="703"/>
      <c r="G91" s="703"/>
      <c r="H91" s="703"/>
      <c r="I91" s="703"/>
      <c r="J91" s="703"/>
      <c r="K91" s="703"/>
      <c r="L91" s="703"/>
      <c r="M91" s="661"/>
      <c r="Q91" s="703"/>
      <c r="R91" s="661"/>
      <c r="S91" s="69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21" t="s">
        <v>544</v>
      </c>
      <c r="B1" s="1122" t="s">
        <v>540</v>
      </c>
      <c r="C1" s="1122"/>
      <c r="D1" s="1122"/>
      <c r="E1" s="1122"/>
      <c r="F1" s="1122"/>
      <c r="G1" s="1122"/>
      <c r="H1" s="1122"/>
      <c r="I1" s="1122"/>
      <c r="J1" s="1122"/>
      <c r="K1" s="1122"/>
      <c r="L1" s="1122"/>
      <c r="M1" s="1122"/>
      <c r="N1" s="1122"/>
      <c r="O1" s="1122"/>
      <c r="P1" s="1123"/>
      <c r="Q1" s="960"/>
    </row>
    <row r="2" spans="1:17">
      <c r="A2" s="1121"/>
      <c r="B2" s="1124" t="s">
        <v>20</v>
      </c>
      <c r="C2" s="1126" t="s">
        <v>189</v>
      </c>
      <c r="D2" s="1128" t="s">
        <v>190</v>
      </c>
      <c r="E2" s="1129"/>
      <c r="F2" s="1129"/>
      <c r="G2" s="1129"/>
      <c r="H2" s="1129"/>
      <c r="I2" s="1129"/>
      <c r="J2" s="1129"/>
      <c r="K2" s="1125"/>
      <c r="L2" s="1128" t="s">
        <v>191</v>
      </c>
      <c r="M2" s="1129"/>
      <c r="N2" s="1129"/>
      <c r="O2" s="1129"/>
      <c r="P2" s="1125"/>
      <c r="Q2" s="960"/>
    </row>
    <row r="3" spans="1:17" ht="45">
      <c r="A3" s="1121"/>
      <c r="B3" s="1125"/>
      <c r="C3" s="1127"/>
      <c r="D3" s="960" t="s">
        <v>192</v>
      </c>
      <c r="E3" s="960" t="s">
        <v>193</v>
      </c>
      <c r="F3" s="960" t="s">
        <v>194</v>
      </c>
      <c r="G3" s="960" t="s">
        <v>195</v>
      </c>
      <c r="H3" s="960" t="s">
        <v>113</v>
      </c>
      <c r="I3" s="960" t="s">
        <v>196</v>
      </c>
      <c r="J3" s="960" t="s">
        <v>197</v>
      </c>
      <c r="K3" s="960" t="s">
        <v>198</v>
      </c>
      <c r="L3" s="960" t="s">
        <v>199</v>
      </c>
      <c r="M3" s="960" t="s">
        <v>200</v>
      </c>
      <c r="N3" s="960" t="s">
        <v>201</v>
      </c>
      <c r="O3" s="960" t="s">
        <v>202</v>
      </c>
      <c r="P3" s="960" t="s">
        <v>203</v>
      </c>
      <c r="Q3" s="960" t="s">
        <v>109</v>
      </c>
    </row>
    <row r="4" spans="1:17">
      <c r="A4" s="447" t="s">
        <v>148</v>
      </c>
      <c r="B4" s="448">
        <f>huishoudens!B8</f>
        <v>53968.917498594717</v>
      </c>
      <c r="C4" s="448">
        <f>huishoudens!C8</f>
        <v>0</v>
      </c>
      <c r="D4" s="448">
        <f>huishoudens!D8</f>
        <v>85864.204440023634</v>
      </c>
      <c r="E4" s="448">
        <f>huishoudens!E8</f>
        <v>3286.9238810126503</v>
      </c>
      <c r="F4" s="448">
        <f>huishoudens!F8</f>
        <v>100729.33624856631</v>
      </c>
      <c r="G4" s="448">
        <f>huishoudens!G8</f>
        <v>0</v>
      </c>
      <c r="H4" s="448">
        <f>huishoudens!H8</f>
        <v>0</v>
      </c>
      <c r="I4" s="448">
        <f>huishoudens!I8</f>
        <v>0</v>
      </c>
      <c r="J4" s="448">
        <f>huishoudens!J8</f>
        <v>1907.6130588734791</v>
      </c>
      <c r="K4" s="448">
        <f>huishoudens!K8</f>
        <v>0</v>
      </c>
      <c r="L4" s="448">
        <f>huishoudens!L8</f>
        <v>0</v>
      </c>
      <c r="M4" s="448">
        <f>huishoudens!M8</f>
        <v>0</v>
      </c>
      <c r="N4" s="448">
        <f>huishoudens!N8</f>
        <v>17402.249409768185</v>
      </c>
      <c r="O4" s="448">
        <f>huishoudens!O8</f>
        <v>356.44</v>
      </c>
      <c r="P4" s="449">
        <f>huishoudens!P8</f>
        <v>1144</v>
      </c>
      <c r="Q4" s="450">
        <f>SUM(B4:P4)</f>
        <v>264659.68453683902</v>
      </c>
    </row>
    <row r="5" spans="1:17">
      <c r="A5" s="447" t="s">
        <v>149</v>
      </c>
      <c r="B5" s="448">
        <f ca="1">tertiair!B16</f>
        <v>21861.153538775965</v>
      </c>
      <c r="C5" s="448">
        <f ca="1">tertiair!C16</f>
        <v>0</v>
      </c>
      <c r="D5" s="448">
        <f ca="1">tertiair!D16</f>
        <v>27409.283809412053</v>
      </c>
      <c r="E5" s="448">
        <f>tertiair!E16</f>
        <v>128.1033610042407</v>
      </c>
      <c r="F5" s="448">
        <f ca="1">tertiair!F16</f>
        <v>2745.2421420029495</v>
      </c>
      <c r="G5" s="448">
        <f>tertiair!G16</f>
        <v>0</v>
      </c>
      <c r="H5" s="448">
        <f>tertiair!H16</f>
        <v>0</v>
      </c>
      <c r="I5" s="448">
        <f>tertiair!I16</f>
        <v>0</v>
      </c>
      <c r="J5" s="448">
        <f>tertiair!J16</f>
        <v>86.390430826470961</v>
      </c>
      <c r="K5" s="448">
        <f>tertiair!K16</f>
        <v>0</v>
      </c>
      <c r="L5" s="448">
        <f ca="1">tertiair!L16</f>
        <v>0</v>
      </c>
      <c r="M5" s="448">
        <f>tertiair!M16</f>
        <v>0</v>
      </c>
      <c r="N5" s="448">
        <f ca="1">tertiair!N16</f>
        <v>1431.4283765596738</v>
      </c>
      <c r="O5" s="448">
        <f>tertiair!O16</f>
        <v>7.8166666666666664</v>
      </c>
      <c r="P5" s="449">
        <f>tertiair!P16</f>
        <v>57.2</v>
      </c>
      <c r="Q5" s="447">
        <f t="shared" ref="Q5:Q14" ca="1" si="0">SUM(B5:P5)</f>
        <v>53726.618325248011</v>
      </c>
    </row>
    <row r="6" spans="1:17">
      <c r="A6" s="447" t="s">
        <v>187</v>
      </c>
      <c r="B6" s="448">
        <f>'openbare verlichting'!B8</f>
        <v>2145.9569999999999</v>
      </c>
      <c r="C6" s="448"/>
      <c r="D6" s="448"/>
      <c r="E6" s="448"/>
      <c r="F6" s="448"/>
      <c r="G6" s="448"/>
      <c r="H6" s="448"/>
      <c r="I6" s="448"/>
      <c r="J6" s="448"/>
      <c r="K6" s="448"/>
      <c r="L6" s="448"/>
      <c r="M6" s="448"/>
      <c r="N6" s="448"/>
      <c r="O6" s="448"/>
      <c r="P6" s="449"/>
      <c r="Q6" s="447">
        <f t="shared" si="0"/>
        <v>2145.9569999999999</v>
      </c>
    </row>
    <row r="7" spans="1:17">
      <c r="A7" s="447" t="s">
        <v>105</v>
      </c>
      <c r="B7" s="448">
        <f>landbouw!B8</f>
        <v>4743.5749554210652</v>
      </c>
      <c r="C7" s="448">
        <f>landbouw!C8</f>
        <v>25120.928571428569</v>
      </c>
      <c r="D7" s="448">
        <f>landbouw!D8</f>
        <v>326.23483309764521</v>
      </c>
      <c r="E7" s="448">
        <f>landbouw!E8</f>
        <v>98.498959054755062</v>
      </c>
      <c r="F7" s="448">
        <f>landbouw!F8</f>
        <v>16763.914934635715</v>
      </c>
      <c r="G7" s="448">
        <f>landbouw!G8</f>
        <v>0</v>
      </c>
      <c r="H7" s="448">
        <f>landbouw!H8</f>
        <v>0</v>
      </c>
      <c r="I7" s="448">
        <f>landbouw!I8</f>
        <v>0</v>
      </c>
      <c r="J7" s="448">
        <f>landbouw!J8</f>
        <v>544.05804508006304</v>
      </c>
      <c r="K7" s="448">
        <f>landbouw!K8</f>
        <v>0</v>
      </c>
      <c r="L7" s="448">
        <f>landbouw!L8</f>
        <v>0</v>
      </c>
      <c r="M7" s="448">
        <f>landbouw!M8</f>
        <v>0</v>
      </c>
      <c r="N7" s="448">
        <f>landbouw!N8</f>
        <v>0</v>
      </c>
      <c r="O7" s="448">
        <f>landbouw!O8</f>
        <v>0</v>
      </c>
      <c r="P7" s="449">
        <f>landbouw!P8</f>
        <v>0</v>
      </c>
      <c r="Q7" s="447">
        <f t="shared" si="0"/>
        <v>47597.210298717815</v>
      </c>
    </row>
    <row r="8" spans="1:17">
      <c r="A8" s="447" t="s">
        <v>614</v>
      </c>
      <c r="B8" s="448">
        <f>industrie!B18</f>
        <v>26460.692317563986</v>
      </c>
      <c r="C8" s="448">
        <f>industrie!C18</f>
        <v>0</v>
      </c>
      <c r="D8" s="448">
        <f>industrie!D18</f>
        <v>25493.056914581317</v>
      </c>
      <c r="E8" s="448">
        <f>industrie!E18</f>
        <v>2390.7804900065612</v>
      </c>
      <c r="F8" s="448">
        <f>industrie!F18</f>
        <v>30424.166454774975</v>
      </c>
      <c r="G8" s="448">
        <f>industrie!G18</f>
        <v>0</v>
      </c>
      <c r="H8" s="448">
        <f>industrie!H18</f>
        <v>0</v>
      </c>
      <c r="I8" s="448">
        <f>industrie!I18</f>
        <v>0</v>
      </c>
      <c r="J8" s="448">
        <f>industrie!J18</f>
        <v>14.390917698026566</v>
      </c>
      <c r="K8" s="448">
        <f>industrie!K18</f>
        <v>0</v>
      </c>
      <c r="L8" s="448">
        <f>industrie!L18</f>
        <v>0</v>
      </c>
      <c r="M8" s="448">
        <f>industrie!M18</f>
        <v>0</v>
      </c>
      <c r="N8" s="448">
        <f>industrie!N18</f>
        <v>5917.4261175992615</v>
      </c>
      <c r="O8" s="448">
        <f>industrie!O18</f>
        <v>0</v>
      </c>
      <c r="P8" s="449">
        <f>industrie!P18</f>
        <v>0</v>
      </c>
      <c r="Q8" s="447">
        <f t="shared" si="0"/>
        <v>90700.513212224119</v>
      </c>
    </row>
    <row r="9" spans="1:17" s="453" customFormat="1">
      <c r="A9" s="451" t="s">
        <v>555</v>
      </c>
      <c r="B9" s="452">
        <f>transport!B14</f>
        <v>12.503911043216185</v>
      </c>
      <c r="C9" s="452">
        <f>transport!C14</f>
        <v>0</v>
      </c>
      <c r="D9" s="452">
        <f>transport!D14</f>
        <v>14.027480688952203</v>
      </c>
      <c r="E9" s="452">
        <f>transport!E14</f>
        <v>493.51924302382116</v>
      </c>
      <c r="F9" s="452">
        <f>transport!F14</f>
        <v>0</v>
      </c>
      <c r="G9" s="452">
        <f>transport!G14</f>
        <v>134098.65319502421</v>
      </c>
      <c r="H9" s="452">
        <f>transport!H14</f>
        <v>25245.742519075346</v>
      </c>
      <c r="I9" s="452">
        <f>transport!I14</f>
        <v>0</v>
      </c>
      <c r="J9" s="452">
        <f>transport!J14</f>
        <v>0</v>
      </c>
      <c r="K9" s="452">
        <f>transport!K14</f>
        <v>0</v>
      </c>
      <c r="L9" s="452">
        <f>transport!L14</f>
        <v>0</v>
      </c>
      <c r="M9" s="452">
        <f>transport!M14</f>
        <v>7205.5147880286513</v>
      </c>
      <c r="N9" s="452">
        <f>transport!N14</f>
        <v>0</v>
      </c>
      <c r="O9" s="452">
        <f>transport!O14</f>
        <v>0</v>
      </c>
      <c r="P9" s="452">
        <f>transport!P14</f>
        <v>0</v>
      </c>
      <c r="Q9" s="451">
        <f>SUM(B9:P9)</f>
        <v>167069.96113688417</v>
      </c>
    </row>
    <row r="10" spans="1:17">
      <c r="A10" s="447" t="s">
        <v>545</v>
      </c>
      <c r="B10" s="448">
        <f>transport!B54</f>
        <v>9.7011304000574476</v>
      </c>
      <c r="C10" s="448">
        <f>transport!C54</f>
        <v>0</v>
      </c>
      <c r="D10" s="448">
        <f>transport!D54</f>
        <v>0</v>
      </c>
      <c r="E10" s="448">
        <f>transport!E54</f>
        <v>0</v>
      </c>
      <c r="F10" s="448">
        <f>transport!F54</f>
        <v>0</v>
      </c>
      <c r="G10" s="448">
        <f>transport!G54</f>
        <v>1888.2701395625004</v>
      </c>
      <c r="H10" s="448">
        <f>transport!H54</f>
        <v>0</v>
      </c>
      <c r="I10" s="448">
        <f>transport!I54</f>
        <v>0</v>
      </c>
      <c r="J10" s="448">
        <f>transport!J54</f>
        <v>0</v>
      </c>
      <c r="K10" s="448">
        <f>transport!K54</f>
        <v>0</v>
      </c>
      <c r="L10" s="448">
        <f>transport!L54</f>
        <v>0</v>
      </c>
      <c r="M10" s="448">
        <f>transport!M54</f>
        <v>84.671619705899488</v>
      </c>
      <c r="N10" s="448">
        <f>transport!N54</f>
        <v>0</v>
      </c>
      <c r="O10" s="448">
        <f>transport!O54</f>
        <v>0</v>
      </c>
      <c r="P10" s="449">
        <f>transport!P54</f>
        <v>0</v>
      </c>
      <c r="Q10" s="447">
        <f t="shared" si="0"/>
        <v>1982.6428896684574</v>
      </c>
    </row>
    <row r="11" spans="1:17">
      <c r="A11" s="447" t="s">
        <v>546</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547</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548</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812</v>
      </c>
      <c r="B14" s="455">
        <f>'SEAP template'!C25</f>
        <v>1778.4276558318102</v>
      </c>
      <c r="C14" s="455"/>
      <c r="D14" s="455">
        <f>'SEAP template'!E25</f>
        <v>3382.9977230424929</v>
      </c>
      <c r="E14" s="455"/>
      <c r="F14" s="455"/>
      <c r="G14" s="455"/>
      <c r="H14" s="455"/>
      <c r="I14" s="455"/>
      <c r="J14" s="455"/>
      <c r="K14" s="455"/>
      <c r="L14" s="455"/>
      <c r="M14" s="455"/>
      <c r="N14" s="455"/>
      <c r="O14" s="455"/>
      <c r="P14" s="456"/>
      <c r="Q14" s="447">
        <f t="shared" si="0"/>
        <v>5161.4253788743026</v>
      </c>
    </row>
    <row r="15" spans="1:17" s="460" customFormat="1">
      <c r="A15" s="457" t="s">
        <v>549</v>
      </c>
      <c r="B15" s="458">
        <f ca="1">SUM(B4:B14)</f>
        <v>110980.92800763081</v>
      </c>
      <c r="C15" s="458">
        <f t="shared" ref="C15:Q15" ca="1" si="1">SUM(C4:C14)</f>
        <v>25120.928571428569</v>
      </c>
      <c r="D15" s="458">
        <f t="shared" ca="1" si="1"/>
        <v>142489.80520084611</v>
      </c>
      <c r="E15" s="458">
        <f t="shared" si="1"/>
        <v>6397.8259341020284</v>
      </c>
      <c r="F15" s="458">
        <f t="shared" ca="1" si="1"/>
        <v>150662.65977997993</v>
      </c>
      <c r="G15" s="458">
        <f t="shared" si="1"/>
        <v>135986.9233345867</v>
      </c>
      <c r="H15" s="458">
        <f t="shared" si="1"/>
        <v>25245.742519075346</v>
      </c>
      <c r="I15" s="458">
        <f t="shared" si="1"/>
        <v>0</v>
      </c>
      <c r="J15" s="458">
        <f t="shared" si="1"/>
        <v>2552.4524524780395</v>
      </c>
      <c r="K15" s="458">
        <f t="shared" si="1"/>
        <v>0</v>
      </c>
      <c r="L15" s="458">
        <f t="shared" ca="1" si="1"/>
        <v>0</v>
      </c>
      <c r="M15" s="458">
        <f t="shared" si="1"/>
        <v>7290.1864077345508</v>
      </c>
      <c r="N15" s="458">
        <f t="shared" ca="1" si="1"/>
        <v>24751.10390392712</v>
      </c>
      <c r="O15" s="458">
        <f t="shared" si="1"/>
        <v>364.25666666666666</v>
      </c>
      <c r="P15" s="458">
        <f t="shared" si="1"/>
        <v>1201.2</v>
      </c>
      <c r="Q15" s="458">
        <f t="shared" ca="1" si="1"/>
        <v>633044.01277845597</v>
      </c>
    </row>
    <row r="17" spans="1:17">
      <c r="A17" s="461" t="s">
        <v>550</v>
      </c>
      <c r="B17" s="731">
        <f ca="1">huishoudens!B10</f>
        <v>0.17420263799879329</v>
      </c>
      <c r="C17" s="731">
        <f ca="1">huishoudens!C10</f>
        <v>0</v>
      </c>
      <c r="D17" s="731">
        <f>huishoudens!D10</f>
        <v>0.20200000000000001</v>
      </c>
      <c r="E17" s="731">
        <f>huishoudens!E10</f>
        <v>0.22700000000000001</v>
      </c>
      <c r="F17" s="731">
        <f>huishoudens!F10</f>
        <v>0.26700000000000002</v>
      </c>
      <c r="G17" s="731">
        <f>huishoudens!G10</f>
        <v>0.26700000000000002</v>
      </c>
      <c r="H17" s="731">
        <f>huishoudens!H10</f>
        <v>0.249</v>
      </c>
      <c r="I17" s="731">
        <f>huishoudens!I10</f>
        <v>0.35099999999999998</v>
      </c>
      <c r="J17" s="731">
        <f>huishoudens!J10</f>
        <v>0.35399999999999998</v>
      </c>
      <c r="K17" s="731">
        <f>huishoudens!K10</f>
        <v>0.26400000000000001</v>
      </c>
      <c r="L17" s="731">
        <f>huishoudens!L10</f>
        <v>0</v>
      </c>
      <c r="M17" s="731">
        <f>huishoudens!M10</f>
        <v>0</v>
      </c>
      <c r="N17" s="731">
        <f>huishoudens!N10</f>
        <v>0</v>
      </c>
      <c r="O17" s="731">
        <f>huishoudens!O10</f>
        <v>0</v>
      </c>
      <c r="P17" s="731">
        <f>huishoudens!P10</f>
        <v>0</v>
      </c>
    </row>
    <row r="18" spans="1:17" ht="15.75" customHeight="1"/>
    <row r="19" spans="1:17" ht="15" customHeight="1">
      <c r="A19" s="1121" t="s">
        <v>552</v>
      </c>
      <c r="B19" s="1122" t="s">
        <v>551</v>
      </c>
      <c r="C19" s="1122"/>
      <c r="D19" s="1122"/>
      <c r="E19" s="1122"/>
      <c r="F19" s="1122"/>
      <c r="G19" s="1122"/>
      <c r="H19" s="1122"/>
      <c r="I19" s="1122"/>
      <c r="J19" s="1122"/>
      <c r="K19" s="1122"/>
      <c r="L19" s="1122"/>
      <c r="M19" s="1122"/>
      <c r="N19" s="1122"/>
      <c r="O19" s="1122"/>
      <c r="P19" s="1123"/>
      <c r="Q19" s="960"/>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960"/>
    </row>
    <row r="21" spans="1:17" ht="45">
      <c r="A21" s="1121"/>
      <c r="B21" s="1125"/>
      <c r="C21" s="1127"/>
      <c r="D21" s="960" t="s">
        <v>192</v>
      </c>
      <c r="E21" s="960" t="s">
        <v>193</v>
      </c>
      <c r="F21" s="960" t="s">
        <v>194</v>
      </c>
      <c r="G21" s="960" t="s">
        <v>195</v>
      </c>
      <c r="H21" s="960" t="s">
        <v>113</v>
      </c>
      <c r="I21" s="960" t="s">
        <v>196</v>
      </c>
      <c r="J21" s="960" t="s">
        <v>197</v>
      </c>
      <c r="K21" s="960" t="s">
        <v>198</v>
      </c>
      <c r="L21" s="960" t="s">
        <v>199</v>
      </c>
      <c r="M21" s="960" t="s">
        <v>200</v>
      </c>
      <c r="N21" s="960" t="s">
        <v>201</v>
      </c>
      <c r="O21" s="960" t="s">
        <v>202</v>
      </c>
      <c r="P21" s="960" t="s">
        <v>203</v>
      </c>
      <c r="Q21" s="960" t="s">
        <v>109</v>
      </c>
    </row>
    <row r="22" spans="1:17">
      <c r="A22" s="447" t="s">
        <v>148</v>
      </c>
      <c r="B22" s="448">
        <f t="shared" ref="B22:B32" ca="1" si="2">B4*$B$17</f>
        <v>9401.5277981944364</v>
      </c>
      <c r="C22" s="448">
        <f t="shared" ref="C22:C32" ca="1" si="3">C4*$C$17</f>
        <v>0</v>
      </c>
      <c r="D22" s="448">
        <f t="shared" ref="D22:D32" si="4">D4*$D$17</f>
        <v>17344.569296884776</v>
      </c>
      <c r="E22" s="448">
        <f t="shared" ref="E22:E32" si="5">E4*$E$17</f>
        <v>746.13172098987161</v>
      </c>
      <c r="F22" s="448">
        <f t="shared" ref="F22:F32" si="6">F4*$F$17</f>
        <v>26894.732778367204</v>
      </c>
      <c r="G22" s="448">
        <f t="shared" ref="G22:G32" si="7">G4*$G$17</f>
        <v>0</v>
      </c>
      <c r="H22" s="448">
        <f t="shared" ref="H22:H32" si="8">H4*$H$17</f>
        <v>0</v>
      </c>
      <c r="I22" s="448">
        <f t="shared" ref="I22:I32" si="9">I4*$I$17</f>
        <v>0</v>
      </c>
      <c r="J22" s="448">
        <f t="shared" ref="J22:J32" si="10">J4*$J$17</f>
        <v>675.29502284121156</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55062.256617277497</v>
      </c>
    </row>
    <row r="23" spans="1:17">
      <c r="A23" s="447" t="s">
        <v>149</v>
      </c>
      <c r="B23" s="448">
        <f t="shared" ca="1" si="2"/>
        <v>3808.2706161514284</v>
      </c>
      <c r="C23" s="448">
        <f t="shared" ca="1" si="3"/>
        <v>0</v>
      </c>
      <c r="D23" s="448">
        <f t="shared" ca="1" si="4"/>
        <v>5536.675329501235</v>
      </c>
      <c r="E23" s="448">
        <f t="shared" si="5"/>
        <v>29.079462947962639</v>
      </c>
      <c r="F23" s="448">
        <f t="shared" ca="1" si="6"/>
        <v>732.97965191478761</v>
      </c>
      <c r="G23" s="448">
        <f t="shared" si="7"/>
        <v>0</v>
      </c>
      <c r="H23" s="448">
        <f t="shared" si="8"/>
        <v>0</v>
      </c>
      <c r="I23" s="448">
        <f t="shared" si="9"/>
        <v>0</v>
      </c>
      <c r="J23" s="448">
        <f t="shared" si="10"/>
        <v>30.58221251257072</v>
      </c>
      <c r="K23" s="448">
        <f t="shared" si="11"/>
        <v>0</v>
      </c>
      <c r="L23" s="448">
        <f t="shared" ca="1" si="12"/>
        <v>0</v>
      </c>
      <c r="M23" s="448">
        <f t="shared" si="13"/>
        <v>0</v>
      </c>
      <c r="N23" s="448">
        <f t="shared" ca="1" si="14"/>
        <v>0</v>
      </c>
      <c r="O23" s="448">
        <f t="shared" si="15"/>
        <v>0</v>
      </c>
      <c r="P23" s="449">
        <f t="shared" si="16"/>
        <v>0</v>
      </c>
      <c r="Q23" s="447">
        <f t="shared" ref="Q23:Q32" ca="1" si="17">SUM(B23:P23)</f>
        <v>10137.587273027984</v>
      </c>
    </row>
    <row r="24" spans="1:17">
      <c r="A24" s="447" t="s">
        <v>187</v>
      </c>
      <c r="B24" s="448">
        <f t="shared" ca="1" si="2"/>
        <v>373.83137043197644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373.83137043197644</v>
      </c>
    </row>
    <row r="25" spans="1:17">
      <c r="A25" s="447" t="s">
        <v>105</v>
      </c>
      <c r="B25" s="448">
        <f t="shared" ca="1" si="2"/>
        <v>826.34327077935779</v>
      </c>
      <c r="C25" s="448">
        <f t="shared" ca="1" si="3"/>
        <v>0</v>
      </c>
      <c r="D25" s="448">
        <f t="shared" si="4"/>
        <v>65.899436285724335</v>
      </c>
      <c r="E25" s="448">
        <f t="shared" si="5"/>
        <v>22.359263705429399</v>
      </c>
      <c r="F25" s="448">
        <f t="shared" si="6"/>
        <v>4475.9652875477359</v>
      </c>
      <c r="G25" s="448">
        <f t="shared" si="7"/>
        <v>0</v>
      </c>
      <c r="H25" s="448">
        <f t="shared" si="8"/>
        <v>0</v>
      </c>
      <c r="I25" s="448">
        <f t="shared" si="9"/>
        <v>0</v>
      </c>
      <c r="J25" s="448">
        <f t="shared" si="10"/>
        <v>192.59654795834231</v>
      </c>
      <c r="K25" s="448">
        <f t="shared" si="11"/>
        <v>0</v>
      </c>
      <c r="L25" s="448">
        <f t="shared" si="12"/>
        <v>0</v>
      </c>
      <c r="M25" s="448">
        <f t="shared" si="13"/>
        <v>0</v>
      </c>
      <c r="N25" s="448">
        <f t="shared" si="14"/>
        <v>0</v>
      </c>
      <c r="O25" s="448">
        <f t="shared" si="15"/>
        <v>0</v>
      </c>
      <c r="P25" s="449">
        <f t="shared" si="16"/>
        <v>0</v>
      </c>
      <c r="Q25" s="447">
        <f t="shared" ca="1" si="17"/>
        <v>5583.1638062765896</v>
      </c>
    </row>
    <row r="26" spans="1:17">
      <c r="A26" s="447" t="s">
        <v>614</v>
      </c>
      <c r="B26" s="448">
        <f t="shared" ca="1" si="2"/>
        <v>4609.5224049940498</v>
      </c>
      <c r="C26" s="448">
        <f t="shared" ca="1" si="3"/>
        <v>0</v>
      </c>
      <c r="D26" s="448">
        <f t="shared" si="4"/>
        <v>5149.5974967454267</v>
      </c>
      <c r="E26" s="448">
        <f t="shared" si="5"/>
        <v>542.70717123148938</v>
      </c>
      <c r="F26" s="448">
        <f t="shared" si="6"/>
        <v>8123.252443424919</v>
      </c>
      <c r="G26" s="448">
        <f t="shared" si="7"/>
        <v>0</v>
      </c>
      <c r="H26" s="448">
        <f t="shared" si="8"/>
        <v>0</v>
      </c>
      <c r="I26" s="448">
        <f t="shared" si="9"/>
        <v>0</v>
      </c>
      <c r="J26" s="448">
        <f t="shared" si="10"/>
        <v>5.0943848651014045</v>
      </c>
      <c r="K26" s="448">
        <f t="shared" si="11"/>
        <v>0</v>
      </c>
      <c r="L26" s="448">
        <f t="shared" si="12"/>
        <v>0</v>
      </c>
      <c r="M26" s="448">
        <f t="shared" si="13"/>
        <v>0</v>
      </c>
      <c r="N26" s="448">
        <f t="shared" si="14"/>
        <v>0</v>
      </c>
      <c r="O26" s="448">
        <f t="shared" si="15"/>
        <v>0</v>
      </c>
      <c r="P26" s="449">
        <f t="shared" si="16"/>
        <v>0</v>
      </c>
      <c r="Q26" s="447">
        <f t="shared" ca="1" si="17"/>
        <v>18430.173901260983</v>
      </c>
    </row>
    <row r="27" spans="1:17" s="453" customFormat="1">
      <c r="A27" s="451" t="s">
        <v>555</v>
      </c>
      <c r="B27" s="725">
        <f t="shared" ca="1" si="2"/>
        <v>2.1782142890305027</v>
      </c>
      <c r="C27" s="452">
        <f t="shared" ca="1" si="3"/>
        <v>0</v>
      </c>
      <c r="D27" s="452">
        <f t="shared" si="4"/>
        <v>2.833551099168345</v>
      </c>
      <c r="E27" s="452">
        <f t="shared" si="5"/>
        <v>112.02886816640741</v>
      </c>
      <c r="F27" s="452">
        <f t="shared" si="6"/>
        <v>0</v>
      </c>
      <c r="G27" s="452">
        <f t="shared" si="7"/>
        <v>35804.340403071466</v>
      </c>
      <c r="H27" s="452">
        <f t="shared" si="8"/>
        <v>6286.1898872497613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42207.570923875835</v>
      </c>
    </row>
    <row r="28" spans="1:17">
      <c r="A28" s="447" t="s">
        <v>545</v>
      </c>
      <c r="B28" s="448">
        <f t="shared" ca="1" si="2"/>
        <v>1.6899625072602964</v>
      </c>
      <c r="C28" s="448">
        <f t="shared" ca="1" si="3"/>
        <v>0</v>
      </c>
      <c r="D28" s="448">
        <f t="shared" si="4"/>
        <v>0</v>
      </c>
      <c r="E28" s="448">
        <f t="shared" si="5"/>
        <v>0</v>
      </c>
      <c r="F28" s="448">
        <f t="shared" si="6"/>
        <v>0</v>
      </c>
      <c r="G28" s="448">
        <f t="shared" si="7"/>
        <v>504.16812726318761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505.85808977044792</v>
      </c>
    </row>
    <row r="29" spans="1:17">
      <c r="A29" s="447" t="s">
        <v>546</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547</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548</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812</v>
      </c>
      <c r="B32" s="448">
        <f t="shared" ca="1" si="2"/>
        <v>309.80678913591134</v>
      </c>
      <c r="C32" s="448">
        <f t="shared" ca="1" si="3"/>
        <v>0</v>
      </c>
      <c r="D32" s="448">
        <f t="shared" si="4"/>
        <v>683.36554005458356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993.17232919049491</v>
      </c>
    </row>
    <row r="33" spans="1:17" s="460" customFormat="1">
      <c r="A33" s="457" t="s">
        <v>549</v>
      </c>
      <c r="B33" s="458">
        <f ca="1">SUM(B22:B32)</f>
        <v>19333.170426483452</v>
      </c>
      <c r="C33" s="458">
        <f t="shared" ref="C33:Q33" ca="1" si="18">SUM(C22:C32)</f>
        <v>0</v>
      </c>
      <c r="D33" s="458">
        <f t="shared" ca="1" si="18"/>
        <v>28782.940650570912</v>
      </c>
      <c r="E33" s="458">
        <f t="shared" si="18"/>
        <v>1452.3064870411604</v>
      </c>
      <c r="F33" s="458">
        <f t="shared" ca="1" si="18"/>
        <v>40226.930161254648</v>
      </c>
      <c r="G33" s="458">
        <f t="shared" si="18"/>
        <v>36308.508530334657</v>
      </c>
      <c r="H33" s="458">
        <f t="shared" si="18"/>
        <v>6286.1898872497613</v>
      </c>
      <c r="I33" s="458">
        <f t="shared" si="18"/>
        <v>0</v>
      </c>
      <c r="J33" s="458">
        <f t="shared" si="18"/>
        <v>903.56816817722597</v>
      </c>
      <c r="K33" s="458">
        <f t="shared" si="18"/>
        <v>0</v>
      </c>
      <c r="L33" s="458">
        <f t="shared" ca="1" si="18"/>
        <v>0</v>
      </c>
      <c r="M33" s="458">
        <f t="shared" si="18"/>
        <v>0</v>
      </c>
      <c r="N33" s="458">
        <f t="shared" ca="1" si="18"/>
        <v>0</v>
      </c>
      <c r="O33" s="458">
        <f t="shared" si="18"/>
        <v>0</v>
      </c>
      <c r="P33" s="458">
        <f t="shared" si="18"/>
        <v>0</v>
      </c>
      <c r="Q33" s="458">
        <f t="shared" ca="1" si="18"/>
        <v>133293.61431111183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6"/>
  </sheetPr>
  <dimension ref="A1:Q20"/>
  <sheetViews>
    <sheetView zoomScale="40" zoomScaleNormal="40" workbookViewId="0">
      <selection activeCell="K8" sqref="K8"/>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879" customFormat="1" ht="21">
      <c r="A1" s="1130" t="s">
        <v>544</v>
      </c>
      <c r="B1" s="1131" t="s">
        <v>768</v>
      </c>
      <c r="C1" s="1131"/>
      <c r="D1" s="1131"/>
      <c r="E1" s="1131"/>
      <c r="F1" s="1131"/>
      <c r="G1" s="1131"/>
      <c r="H1" s="1131"/>
      <c r="I1" s="1131"/>
      <c r="J1" s="1131"/>
      <c r="K1" s="1131"/>
      <c r="L1" s="1131"/>
      <c r="M1" s="1131"/>
      <c r="N1" s="1131"/>
      <c r="O1" s="1131"/>
      <c r="P1" s="1132"/>
      <c r="Q1" s="878"/>
    </row>
    <row r="2" spans="1:17" s="879" customFormat="1" ht="21">
      <c r="A2" s="1130"/>
      <c r="B2" s="1133" t="s">
        <v>20</v>
      </c>
      <c r="C2" s="1135" t="s">
        <v>189</v>
      </c>
      <c r="D2" s="1137" t="s">
        <v>190</v>
      </c>
      <c r="E2" s="1138"/>
      <c r="F2" s="1138"/>
      <c r="G2" s="1138"/>
      <c r="H2" s="1138"/>
      <c r="I2" s="1138"/>
      <c r="J2" s="1138"/>
      <c r="K2" s="1134"/>
      <c r="L2" s="1137" t="s">
        <v>191</v>
      </c>
      <c r="M2" s="1138"/>
      <c r="N2" s="1138"/>
      <c r="O2" s="1138"/>
      <c r="P2" s="1134"/>
      <c r="Q2" s="878"/>
    </row>
    <row r="3" spans="1:17" s="879" customFormat="1" ht="42">
      <c r="A3" s="1130"/>
      <c r="B3" s="1134"/>
      <c r="C3" s="1136"/>
      <c r="D3" s="880" t="s">
        <v>192</v>
      </c>
      <c r="E3" s="880" t="s">
        <v>193</v>
      </c>
      <c r="F3" s="880" t="s">
        <v>194</v>
      </c>
      <c r="G3" s="880" t="s">
        <v>195</v>
      </c>
      <c r="H3" s="880" t="s">
        <v>113</v>
      </c>
      <c r="I3" s="880" t="s">
        <v>196</v>
      </c>
      <c r="J3" s="880" t="s">
        <v>197</v>
      </c>
      <c r="K3" s="880" t="s">
        <v>198</v>
      </c>
      <c r="L3" s="880" t="s">
        <v>199</v>
      </c>
      <c r="M3" s="880" t="s">
        <v>200</v>
      </c>
      <c r="N3" s="880" t="s">
        <v>201</v>
      </c>
      <c r="O3" s="880" t="s">
        <v>202</v>
      </c>
      <c r="P3" s="880" t="s">
        <v>203</v>
      </c>
      <c r="Q3" s="878" t="s">
        <v>109</v>
      </c>
    </row>
    <row r="4" spans="1:17" ht="124.35" customHeight="1">
      <c r="A4" s="881" t="s">
        <v>148</v>
      </c>
      <c r="B4" s="882" t="s">
        <v>769</v>
      </c>
      <c r="C4" s="883" t="s">
        <v>770</v>
      </c>
      <c r="D4" s="884" t="s">
        <v>771</v>
      </c>
      <c r="E4" s="885" t="s">
        <v>772</v>
      </c>
      <c r="F4" s="885" t="s">
        <v>773</v>
      </c>
      <c r="G4" s="886" t="s">
        <v>776</v>
      </c>
      <c r="H4" s="886" t="s">
        <v>776</v>
      </c>
      <c r="I4" s="886" t="s">
        <v>776</v>
      </c>
      <c r="J4" s="885" t="s">
        <v>775</v>
      </c>
      <c r="K4" s="886" t="s">
        <v>776</v>
      </c>
      <c r="L4" s="886" t="s">
        <v>776</v>
      </c>
      <c r="M4" s="886" t="s">
        <v>776</v>
      </c>
      <c r="N4" s="885" t="s">
        <v>777</v>
      </c>
      <c r="O4" s="887" t="s">
        <v>778</v>
      </c>
      <c r="P4" s="888" t="s">
        <v>779</v>
      </c>
      <c r="Q4" s="889"/>
    </row>
    <row r="5" spans="1:17" ht="124.35" customHeight="1">
      <c r="A5" s="890" t="s">
        <v>149</v>
      </c>
      <c r="B5" s="891" t="s">
        <v>780</v>
      </c>
      <c r="C5" s="892" t="s">
        <v>781</v>
      </c>
      <c r="D5" s="892" t="s">
        <v>782</v>
      </c>
      <c r="E5" s="893" t="s">
        <v>783</v>
      </c>
      <c r="F5" s="893" t="s">
        <v>784</v>
      </c>
      <c r="G5" s="894" t="s">
        <v>776</v>
      </c>
      <c r="H5" s="894" t="s">
        <v>776</v>
      </c>
      <c r="I5" s="894" t="s">
        <v>776</v>
      </c>
      <c r="J5" s="893" t="s">
        <v>785</v>
      </c>
      <c r="K5" s="886" t="s">
        <v>776</v>
      </c>
      <c r="L5" s="894" t="s">
        <v>776</v>
      </c>
      <c r="M5" s="894" t="s">
        <v>776</v>
      </c>
      <c r="N5" s="893" t="s">
        <v>786</v>
      </c>
      <c r="O5" s="895" t="s">
        <v>778</v>
      </c>
      <c r="P5" s="896" t="s">
        <v>779</v>
      </c>
      <c r="Q5" s="897"/>
    </row>
    <row r="6" spans="1:17" ht="124.35" customHeight="1">
      <c r="A6" s="890" t="s">
        <v>187</v>
      </c>
      <c r="B6" s="898" t="s">
        <v>787</v>
      </c>
      <c r="C6" s="899" t="s">
        <v>774</v>
      </c>
      <c r="D6" s="894" t="s">
        <v>774</v>
      </c>
      <c r="E6" s="894" t="s">
        <v>774</v>
      </c>
      <c r="F6" s="894" t="s">
        <v>774</v>
      </c>
      <c r="G6" s="894" t="s">
        <v>774</v>
      </c>
      <c r="H6" s="894" t="s">
        <v>774</v>
      </c>
      <c r="I6" s="894" t="s">
        <v>774</v>
      </c>
      <c r="J6" s="894" t="s">
        <v>774</v>
      </c>
      <c r="K6" s="894" t="s">
        <v>774</v>
      </c>
      <c r="L6" s="894" t="s">
        <v>774</v>
      </c>
      <c r="M6" s="894" t="s">
        <v>774</v>
      </c>
      <c r="N6" s="894" t="s">
        <v>774</v>
      </c>
      <c r="O6" s="900" t="s">
        <v>774</v>
      </c>
      <c r="P6" s="901" t="s">
        <v>774</v>
      </c>
      <c r="Q6" s="902"/>
    </row>
    <row r="7" spans="1:17" ht="124.35" customHeight="1">
      <c r="A7" s="890" t="s">
        <v>105</v>
      </c>
      <c r="B7" s="898" t="s">
        <v>787</v>
      </c>
      <c r="C7" s="892" t="s">
        <v>781</v>
      </c>
      <c r="D7" s="892" t="s">
        <v>782</v>
      </c>
      <c r="E7" s="893" t="s">
        <v>783</v>
      </c>
      <c r="F7" s="893" t="s">
        <v>784</v>
      </c>
      <c r="G7" s="894" t="s">
        <v>776</v>
      </c>
      <c r="H7" s="894" t="s">
        <v>776</v>
      </c>
      <c r="I7" s="894" t="s">
        <v>776</v>
      </c>
      <c r="J7" s="893" t="s">
        <v>785</v>
      </c>
      <c r="K7" s="894" t="s">
        <v>776</v>
      </c>
      <c r="L7" s="894" t="s">
        <v>776</v>
      </c>
      <c r="M7" s="894" t="s">
        <v>776</v>
      </c>
      <c r="N7" s="903" t="s">
        <v>776</v>
      </c>
      <c r="O7" s="899" t="s">
        <v>776</v>
      </c>
      <c r="P7" s="904" t="s">
        <v>776</v>
      </c>
      <c r="Q7" s="897"/>
    </row>
    <row r="8" spans="1:17" ht="124.35" customHeight="1">
      <c r="A8" s="890" t="s">
        <v>614</v>
      </c>
      <c r="B8" s="891" t="s">
        <v>788</v>
      </c>
      <c r="C8" s="892" t="s">
        <v>781</v>
      </c>
      <c r="D8" s="892" t="s">
        <v>782</v>
      </c>
      <c r="E8" s="893" t="s">
        <v>783</v>
      </c>
      <c r="F8" s="893" t="s">
        <v>784</v>
      </c>
      <c r="G8" s="894" t="s">
        <v>776</v>
      </c>
      <c r="H8" s="894" t="s">
        <v>776</v>
      </c>
      <c r="I8" s="894" t="s">
        <v>776</v>
      </c>
      <c r="J8" s="893" t="s">
        <v>785</v>
      </c>
      <c r="K8" s="886" t="s">
        <v>776</v>
      </c>
      <c r="L8" s="894" t="s">
        <v>776</v>
      </c>
      <c r="M8" s="894" t="s">
        <v>776</v>
      </c>
      <c r="N8" s="893" t="s">
        <v>786</v>
      </c>
      <c r="O8" s="895" t="s">
        <v>778</v>
      </c>
      <c r="P8" s="896" t="s">
        <v>779</v>
      </c>
      <c r="Q8" s="897"/>
    </row>
    <row r="9" spans="1:17" s="453" customFormat="1" ht="124.35" customHeight="1">
      <c r="A9" s="905" t="s">
        <v>555</v>
      </c>
      <c r="B9" s="893" t="s">
        <v>789</v>
      </c>
      <c r="C9" s="900" t="s">
        <v>774</v>
      </c>
      <c r="D9" s="893" t="s">
        <v>790</v>
      </c>
      <c r="E9" s="893" t="s">
        <v>791</v>
      </c>
      <c r="F9" s="894" t="s">
        <v>774</v>
      </c>
      <c r="G9" s="893" t="s">
        <v>792</v>
      </c>
      <c r="H9" s="893" t="s">
        <v>793</v>
      </c>
      <c r="I9" s="894" t="s">
        <v>774</v>
      </c>
      <c r="J9" s="894" t="s">
        <v>774</v>
      </c>
      <c r="K9" s="894" t="s">
        <v>774</v>
      </c>
      <c r="L9" s="894" t="s">
        <v>774</v>
      </c>
      <c r="M9" s="893" t="s">
        <v>789</v>
      </c>
      <c r="N9" s="894" t="s">
        <v>774</v>
      </c>
      <c r="O9" s="894" t="s">
        <v>774</v>
      </c>
      <c r="P9" s="906" t="s">
        <v>774</v>
      </c>
      <c r="Q9" s="907"/>
    </row>
    <row r="10" spans="1:17" ht="124.35" customHeight="1">
      <c r="A10" s="890" t="s">
        <v>545</v>
      </c>
      <c r="B10" s="891" t="s">
        <v>801</v>
      </c>
      <c r="C10" s="900" t="s">
        <v>774</v>
      </c>
      <c r="D10" s="900" t="s">
        <v>774</v>
      </c>
      <c r="E10" s="900" t="s">
        <v>774</v>
      </c>
      <c r="F10" s="894" t="s">
        <v>774</v>
      </c>
      <c r="G10" s="891" t="s">
        <v>794</v>
      </c>
      <c r="H10" s="894" t="s">
        <v>774</v>
      </c>
      <c r="I10" s="894" t="s">
        <v>774</v>
      </c>
      <c r="J10" s="894" t="s">
        <v>774</v>
      </c>
      <c r="K10" s="894" t="s">
        <v>774</v>
      </c>
      <c r="L10" s="894" t="s">
        <v>774</v>
      </c>
      <c r="M10" s="891" t="s">
        <v>795</v>
      </c>
      <c r="N10" s="894" t="s">
        <v>774</v>
      </c>
      <c r="O10" s="894" t="s">
        <v>774</v>
      </c>
      <c r="P10" s="906" t="s">
        <v>774</v>
      </c>
      <c r="Q10" s="897"/>
    </row>
    <row r="11" spans="1:17" ht="21">
      <c r="A11" s="890" t="s">
        <v>546</v>
      </c>
      <c r="B11" s="908" t="s">
        <v>796</v>
      </c>
      <c r="C11" s="908" t="s">
        <v>796</v>
      </c>
      <c r="D11" s="908" t="s">
        <v>796</v>
      </c>
      <c r="E11" s="908" t="s">
        <v>796</v>
      </c>
      <c r="F11" s="908" t="s">
        <v>796</v>
      </c>
      <c r="G11" s="908" t="s">
        <v>796</v>
      </c>
      <c r="H11" s="908" t="s">
        <v>796</v>
      </c>
      <c r="I11" s="908" t="s">
        <v>796</v>
      </c>
      <c r="J11" s="908" t="s">
        <v>796</v>
      </c>
      <c r="K11" s="908" t="s">
        <v>796</v>
      </c>
      <c r="L11" s="908" t="s">
        <v>796</v>
      </c>
      <c r="M11" s="908" t="s">
        <v>796</v>
      </c>
      <c r="N11" s="908" t="s">
        <v>796</v>
      </c>
      <c r="O11" s="908" t="s">
        <v>796</v>
      </c>
      <c r="P11" s="922" t="s">
        <v>796</v>
      </c>
      <c r="Q11" s="923"/>
    </row>
    <row r="12" spans="1:17" ht="21">
      <c r="A12" s="890" t="s">
        <v>547</v>
      </c>
      <c r="B12" s="908" t="s">
        <v>796</v>
      </c>
      <c r="C12" s="908" t="s">
        <v>774</v>
      </c>
      <c r="D12" s="908" t="s">
        <v>774</v>
      </c>
      <c r="E12" s="908" t="s">
        <v>774</v>
      </c>
      <c r="F12" s="908" t="s">
        <v>774</v>
      </c>
      <c r="G12" s="908" t="s">
        <v>774</v>
      </c>
      <c r="H12" s="908" t="s">
        <v>774</v>
      </c>
      <c r="I12" s="908" t="s">
        <v>774</v>
      </c>
      <c r="J12" s="908" t="s">
        <v>774</v>
      </c>
      <c r="K12" s="908" t="s">
        <v>774</v>
      </c>
      <c r="L12" s="908" t="s">
        <v>774</v>
      </c>
      <c r="M12" s="908" t="s">
        <v>774</v>
      </c>
      <c r="N12" s="908" t="s">
        <v>774</v>
      </c>
      <c r="O12" s="908" t="s">
        <v>774</v>
      </c>
      <c r="P12" s="909" t="s">
        <v>774</v>
      </c>
      <c r="Q12" s="449"/>
    </row>
    <row r="13" spans="1:17" ht="21">
      <c r="A13" s="890" t="s">
        <v>548</v>
      </c>
      <c r="B13" s="908" t="s">
        <v>796</v>
      </c>
      <c r="C13" s="908" t="s">
        <v>774</v>
      </c>
      <c r="D13" s="908" t="s">
        <v>796</v>
      </c>
      <c r="E13" s="908" t="s">
        <v>796</v>
      </c>
      <c r="F13" s="908" t="s">
        <v>774</v>
      </c>
      <c r="G13" s="908" t="s">
        <v>796</v>
      </c>
      <c r="H13" s="908" t="s">
        <v>796</v>
      </c>
      <c r="I13" s="908" t="s">
        <v>774</v>
      </c>
      <c r="J13" s="908" t="s">
        <v>774</v>
      </c>
      <c r="K13" s="908" t="s">
        <v>774</v>
      </c>
      <c r="L13" s="908" t="s">
        <v>774</v>
      </c>
      <c r="M13" s="908" t="s">
        <v>796</v>
      </c>
      <c r="N13" s="908" t="s">
        <v>774</v>
      </c>
      <c r="O13" s="908" t="s">
        <v>774</v>
      </c>
      <c r="P13" s="909" t="s">
        <v>774</v>
      </c>
      <c r="Q13" s="449"/>
    </row>
    <row r="14" spans="1:17" ht="30">
      <c r="A14" s="910" t="s">
        <v>812</v>
      </c>
      <c r="B14" s="898" t="s">
        <v>787</v>
      </c>
      <c r="C14" s="908" t="s">
        <v>774</v>
      </c>
      <c r="D14" s="898" t="s">
        <v>787</v>
      </c>
      <c r="E14" s="908" t="s">
        <v>774</v>
      </c>
      <c r="F14" s="908" t="s">
        <v>774</v>
      </c>
      <c r="G14" s="908" t="s">
        <v>774</v>
      </c>
      <c r="H14" s="908" t="s">
        <v>774</v>
      </c>
      <c r="I14" s="908" t="s">
        <v>774</v>
      </c>
      <c r="J14" s="908" t="s">
        <v>774</v>
      </c>
      <c r="K14" s="908" t="s">
        <v>774</v>
      </c>
      <c r="L14" s="908" t="s">
        <v>774</v>
      </c>
      <c r="M14" s="908" t="s">
        <v>774</v>
      </c>
      <c r="N14" s="908" t="s">
        <v>774</v>
      </c>
      <c r="O14" s="908" t="s">
        <v>774</v>
      </c>
      <c r="P14" s="922" t="s">
        <v>774</v>
      </c>
      <c r="Q14" s="979"/>
    </row>
    <row r="15" spans="1:17" s="460" customFormat="1" ht="21">
      <c r="A15" s="911" t="s">
        <v>549</v>
      </c>
      <c r="B15" s="458"/>
      <c r="C15" s="458"/>
      <c r="D15" s="458"/>
      <c r="E15" s="458"/>
      <c r="F15" s="458"/>
      <c r="G15" s="458"/>
      <c r="H15" s="458"/>
      <c r="I15" s="458"/>
      <c r="J15" s="458"/>
      <c r="K15" s="458"/>
      <c r="L15" s="458"/>
      <c r="M15" s="912"/>
      <c r="N15" s="458"/>
      <c r="O15" s="458"/>
      <c r="P15" s="459"/>
      <c r="Q15" s="913"/>
    </row>
    <row r="16" spans="1:17">
      <c r="M16" s="914"/>
    </row>
    <row r="17" spans="1:4">
      <c r="B17" s="915">
        <v>1</v>
      </c>
      <c r="C17" s="916">
        <v>2</v>
      </c>
      <c r="D17" s="917">
        <v>3</v>
      </c>
    </row>
    <row r="18" spans="1:4" ht="252">
      <c r="A18" s="918" t="s">
        <v>797</v>
      </c>
      <c r="B18" s="919" t="s">
        <v>798</v>
      </c>
      <c r="C18" s="920" t="s">
        <v>799</v>
      </c>
      <c r="D18" s="921" t="s">
        <v>800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codeName="Sheet30">
    <tabColor theme="6"/>
  </sheetPr>
  <dimension ref="A1:P22"/>
  <sheetViews>
    <sheetView workbookViewId="0">
      <selection sqref="A1:A3"/>
    </sheetView>
  </sheetViews>
  <sheetFormatPr defaultColWidth="9.140625" defaultRowHeight="15"/>
  <cols>
    <col min="1" max="1" width="51" style="833" bestFit="1" customWidth="1"/>
    <col min="2" max="2" width="27" style="833" customWidth="1"/>
    <col min="3" max="3" width="30.42578125" style="833" customWidth="1"/>
    <col min="4" max="4" width="9.140625" style="833"/>
    <col min="5" max="5" width="15" style="833" customWidth="1"/>
    <col min="6" max="6" width="17" style="833" customWidth="1"/>
    <col min="7" max="7" width="18.140625" style="833" customWidth="1"/>
    <col min="8" max="8" width="16.140625" style="833" customWidth="1"/>
    <col min="9" max="15" width="9.140625" style="833"/>
    <col min="16" max="16" width="26.42578125" style="833" customWidth="1"/>
    <col min="17" max="16384" width="9.140625" style="833"/>
  </cols>
  <sheetData>
    <row r="1" spans="1:16" ht="15.75">
      <c r="A1" s="1139" t="s">
        <v>230</v>
      </c>
      <c r="B1" s="1140" t="s">
        <v>338</v>
      </c>
      <c r="C1" s="1140"/>
      <c r="D1" s="1141" t="s">
        <v>339</v>
      </c>
      <c r="E1" s="1141"/>
      <c r="F1" s="1141"/>
      <c r="G1" s="1141"/>
      <c r="H1" s="1141"/>
      <c r="I1" s="1141"/>
      <c r="J1" s="1141"/>
      <c r="K1" s="1141"/>
      <c r="L1" s="1141"/>
      <c r="M1" s="1141"/>
      <c r="N1" s="1141"/>
      <c r="O1" s="1141"/>
      <c r="P1" s="1140" t="s">
        <v>815</v>
      </c>
    </row>
    <row r="2" spans="1:16" ht="60">
      <c r="A2" s="1139"/>
      <c r="B2" s="1140"/>
      <c r="C2" s="1140"/>
      <c r="D2" s="1141" t="s">
        <v>190</v>
      </c>
      <c r="E2" s="1141"/>
      <c r="F2" s="1141"/>
      <c r="G2" s="1141"/>
      <c r="H2" s="1141"/>
      <c r="I2" s="980" t="s">
        <v>816</v>
      </c>
      <c r="J2" s="980" t="s">
        <v>223</v>
      </c>
      <c r="K2" s="980" t="s">
        <v>817</v>
      </c>
      <c r="L2" s="980" t="s">
        <v>809</v>
      </c>
      <c r="M2" s="980" t="s">
        <v>234</v>
      </c>
      <c r="N2" s="980" t="s">
        <v>818</v>
      </c>
      <c r="O2" s="980" t="s">
        <v>120</v>
      </c>
      <c r="P2" s="1140"/>
    </row>
    <row r="3" spans="1:16" ht="30">
      <c r="A3" s="1139"/>
      <c r="B3" s="980" t="s">
        <v>819</v>
      </c>
      <c r="C3" s="980" t="s">
        <v>820</v>
      </c>
      <c r="D3" s="980" t="s">
        <v>192</v>
      </c>
      <c r="E3" s="980" t="s">
        <v>193</v>
      </c>
      <c r="F3" s="980" t="s">
        <v>194</v>
      </c>
      <c r="G3" s="980" t="s">
        <v>196</v>
      </c>
      <c r="H3" s="980" t="s">
        <v>197</v>
      </c>
      <c r="I3" s="980"/>
      <c r="J3" s="980"/>
      <c r="K3" s="980"/>
      <c r="L3" s="980"/>
      <c r="M3" s="980"/>
      <c r="N3" s="980"/>
      <c r="O3" s="980"/>
      <c r="P3" s="1140"/>
    </row>
    <row r="4" spans="1:16">
      <c r="A4" s="981" t="s">
        <v>238</v>
      </c>
      <c r="B4" s="982">
        <f>'SEAP template'!B72</f>
        <v>0</v>
      </c>
      <c r="C4" s="982"/>
      <c r="D4" s="982"/>
      <c r="E4" s="982"/>
      <c r="F4" s="982"/>
      <c r="G4" s="982"/>
      <c r="H4" s="982"/>
      <c r="I4" s="982"/>
      <c r="J4" s="982"/>
      <c r="K4" s="982"/>
      <c r="L4" s="982"/>
      <c r="M4" s="982"/>
      <c r="N4" s="982"/>
      <c r="O4" s="982"/>
      <c r="P4" s="983">
        <f>'SEAP template'!Q72</f>
        <v>0</v>
      </c>
    </row>
    <row r="5" spans="1:16">
      <c r="A5" s="984" t="s">
        <v>239</v>
      </c>
      <c r="B5" s="982">
        <f>'SEAP template'!B73</f>
        <v>0</v>
      </c>
      <c r="C5" s="982"/>
      <c r="D5" s="982"/>
      <c r="E5" s="982"/>
      <c r="F5" s="982"/>
      <c r="G5" s="982"/>
      <c r="H5" s="982"/>
      <c r="I5" s="982"/>
      <c r="J5" s="982"/>
      <c r="K5" s="982"/>
      <c r="L5" s="982"/>
      <c r="M5" s="982"/>
      <c r="N5" s="982"/>
      <c r="O5" s="982"/>
      <c r="P5" s="983">
        <f>'SEAP template'!Q73</f>
        <v>0</v>
      </c>
    </row>
    <row r="6" spans="1:16">
      <c r="A6" s="984" t="s">
        <v>240</v>
      </c>
      <c r="B6" s="982">
        <f>'SEAP template'!B74</f>
        <v>5915.8688380224366</v>
      </c>
      <c r="C6" s="982"/>
      <c r="D6" s="982"/>
      <c r="E6" s="982"/>
      <c r="F6" s="982"/>
      <c r="G6" s="982"/>
      <c r="H6" s="982"/>
      <c r="I6" s="982"/>
      <c r="J6" s="982"/>
      <c r="K6" s="982"/>
      <c r="L6" s="982"/>
      <c r="M6" s="982"/>
      <c r="N6" s="982"/>
      <c r="O6" s="982"/>
      <c r="P6" s="983">
        <f>'SEAP template'!Q74</f>
        <v>0</v>
      </c>
    </row>
    <row r="7" spans="1:16">
      <c r="A7" s="984" t="s">
        <v>809</v>
      </c>
      <c r="B7" s="982">
        <f>'SEAP template'!B75</f>
        <v>0</v>
      </c>
      <c r="C7" s="982"/>
      <c r="D7" s="982"/>
      <c r="E7" s="982"/>
      <c r="F7" s="982"/>
      <c r="G7" s="982"/>
      <c r="H7" s="982"/>
      <c r="I7" s="982"/>
      <c r="J7" s="982"/>
      <c r="K7" s="982"/>
      <c r="L7" s="982"/>
      <c r="M7" s="982"/>
      <c r="N7" s="982"/>
      <c r="O7" s="982"/>
      <c r="P7" s="983">
        <f>'SEAP template'!Q75</f>
        <v>0</v>
      </c>
    </row>
    <row r="8" spans="1:16">
      <c r="A8" s="981" t="s">
        <v>241</v>
      </c>
      <c r="B8" s="982">
        <f>'SEAP template'!B76</f>
        <v>17584.650000000001</v>
      </c>
      <c r="C8" s="982">
        <f>'SEAP template'!C76</f>
        <v>0</v>
      </c>
      <c r="D8" s="982">
        <f>'SEAP template'!D76</f>
        <v>0</v>
      </c>
      <c r="E8" s="982">
        <f>'SEAP template'!E76</f>
        <v>0</v>
      </c>
      <c r="F8" s="982">
        <f>'SEAP template'!F76</f>
        <v>0</v>
      </c>
      <c r="G8" s="982">
        <f>'SEAP template'!G76</f>
        <v>0</v>
      </c>
      <c r="H8" s="982">
        <f>'SEAP template'!H76</f>
        <v>0</v>
      </c>
      <c r="I8" s="982">
        <f>'SEAP template'!I76</f>
        <v>0</v>
      </c>
      <c r="J8" s="982">
        <f>'SEAP template'!J76</f>
        <v>20687.823529411766</v>
      </c>
      <c r="K8" s="982">
        <f>'SEAP template'!K76</f>
        <v>0</v>
      </c>
      <c r="L8" s="982">
        <f>'SEAP template'!L76</f>
        <v>0</v>
      </c>
      <c r="M8" s="982">
        <f>'SEAP template'!M76</f>
        <v>0</v>
      </c>
      <c r="N8" s="982">
        <f>'SEAP template'!N76</f>
        <v>0</v>
      </c>
      <c r="O8" s="982">
        <f>'SEAP template'!O76</f>
        <v>0</v>
      </c>
      <c r="P8" s="983">
        <f>'SEAP template'!Q76</f>
        <v>0</v>
      </c>
    </row>
    <row r="9" spans="1:16">
      <c r="A9" s="985" t="s">
        <v>821</v>
      </c>
      <c r="B9" s="982">
        <f>'SEAP template'!B77</f>
        <v>0</v>
      </c>
      <c r="C9" s="982">
        <f>'SEAP template'!C77</f>
        <v>0</v>
      </c>
      <c r="D9" s="982">
        <f>'SEAP template'!D77</f>
        <v>0</v>
      </c>
      <c r="E9" s="982">
        <f>'SEAP template'!E77</f>
        <v>0</v>
      </c>
      <c r="F9" s="982">
        <f>'SEAP template'!F77</f>
        <v>0</v>
      </c>
      <c r="G9" s="982">
        <f>'SEAP template'!G77</f>
        <v>0</v>
      </c>
      <c r="H9" s="982">
        <f>'SEAP template'!H77</f>
        <v>0</v>
      </c>
      <c r="I9" s="982">
        <f>'SEAP template'!I77</f>
        <v>0</v>
      </c>
      <c r="J9" s="982">
        <f>'SEAP template'!J77</f>
        <v>0</v>
      </c>
      <c r="K9" s="982">
        <f>'SEAP template'!K77</f>
        <v>0</v>
      </c>
      <c r="L9" s="982">
        <f>'SEAP template'!L77</f>
        <v>0</v>
      </c>
      <c r="M9" s="982">
        <f>'SEAP template'!M77</f>
        <v>0</v>
      </c>
      <c r="N9" s="982">
        <f>'SEAP template'!N77</f>
        <v>0</v>
      </c>
      <c r="O9" s="982">
        <f>'SEAP template'!O77</f>
        <v>0</v>
      </c>
      <c r="P9" s="983">
        <f>'SEAP template'!Q77</f>
        <v>0</v>
      </c>
    </row>
    <row r="10" spans="1:16">
      <c r="A10" s="984" t="s">
        <v>109</v>
      </c>
      <c r="B10" s="986">
        <f>SUM(B4:B9)</f>
        <v>23500.518838022439</v>
      </c>
      <c r="C10" s="986">
        <f>SUM(C4:C9)</f>
        <v>0</v>
      </c>
      <c r="D10" s="986">
        <f t="shared" ref="D10:H10" si="0">SUM(D8:D9)</f>
        <v>0</v>
      </c>
      <c r="E10" s="986">
        <f t="shared" si="0"/>
        <v>0</v>
      </c>
      <c r="F10" s="986">
        <f t="shared" si="0"/>
        <v>0</v>
      </c>
      <c r="G10" s="986">
        <f t="shared" si="0"/>
        <v>0</v>
      </c>
      <c r="H10" s="986">
        <f t="shared" si="0"/>
        <v>0</v>
      </c>
      <c r="I10" s="986">
        <f>SUM(I8:I9)</f>
        <v>0</v>
      </c>
      <c r="J10" s="986">
        <f>SUM(J8:J9)</f>
        <v>20687.823529411766</v>
      </c>
      <c r="K10" s="986">
        <f t="shared" ref="K10:L10" si="1">SUM(K8:K9)</f>
        <v>0</v>
      </c>
      <c r="L10" s="986">
        <f t="shared" si="1"/>
        <v>0</v>
      </c>
      <c r="M10" s="986">
        <f>SUM(M8:M9)</f>
        <v>0</v>
      </c>
      <c r="N10" s="986">
        <f>SUM(N8:N9)</f>
        <v>0</v>
      </c>
      <c r="O10" s="986">
        <f>SUM(O8:O9)</f>
        <v>0</v>
      </c>
      <c r="P10" s="986">
        <f>SUM(P8:P9)</f>
        <v>0</v>
      </c>
    </row>
    <row r="11" spans="1:16">
      <c r="A11" s="841"/>
      <c r="B11" s="841"/>
      <c r="C11" s="841"/>
      <c r="D11" s="841"/>
      <c r="E11" s="841"/>
      <c r="F11" s="841"/>
      <c r="G11" s="841"/>
      <c r="H11" s="841"/>
      <c r="I11" s="841"/>
      <c r="J11" s="841"/>
      <c r="K11" s="841"/>
      <c r="L11" s="841"/>
      <c r="M11" s="841"/>
      <c r="N11" s="841"/>
      <c r="O11" s="841"/>
      <c r="P11" s="841"/>
    </row>
    <row r="12" spans="1:16">
      <c r="A12" s="461" t="s">
        <v>822</v>
      </c>
      <c r="B12" s="731" t="s">
        <v>823</v>
      </c>
      <c r="C12" s="731">
        <f ca="1">'EF ele_warmte'!B12</f>
        <v>0.17420263799879329</v>
      </c>
      <c r="D12" s="841"/>
      <c r="E12" s="841"/>
      <c r="F12" s="841"/>
      <c r="G12" s="841"/>
      <c r="H12" s="841"/>
      <c r="I12" s="841"/>
      <c r="J12" s="841"/>
      <c r="K12" s="841"/>
      <c r="L12" s="841"/>
      <c r="M12" s="841"/>
      <c r="N12" s="841"/>
      <c r="O12" s="841"/>
      <c r="P12" s="841"/>
    </row>
    <row r="13" spans="1:16">
      <c r="A13" s="841"/>
      <c r="B13" s="841"/>
      <c r="C13" s="841"/>
      <c r="D13" s="841"/>
      <c r="E13" s="841"/>
      <c r="F13" s="841"/>
      <c r="G13" s="841"/>
      <c r="H13" s="841"/>
      <c r="I13" s="841"/>
      <c r="J13" s="841"/>
      <c r="K13" s="841"/>
      <c r="L13" s="841"/>
      <c r="M13" s="841"/>
      <c r="N13" s="841"/>
      <c r="O13" s="841"/>
      <c r="P13" s="841"/>
    </row>
    <row r="14" spans="1:16" ht="15.75">
      <c r="A14" s="1139" t="s">
        <v>242</v>
      </c>
      <c r="B14" s="1140" t="s">
        <v>342</v>
      </c>
      <c r="C14" s="1140"/>
      <c r="D14" s="1141" t="s">
        <v>343</v>
      </c>
      <c r="E14" s="1141"/>
      <c r="F14" s="1141"/>
      <c r="G14" s="1141"/>
      <c r="H14" s="1141"/>
      <c r="I14" s="1141"/>
      <c r="J14" s="1141"/>
      <c r="K14" s="1141"/>
      <c r="L14" s="1141"/>
      <c r="M14" s="1141"/>
      <c r="N14" s="1141"/>
      <c r="O14" s="1141"/>
      <c r="P14" s="1140" t="s">
        <v>824</v>
      </c>
    </row>
    <row r="15" spans="1:16">
      <c r="A15" s="1139"/>
      <c r="B15" s="1140"/>
      <c r="C15" s="1140"/>
      <c r="D15" s="1142" t="s">
        <v>190</v>
      </c>
      <c r="E15" s="1142"/>
      <c r="F15" s="1142"/>
      <c r="G15" s="1142"/>
      <c r="H15" s="1142"/>
      <c r="I15" s="1140" t="s">
        <v>816</v>
      </c>
      <c r="J15" s="1140" t="s">
        <v>223</v>
      </c>
      <c r="K15" s="1140" t="s">
        <v>817</v>
      </c>
      <c r="L15" s="1140" t="s">
        <v>809</v>
      </c>
      <c r="M15" s="1140" t="s">
        <v>234</v>
      </c>
      <c r="N15" s="1140" t="s">
        <v>825</v>
      </c>
      <c r="O15" s="1140" t="s">
        <v>120</v>
      </c>
      <c r="P15" s="1140"/>
    </row>
    <row r="16" spans="1:16" ht="30">
      <c r="A16" s="1139"/>
      <c r="B16" s="980" t="s">
        <v>826</v>
      </c>
      <c r="C16" s="980" t="s">
        <v>827</v>
      </c>
      <c r="D16" s="980" t="s">
        <v>192</v>
      </c>
      <c r="E16" s="980" t="s">
        <v>193</v>
      </c>
      <c r="F16" s="980" t="s">
        <v>194</v>
      </c>
      <c r="G16" s="980" t="s">
        <v>196</v>
      </c>
      <c r="H16" s="980" t="s">
        <v>197</v>
      </c>
      <c r="I16" s="1140"/>
      <c r="J16" s="1140"/>
      <c r="K16" s="1140"/>
      <c r="L16" s="1140"/>
      <c r="M16" s="1140"/>
      <c r="N16" s="1140"/>
      <c r="O16" s="1143"/>
      <c r="P16" s="1140"/>
    </row>
    <row r="17" spans="1:16">
      <c r="A17" s="987" t="s">
        <v>241</v>
      </c>
      <c r="B17" s="988">
        <f>'SEAP template'!B87</f>
        <v>25120.928571428569</v>
      </c>
      <c r="C17" s="988">
        <f>'SEAP template'!C87</f>
        <v>0</v>
      </c>
      <c r="D17" s="983">
        <f>'SEAP template'!D87</f>
        <v>0</v>
      </c>
      <c r="E17" s="983">
        <f>'SEAP template'!E87</f>
        <v>0</v>
      </c>
      <c r="F17" s="983">
        <f>'SEAP template'!F87</f>
        <v>0</v>
      </c>
      <c r="G17" s="983">
        <f>'SEAP template'!G87</f>
        <v>0</v>
      </c>
      <c r="H17" s="983">
        <f>'SEAP template'!H87</f>
        <v>0</v>
      </c>
      <c r="I17" s="983">
        <f>'SEAP template'!I87</f>
        <v>0</v>
      </c>
      <c r="J17" s="983">
        <f>'SEAP template'!J87</f>
        <v>29554.033613445372</v>
      </c>
      <c r="K17" s="983">
        <f>'SEAP template'!K87</f>
        <v>0</v>
      </c>
      <c r="L17" s="983">
        <f>'SEAP template'!L87</f>
        <v>0</v>
      </c>
      <c r="M17" s="983">
        <f>'SEAP template'!M87</f>
        <v>0</v>
      </c>
      <c r="N17" s="983">
        <f>'SEAP template'!N87</f>
        <v>0</v>
      </c>
      <c r="O17" s="983">
        <f>'SEAP template'!O87</f>
        <v>0</v>
      </c>
      <c r="P17" s="983">
        <f>'SEAP template'!Q87</f>
        <v>0</v>
      </c>
    </row>
    <row r="18" spans="1:16">
      <c r="A18" s="989" t="s">
        <v>247</v>
      </c>
      <c r="B18" s="988">
        <f>'SEAP template'!B88</f>
        <v>0</v>
      </c>
      <c r="C18" s="988">
        <f>'SEAP template'!C88</f>
        <v>0</v>
      </c>
      <c r="D18" s="983">
        <f>'SEAP template'!D88</f>
        <v>0</v>
      </c>
      <c r="E18" s="983">
        <f>'SEAP template'!E88</f>
        <v>0</v>
      </c>
      <c r="F18" s="983">
        <f>'SEAP template'!F88</f>
        <v>0</v>
      </c>
      <c r="G18" s="983">
        <f>'SEAP template'!G88</f>
        <v>0</v>
      </c>
      <c r="H18" s="983">
        <f>'SEAP template'!H88</f>
        <v>0</v>
      </c>
      <c r="I18" s="983">
        <f>'SEAP template'!I88</f>
        <v>0</v>
      </c>
      <c r="J18" s="983">
        <f>'SEAP template'!J88</f>
        <v>0</v>
      </c>
      <c r="K18" s="983">
        <f>'SEAP template'!K88</f>
        <v>0</v>
      </c>
      <c r="L18" s="983">
        <f>'SEAP template'!L88</f>
        <v>0</v>
      </c>
      <c r="M18" s="983">
        <f>'SEAP template'!M88</f>
        <v>0</v>
      </c>
      <c r="N18" s="983">
        <f>'SEAP template'!N88</f>
        <v>0</v>
      </c>
      <c r="O18" s="983">
        <f>'SEAP template'!O88</f>
        <v>0</v>
      </c>
      <c r="P18" s="983">
        <f>'SEAP template'!Q88</f>
        <v>0</v>
      </c>
    </row>
    <row r="19" spans="1:16">
      <c r="A19" s="985" t="s">
        <v>828</v>
      </c>
      <c r="B19" s="988">
        <f>'SEAP template'!B89</f>
        <v>0</v>
      </c>
      <c r="C19" s="988">
        <f>'SEAP template'!C89</f>
        <v>0</v>
      </c>
      <c r="D19" s="983">
        <f>'SEAP template'!D89</f>
        <v>0</v>
      </c>
      <c r="E19" s="983">
        <f>'SEAP template'!E89</f>
        <v>0</v>
      </c>
      <c r="F19" s="983">
        <f>'SEAP template'!F89</f>
        <v>0</v>
      </c>
      <c r="G19" s="983">
        <f>'SEAP template'!G89</f>
        <v>0</v>
      </c>
      <c r="H19" s="983">
        <f>'SEAP template'!H89</f>
        <v>0</v>
      </c>
      <c r="I19" s="983">
        <f>'SEAP template'!I89</f>
        <v>0</v>
      </c>
      <c r="J19" s="983">
        <f>'SEAP template'!J89</f>
        <v>0</v>
      </c>
      <c r="K19" s="983">
        <f>'SEAP template'!K89</f>
        <v>0</v>
      </c>
      <c r="L19" s="983">
        <f>'SEAP template'!L89</f>
        <v>0</v>
      </c>
      <c r="M19" s="983">
        <f>'SEAP template'!M89</f>
        <v>0</v>
      </c>
      <c r="N19" s="983">
        <f>'SEAP template'!N89</f>
        <v>0</v>
      </c>
      <c r="O19" s="983">
        <f>'SEAP template'!O89</f>
        <v>0</v>
      </c>
      <c r="P19" s="983">
        <f>'SEAP template'!Q89</f>
        <v>0</v>
      </c>
    </row>
    <row r="20" spans="1:16">
      <c r="A20" s="990" t="s">
        <v>109</v>
      </c>
      <c r="B20" s="986">
        <f>SUM(B17:B19)</f>
        <v>25120.928571428569</v>
      </c>
      <c r="C20" s="986">
        <f>SUM(C17:C19)</f>
        <v>0</v>
      </c>
      <c r="D20" s="986">
        <f t="shared" ref="D20:H20" si="2">SUM(D17:D19)</f>
        <v>0</v>
      </c>
      <c r="E20" s="986">
        <f t="shared" si="2"/>
        <v>0</v>
      </c>
      <c r="F20" s="986">
        <f t="shared" si="2"/>
        <v>0</v>
      </c>
      <c r="G20" s="986">
        <f t="shared" si="2"/>
        <v>0</v>
      </c>
      <c r="H20" s="986">
        <f t="shared" si="2"/>
        <v>0</v>
      </c>
      <c r="I20" s="986">
        <f>SUM(I17:I19)</f>
        <v>0</v>
      </c>
      <c r="J20" s="986">
        <f>SUM(J17:J19)</f>
        <v>29554.033613445372</v>
      </c>
      <c r="K20" s="986">
        <f t="shared" ref="K20:L20" si="3">SUM(K17:K19)</f>
        <v>0</v>
      </c>
      <c r="L20" s="986">
        <f t="shared" si="3"/>
        <v>0</v>
      </c>
      <c r="M20" s="986">
        <f>SUM(M17:M19)</f>
        <v>0</v>
      </c>
      <c r="N20" s="986">
        <f>SUM(N17:N19)</f>
        <v>0</v>
      </c>
      <c r="O20" s="986">
        <f>SUM(O17:O19)</f>
        <v>0</v>
      </c>
      <c r="P20" s="986">
        <f>SUM(P17:P19)</f>
        <v>0</v>
      </c>
    </row>
    <row r="22" spans="1:16">
      <c r="A22" s="461" t="s">
        <v>829</v>
      </c>
      <c r="B22" s="731" t="s">
        <v>823</v>
      </c>
      <c r="C22" s="73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codeName="Sheet31">
    <tabColor theme="6"/>
  </sheetPr>
  <dimension ref="A1:P22"/>
  <sheetViews>
    <sheetView topLeftCell="A5" workbookViewId="0">
      <selection activeCell="D6" sqref="D6"/>
    </sheetView>
  </sheetViews>
  <sheetFormatPr defaultColWidth="9.140625" defaultRowHeight="15"/>
  <cols>
    <col min="1" max="1" width="49.5703125" style="833" customWidth="1"/>
    <col min="2" max="2" width="23.5703125" style="833" customWidth="1"/>
    <col min="3" max="3" width="25.28515625" style="833" customWidth="1"/>
    <col min="4" max="10" width="18.42578125" style="833" bestFit="1" customWidth="1"/>
    <col min="11" max="11" width="24.28515625" style="833" bestFit="1" customWidth="1"/>
    <col min="12" max="12" width="22.42578125" style="833" bestFit="1" customWidth="1"/>
    <col min="13" max="13" width="18.42578125" style="833" bestFit="1" customWidth="1"/>
    <col min="14" max="14" width="28.42578125" style="833" bestFit="1" customWidth="1"/>
    <col min="15" max="15" width="18.42578125" style="833" bestFit="1" customWidth="1"/>
    <col min="16" max="16" width="16.7109375" style="833" customWidth="1"/>
    <col min="17" max="16384" width="9.140625" style="833"/>
  </cols>
  <sheetData>
    <row r="1" spans="1:16" ht="15.75">
      <c r="A1" s="1139" t="s">
        <v>230</v>
      </c>
      <c r="B1" s="1140" t="s">
        <v>338</v>
      </c>
      <c r="C1" s="1140"/>
      <c r="D1" s="1141" t="s">
        <v>339</v>
      </c>
      <c r="E1" s="1141"/>
      <c r="F1" s="1141"/>
      <c r="G1" s="1141"/>
      <c r="H1" s="1141"/>
      <c r="I1" s="1141"/>
      <c r="J1" s="1141"/>
      <c r="K1" s="1141"/>
      <c r="L1" s="1141"/>
      <c r="M1" s="1141"/>
      <c r="N1" s="1141"/>
      <c r="O1" s="1141"/>
      <c r="P1" s="1140" t="s">
        <v>815</v>
      </c>
    </row>
    <row r="2" spans="1:16" ht="15.75">
      <c r="A2" s="1139"/>
      <c r="B2" s="1140"/>
      <c r="C2" s="1140"/>
      <c r="D2" s="1141" t="s">
        <v>190</v>
      </c>
      <c r="E2" s="1141"/>
      <c r="F2" s="1141"/>
      <c r="G2" s="1141"/>
      <c r="H2" s="1141"/>
      <c r="I2" s="980" t="s">
        <v>816</v>
      </c>
      <c r="J2" s="980" t="s">
        <v>223</v>
      </c>
      <c r="K2" s="980" t="s">
        <v>817</v>
      </c>
      <c r="L2" s="980" t="s">
        <v>809</v>
      </c>
      <c r="M2" s="980" t="s">
        <v>234</v>
      </c>
      <c r="N2" s="980" t="s">
        <v>818</v>
      </c>
      <c r="O2" s="980" t="s">
        <v>120</v>
      </c>
      <c r="P2" s="1140"/>
    </row>
    <row r="3" spans="1:16" ht="30">
      <c r="A3" s="1139"/>
      <c r="B3" s="980" t="s">
        <v>819</v>
      </c>
      <c r="C3" s="980" t="s">
        <v>820</v>
      </c>
      <c r="D3" s="980" t="s">
        <v>192</v>
      </c>
      <c r="E3" s="980" t="s">
        <v>193</v>
      </c>
      <c r="F3" s="980" t="s">
        <v>194</v>
      </c>
      <c r="G3" s="980" t="s">
        <v>196</v>
      </c>
      <c r="H3" s="980" t="s">
        <v>197</v>
      </c>
      <c r="I3" s="980"/>
      <c r="J3" s="980"/>
      <c r="K3" s="980"/>
      <c r="L3" s="980"/>
      <c r="M3" s="980"/>
      <c r="N3" s="980"/>
      <c r="O3" s="980"/>
      <c r="P3" s="1140"/>
    </row>
    <row r="4" spans="1:16" ht="135">
      <c r="A4" s="991" t="s">
        <v>238</v>
      </c>
      <c r="B4" s="992" t="s">
        <v>893</v>
      </c>
      <c r="C4" s="993" t="s">
        <v>774</v>
      </c>
      <c r="D4" s="993" t="s">
        <v>774</v>
      </c>
      <c r="E4" s="993" t="s">
        <v>774</v>
      </c>
      <c r="F4" s="993" t="s">
        <v>774</v>
      </c>
      <c r="G4" s="993" t="s">
        <v>774</v>
      </c>
      <c r="H4" s="993" t="s">
        <v>774</v>
      </c>
      <c r="I4" s="993" t="s">
        <v>774</v>
      </c>
      <c r="J4" s="993" t="s">
        <v>774</v>
      </c>
      <c r="K4" s="993" t="s">
        <v>774</v>
      </c>
      <c r="L4" s="993" t="s">
        <v>774</v>
      </c>
      <c r="M4" s="993" t="s">
        <v>774</v>
      </c>
      <c r="N4" s="993" t="s">
        <v>774</v>
      </c>
      <c r="O4" s="993" t="s">
        <v>774</v>
      </c>
      <c r="P4" s="994" t="s">
        <v>830</v>
      </c>
    </row>
    <row r="5" spans="1:16" ht="135">
      <c r="A5" s="995" t="s">
        <v>239</v>
      </c>
      <c r="B5" s="992" t="s">
        <v>893</v>
      </c>
      <c r="C5" s="993" t="s">
        <v>774</v>
      </c>
      <c r="D5" s="993" t="s">
        <v>774</v>
      </c>
      <c r="E5" s="993" t="s">
        <v>774</v>
      </c>
      <c r="F5" s="993" t="s">
        <v>774</v>
      </c>
      <c r="G5" s="993" t="s">
        <v>774</v>
      </c>
      <c r="H5" s="993" t="s">
        <v>774</v>
      </c>
      <c r="I5" s="993" t="s">
        <v>774</v>
      </c>
      <c r="J5" s="993" t="s">
        <v>774</v>
      </c>
      <c r="K5" s="993" t="s">
        <v>774</v>
      </c>
      <c r="L5" s="993" t="s">
        <v>774</v>
      </c>
      <c r="M5" s="993" t="s">
        <v>774</v>
      </c>
      <c r="N5" s="993" t="s">
        <v>774</v>
      </c>
      <c r="O5" s="993" t="s">
        <v>774</v>
      </c>
      <c r="P5" s="994" t="s">
        <v>830</v>
      </c>
    </row>
    <row r="6" spans="1:16" ht="135">
      <c r="A6" s="995" t="s">
        <v>240</v>
      </c>
      <c r="B6" s="992" t="s">
        <v>893</v>
      </c>
      <c r="C6" s="993" t="s">
        <v>774</v>
      </c>
      <c r="D6" s="993" t="s">
        <v>774</v>
      </c>
      <c r="E6" s="993" t="s">
        <v>774</v>
      </c>
      <c r="F6" s="993" t="s">
        <v>774</v>
      </c>
      <c r="G6" s="993" t="s">
        <v>774</v>
      </c>
      <c r="H6" s="993" t="s">
        <v>774</v>
      </c>
      <c r="I6" s="993" t="s">
        <v>774</v>
      </c>
      <c r="J6" s="993" t="s">
        <v>774</v>
      </c>
      <c r="K6" s="993" t="s">
        <v>774</v>
      </c>
      <c r="L6" s="993" t="s">
        <v>774</v>
      </c>
      <c r="M6" s="993" t="s">
        <v>774</v>
      </c>
      <c r="N6" s="993" t="s">
        <v>774</v>
      </c>
      <c r="O6" s="993" t="s">
        <v>774</v>
      </c>
      <c r="P6" s="994" t="s">
        <v>830</v>
      </c>
    </row>
    <row r="7" spans="1:16" ht="135">
      <c r="A7" s="995" t="s">
        <v>809</v>
      </c>
      <c r="B7" s="993" t="s">
        <v>774</v>
      </c>
      <c r="C7" s="993" t="s">
        <v>774</v>
      </c>
      <c r="D7" s="993" t="s">
        <v>774</v>
      </c>
      <c r="E7" s="993" t="s">
        <v>774</v>
      </c>
      <c r="F7" s="993" t="s">
        <v>774</v>
      </c>
      <c r="G7" s="993" t="s">
        <v>774</v>
      </c>
      <c r="H7" s="993" t="s">
        <v>774</v>
      </c>
      <c r="I7" s="993" t="s">
        <v>774</v>
      </c>
      <c r="J7" s="993" t="s">
        <v>774</v>
      </c>
      <c r="K7" s="993" t="s">
        <v>774</v>
      </c>
      <c r="L7" s="993" t="s">
        <v>774</v>
      </c>
      <c r="M7" s="993" t="s">
        <v>774</v>
      </c>
      <c r="N7" s="993" t="s">
        <v>774</v>
      </c>
      <c r="O7" s="993" t="s">
        <v>774</v>
      </c>
      <c r="P7" s="994" t="s">
        <v>830</v>
      </c>
    </row>
    <row r="8" spans="1:16" ht="210">
      <c r="A8" s="991" t="s">
        <v>241</v>
      </c>
      <c r="B8" s="992" t="s">
        <v>831</v>
      </c>
      <c r="C8" s="992" t="s">
        <v>831</v>
      </c>
      <c r="D8" s="992" t="s">
        <v>831</v>
      </c>
      <c r="E8" s="992" t="s">
        <v>831</v>
      </c>
      <c r="F8" s="992" t="s">
        <v>831</v>
      </c>
      <c r="G8" s="992" t="s">
        <v>831</v>
      </c>
      <c r="H8" s="992" t="s">
        <v>831</v>
      </c>
      <c r="I8" s="992" t="s">
        <v>831</v>
      </c>
      <c r="J8" s="992" t="s">
        <v>831</v>
      </c>
      <c r="K8" s="993" t="s">
        <v>774</v>
      </c>
      <c r="L8" s="993" t="s">
        <v>774</v>
      </c>
      <c r="M8" s="993" t="s">
        <v>774</v>
      </c>
      <c r="N8" s="992" t="s">
        <v>832</v>
      </c>
      <c r="O8" s="992" t="s">
        <v>832</v>
      </c>
      <c r="P8" s="996"/>
    </row>
    <row r="9" spans="1:16" ht="210">
      <c r="A9" s="997" t="s">
        <v>821</v>
      </c>
      <c r="B9" s="992" t="s">
        <v>832</v>
      </c>
      <c r="C9" s="992" t="s">
        <v>832</v>
      </c>
      <c r="D9" s="992" t="s">
        <v>832</v>
      </c>
      <c r="E9" s="992" t="s">
        <v>832</v>
      </c>
      <c r="F9" s="992" t="s">
        <v>832</v>
      </c>
      <c r="G9" s="992" t="s">
        <v>832</v>
      </c>
      <c r="H9" s="992" t="s">
        <v>832</v>
      </c>
      <c r="I9" s="992" t="s">
        <v>832</v>
      </c>
      <c r="J9" s="992" t="s">
        <v>832</v>
      </c>
      <c r="K9" s="993" t="s">
        <v>774</v>
      </c>
      <c r="L9" s="992" t="s">
        <v>832</v>
      </c>
      <c r="M9" s="992" t="s">
        <v>832</v>
      </c>
      <c r="N9" s="992" t="s">
        <v>832</v>
      </c>
      <c r="O9" s="992" t="s">
        <v>832</v>
      </c>
      <c r="P9" s="996"/>
    </row>
    <row r="10" spans="1:16">
      <c r="A10" s="995" t="s">
        <v>109</v>
      </c>
      <c r="B10" s="998"/>
      <c r="C10" s="998"/>
      <c r="D10" s="998"/>
      <c r="E10" s="998"/>
      <c r="F10" s="998"/>
      <c r="G10" s="998"/>
      <c r="H10" s="998"/>
      <c r="I10" s="998"/>
      <c r="J10" s="998"/>
      <c r="K10" s="998"/>
      <c r="L10" s="998"/>
      <c r="M10" s="998"/>
      <c r="N10" s="998"/>
      <c r="O10" s="998"/>
      <c r="P10" s="998"/>
    </row>
    <row r="11" spans="1:16">
      <c r="A11" s="841"/>
      <c r="B11" s="841"/>
      <c r="C11" s="841"/>
      <c r="D11" s="841"/>
      <c r="E11" s="841"/>
      <c r="F11" s="841"/>
      <c r="G11" s="841"/>
      <c r="H11" s="841"/>
      <c r="I11" s="841"/>
      <c r="J11" s="841"/>
      <c r="K11" s="841"/>
      <c r="L11" s="841"/>
      <c r="M11" s="841"/>
      <c r="N11" s="841"/>
      <c r="O11" s="841"/>
      <c r="P11" s="841"/>
    </row>
    <row r="12" spans="1:16" ht="150">
      <c r="A12" s="461" t="s">
        <v>822</v>
      </c>
      <c r="B12" s="731" t="s">
        <v>823</v>
      </c>
      <c r="C12" s="999" t="s">
        <v>833</v>
      </c>
      <c r="D12" s="841"/>
      <c r="E12" s="841"/>
      <c r="F12" s="841"/>
      <c r="G12" s="841"/>
      <c r="H12" s="841"/>
      <c r="I12" s="841"/>
      <c r="J12" s="841"/>
      <c r="K12" s="841"/>
      <c r="L12" s="841"/>
      <c r="M12" s="841"/>
      <c r="N12" s="841"/>
      <c r="O12" s="841"/>
      <c r="P12" s="841"/>
    </row>
    <row r="13" spans="1:16">
      <c r="A13" s="841"/>
      <c r="B13" s="841"/>
      <c r="C13" s="841"/>
      <c r="D13" s="841"/>
      <c r="E13" s="841"/>
      <c r="F13" s="841"/>
      <c r="G13" s="841"/>
      <c r="H13" s="841"/>
      <c r="I13" s="841"/>
      <c r="J13" s="841"/>
      <c r="K13" s="841"/>
      <c r="L13" s="841"/>
      <c r="M13" s="841"/>
      <c r="N13" s="841"/>
      <c r="O13" s="841"/>
      <c r="P13" s="841"/>
    </row>
    <row r="14" spans="1:16" ht="15.75">
      <c r="A14" s="1139" t="s">
        <v>242</v>
      </c>
      <c r="B14" s="1140" t="s">
        <v>342</v>
      </c>
      <c r="C14" s="1140"/>
      <c r="D14" s="1141" t="s">
        <v>343</v>
      </c>
      <c r="E14" s="1141"/>
      <c r="F14" s="1141"/>
      <c r="G14" s="1141"/>
      <c r="H14" s="1141"/>
      <c r="I14" s="1141"/>
      <c r="J14" s="1141"/>
      <c r="K14" s="1141"/>
      <c r="L14" s="1141"/>
      <c r="M14" s="1141"/>
      <c r="N14" s="1141"/>
      <c r="O14" s="1141"/>
      <c r="P14" s="1140" t="s">
        <v>824</v>
      </c>
    </row>
    <row r="15" spans="1:16">
      <c r="A15" s="1139"/>
      <c r="B15" s="1140"/>
      <c r="C15" s="1140"/>
      <c r="D15" s="1142" t="s">
        <v>190</v>
      </c>
      <c r="E15" s="1142"/>
      <c r="F15" s="1142"/>
      <c r="G15" s="1142"/>
      <c r="H15" s="1142"/>
      <c r="I15" s="1140" t="s">
        <v>816</v>
      </c>
      <c r="J15" s="1140" t="s">
        <v>223</v>
      </c>
      <c r="K15" s="1140" t="s">
        <v>817</v>
      </c>
      <c r="L15" s="1140" t="s">
        <v>809</v>
      </c>
      <c r="M15" s="1140" t="s">
        <v>234</v>
      </c>
      <c r="N15" s="1140" t="s">
        <v>825</v>
      </c>
      <c r="O15" s="1140" t="s">
        <v>120</v>
      </c>
      <c r="P15" s="1140"/>
    </row>
    <row r="16" spans="1:16" ht="30">
      <c r="A16" s="1139"/>
      <c r="B16" s="980" t="s">
        <v>826</v>
      </c>
      <c r="C16" s="980" t="s">
        <v>827</v>
      </c>
      <c r="D16" s="980" t="s">
        <v>192</v>
      </c>
      <c r="E16" s="980" t="s">
        <v>193</v>
      </c>
      <c r="F16" s="980" t="s">
        <v>194</v>
      </c>
      <c r="G16" s="980" t="s">
        <v>196</v>
      </c>
      <c r="H16" s="980" t="s">
        <v>197</v>
      </c>
      <c r="I16" s="1140"/>
      <c r="J16" s="1140"/>
      <c r="K16" s="1140"/>
      <c r="L16" s="1140"/>
      <c r="M16" s="1140"/>
      <c r="N16" s="1140"/>
      <c r="O16" s="1143"/>
      <c r="P16" s="1140"/>
    </row>
    <row r="17" spans="1:16" ht="210">
      <c r="A17" s="987" t="s">
        <v>241</v>
      </c>
      <c r="B17" s="992" t="s">
        <v>832</v>
      </c>
      <c r="C17" s="992" t="s">
        <v>832</v>
      </c>
      <c r="D17" s="992" t="s">
        <v>832</v>
      </c>
      <c r="E17" s="992" t="s">
        <v>832</v>
      </c>
      <c r="F17" s="992" t="s">
        <v>832</v>
      </c>
      <c r="G17" s="992" t="s">
        <v>832</v>
      </c>
      <c r="H17" s="992" t="s">
        <v>832</v>
      </c>
      <c r="I17" s="992" t="s">
        <v>832</v>
      </c>
      <c r="J17" s="992" t="s">
        <v>832</v>
      </c>
      <c r="K17" s="993" t="s">
        <v>774</v>
      </c>
      <c r="L17" s="993" t="s">
        <v>774</v>
      </c>
      <c r="M17" s="993" t="s">
        <v>774</v>
      </c>
      <c r="N17" s="992" t="s">
        <v>832</v>
      </c>
      <c r="O17" s="992" t="s">
        <v>832</v>
      </c>
      <c r="P17" s="1000"/>
    </row>
    <row r="18" spans="1:16" ht="45">
      <c r="A18" s="989" t="s">
        <v>247</v>
      </c>
      <c r="B18" s="994" t="s">
        <v>796</v>
      </c>
      <c r="C18" s="994" t="s">
        <v>796</v>
      </c>
      <c r="D18" s="994" t="s">
        <v>796</v>
      </c>
      <c r="E18" s="994" t="s">
        <v>796</v>
      </c>
      <c r="F18" s="994" t="s">
        <v>796</v>
      </c>
      <c r="G18" s="994" t="s">
        <v>796</v>
      </c>
      <c r="H18" s="994" t="s">
        <v>796</v>
      </c>
      <c r="I18" s="994" t="s">
        <v>796</v>
      </c>
      <c r="J18" s="994" t="s">
        <v>796</v>
      </c>
      <c r="K18" s="994" t="s">
        <v>796</v>
      </c>
      <c r="L18" s="994" t="s">
        <v>796</v>
      </c>
      <c r="M18" s="994" t="s">
        <v>796</v>
      </c>
      <c r="N18" s="994" t="s">
        <v>796</v>
      </c>
      <c r="O18" s="994" t="s">
        <v>796</v>
      </c>
      <c r="P18" s="994" t="s">
        <v>796</v>
      </c>
    </row>
    <row r="19" spans="1:16" ht="45">
      <c r="A19" s="985" t="s">
        <v>828</v>
      </c>
      <c r="B19" s="994" t="s">
        <v>796</v>
      </c>
      <c r="C19" s="994" t="s">
        <v>796</v>
      </c>
      <c r="D19" s="994" t="s">
        <v>796</v>
      </c>
      <c r="E19" s="994" t="s">
        <v>796</v>
      </c>
      <c r="F19" s="994" t="s">
        <v>796</v>
      </c>
      <c r="G19" s="994" t="s">
        <v>796</v>
      </c>
      <c r="H19" s="994" t="s">
        <v>796</v>
      </c>
      <c r="I19" s="994" t="s">
        <v>796</v>
      </c>
      <c r="J19" s="994" t="s">
        <v>796</v>
      </c>
      <c r="K19" s="994" t="s">
        <v>796</v>
      </c>
      <c r="L19" s="994" t="s">
        <v>796</v>
      </c>
      <c r="M19" s="994" t="s">
        <v>796</v>
      </c>
      <c r="N19" s="994" t="s">
        <v>796</v>
      </c>
      <c r="O19" s="994" t="s">
        <v>796</v>
      </c>
      <c r="P19" s="994" t="s">
        <v>796</v>
      </c>
    </row>
    <row r="20" spans="1:16">
      <c r="A20" s="990" t="s">
        <v>109</v>
      </c>
      <c r="B20" s="986"/>
      <c r="C20" s="986"/>
      <c r="D20" s="986"/>
      <c r="E20" s="986"/>
      <c r="F20" s="986"/>
      <c r="G20" s="986"/>
      <c r="H20" s="986"/>
      <c r="I20" s="986"/>
      <c r="J20" s="986"/>
      <c r="K20" s="986"/>
      <c r="L20" s="986"/>
      <c r="M20" s="986"/>
      <c r="N20" s="986"/>
      <c r="O20" s="986"/>
      <c r="P20" s="986"/>
    </row>
    <row r="22" spans="1:16" ht="90">
      <c r="A22" s="461" t="s">
        <v>829</v>
      </c>
      <c r="B22" s="731" t="s">
        <v>823</v>
      </c>
      <c r="C22" s="999" t="s">
        <v>834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4"/>
  <sheetViews>
    <sheetView showGridLines="0" workbookViewId="0">
      <selection activeCell="B21" sqref="B21"/>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1" t="s">
        <v>556</v>
      </c>
    </row>
    <row r="7" spans="1:3">
      <c r="A7" s="125"/>
      <c r="B7" s="129"/>
      <c r="C7" s="122"/>
    </row>
    <row r="8" spans="1:3">
      <c r="A8" s="113" t="s">
        <v>575</v>
      </c>
      <c r="B8" s="75" t="s">
        <v>574</v>
      </c>
      <c r="C8" s="431" t="s">
        <v>375</v>
      </c>
    </row>
    <row r="9" spans="1:3">
      <c r="A9" s="125"/>
      <c r="B9" s="129"/>
      <c r="C9" s="122"/>
    </row>
    <row r="10" spans="1:3">
      <c r="A10" s="113" t="s">
        <v>316</v>
      </c>
      <c r="B10" s="75" t="s">
        <v>373</v>
      </c>
      <c r="C10" s="114" t="s">
        <v>375</v>
      </c>
    </row>
    <row r="11" spans="1:3">
      <c r="A11" s="125"/>
      <c r="B11" s="129"/>
      <c r="C11" s="122"/>
    </row>
    <row r="12" spans="1:3" ht="30">
      <c r="A12" s="113" t="s">
        <v>401</v>
      </c>
      <c r="B12" s="75" t="s">
        <v>515</v>
      </c>
      <c r="C12" s="309" t="s">
        <v>586</v>
      </c>
    </row>
    <row r="13" spans="1:3">
      <c r="A13" s="141"/>
      <c r="B13" s="124"/>
      <c r="C13" s="297"/>
    </row>
    <row r="14" spans="1:3" ht="21">
      <c r="A14" s="126" t="s">
        <v>465</v>
      </c>
      <c r="B14" s="125"/>
      <c r="C14"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44" t="s">
        <v>374</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35" t="s">
        <v>581</v>
      </c>
      <c r="B4" s="464"/>
      <c r="C4" s="464"/>
      <c r="D4" s="464"/>
      <c r="E4" s="464"/>
      <c r="F4" s="464"/>
      <c r="G4" s="496"/>
      <c r="H4" s="496"/>
      <c r="I4" s="464"/>
      <c r="J4" s="464"/>
      <c r="K4" s="464"/>
      <c r="L4" s="464"/>
      <c r="M4" s="464"/>
      <c r="N4" s="464"/>
      <c r="O4" s="464"/>
      <c r="P4" s="464"/>
    </row>
    <row r="5" spans="1:16" outlineLevel="1">
      <c r="A5" s="635" t="s">
        <v>582</v>
      </c>
      <c r="B5" s="464"/>
      <c r="C5" s="464"/>
      <c r="D5" s="464"/>
      <c r="E5" s="464"/>
      <c r="F5" s="464"/>
      <c r="G5" s="496"/>
      <c r="H5" s="496"/>
      <c r="I5" s="464"/>
      <c r="J5" s="464"/>
      <c r="K5" s="464"/>
      <c r="L5" s="464"/>
      <c r="M5" s="464"/>
      <c r="N5" s="464"/>
      <c r="O5" s="464"/>
      <c r="P5" s="464"/>
    </row>
    <row r="6" spans="1:16" outlineLevel="1">
      <c r="A6" s="635" t="s">
        <v>583</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36" t="s">
        <v>584</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585</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570</v>
      </c>
      <c r="B13" s="448"/>
      <c r="C13" s="468"/>
      <c r="D13" s="468"/>
      <c r="E13" s="468"/>
      <c r="F13" s="468"/>
      <c r="G13" s="468"/>
      <c r="H13" s="468"/>
      <c r="I13" s="468"/>
      <c r="J13" s="468"/>
      <c r="K13" s="468"/>
      <c r="L13" s="468"/>
      <c r="M13" s="468"/>
      <c r="N13" s="468"/>
      <c r="O13" s="732" t="s">
        <v>606</v>
      </c>
      <c r="P13" s="732" t="s">
        <v>605</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579</v>
      </c>
      <c r="B17" s="498">
        <f ca="1">'EF ele_warmte'!B12</f>
        <v>0.17420263799879329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478</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39" t="s">
        <v>635</v>
      </c>
      <c r="E24" s="449"/>
    </row>
    <row r="25" spans="1:16" s="448" customFormat="1" outlineLevel="1">
      <c r="A25" s="485" t="s">
        <v>445</v>
      </c>
      <c r="B25" s="48">
        <v>4.2</v>
      </c>
      <c r="C25" s="486"/>
      <c r="D25" s="487" t="s">
        <v>502</v>
      </c>
      <c r="E25" s="463"/>
    </row>
    <row r="26" spans="1:16" s="448" customFormat="1" outlineLevel="1">
      <c r="A26" s="736" t="s">
        <v>446</v>
      </c>
      <c r="B26" s="737">
        <f>1.34/3.6</f>
        <v>0.37222222222222223</v>
      </c>
      <c r="C26" s="486" t="s">
        <v>208</v>
      </c>
      <c r="D26" s="487" t="s">
        <v>502</v>
      </c>
      <c r="E26" s="463"/>
    </row>
    <row r="27" spans="1:16" s="448" customFormat="1" outlineLevel="1">
      <c r="A27" s="488" t="s">
        <v>593</v>
      </c>
      <c r="B27" s="739">
        <f>B24*B25*B26</f>
        <v>0</v>
      </c>
      <c r="C27" s="489" t="s">
        <v>594</v>
      </c>
      <c r="D27" s="490"/>
      <c r="E27" s="491"/>
    </row>
    <row r="28" spans="1:16" s="448" customFormat="1" outlineLevel="1">
      <c r="A28" s="48"/>
      <c r="B28" s="48"/>
      <c r="C28" s="492"/>
      <c r="D28" s="486"/>
    </row>
    <row r="29" spans="1:16" s="448" customFormat="1" outlineLevel="1">
      <c r="A29" s="493" t="s">
        <v>479</v>
      </c>
      <c r="B29" s="477"/>
      <c r="C29" s="478"/>
      <c r="D29" s="479"/>
      <c r="E29" s="480"/>
    </row>
    <row r="30" spans="1:16" s="48" customFormat="1" outlineLevel="1">
      <c r="A30" s="494"/>
      <c r="B30" s="482"/>
      <c r="C30" s="483" t="s">
        <v>365</v>
      </c>
      <c r="D30" s="483" t="s">
        <v>175</v>
      </c>
      <c r="E30" s="484"/>
    </row>
    <row r="31" spans="1:16" s="448" customFormat="1" outlineLevel="1">
      <c r="A31" s="485" t="s">
        <v>444</v>
      </c>
      <c r="B31" s="47">
        <f>EigenWP</f>
        <v>0</v>
      </c>
      <c r="C31" s="486"/>
      <c r="D31" s="839" t="s">
        <v>225</v>
      </c>
      <c r="E31" s="449"/>
    </row>
    <row r="32" spans="1:16" s="448" customFormat="1" outlineLevel="1">
      <c r="A32" s="485" t="s">
        <v>442</v>
      </c>
      <c r="B32" s="48">
        <v>13</v>
      </c>
      <c r="C32" s="492" t="s">
        <v>252</v>
      </c>
      <c r="D32" s="487" t="s">
        <v>502</v>
      </c>
      <c r="E32" s="449"/>
    </row>
    <row r="33" spans="1:5" s="448" customFormat="1" outlineLevel="1">
      <c r="A33" s="485" t="s">
        <v>443</v>
      </c>
      <c r="B33" s="48">
        <v>2000</v>
      </c>
      <c r="C33" s="492" t="s">
        <v>254</v>
      </c>
      <c r="D33" s="487" t="s">
        <v>502</v>
      </c>
      <c r="E33" s="449"/>
    </row>
    <row r="34" spans="1:5" s="448" customFormat="1" outlineLevel="1">
      <c r="A34" s="736" t="s">
        <v>370</v>
      </c>
      <c r="B34" s="48">
        <v>3.75</v>
      </c>
      <c r="C34" s="492"/>
      <c r="D34" s="487" t="s">
        <v>502</v>
      </c>
      <c r="E34" s="449"/>
    </row>
    <row r="35" spans="1:5" s="448" customFormat="1" outlineLevel="1">
      <c r="A35" s="488" t="s">
        <v>593</v>
      </c>
      <c r="B35" s="738">
        <f>B31*B32*B33/1000-B31*B32*B33/1000/B34</f>
        <v>0</v>
      </c>
      <c r="C35" s="495" t="s">
        <v>594</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44" t="s">
        <v>374</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36"/>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570</v>
      </c>
      <c r="B13" s="448"/>
      <c r="C13" s="468"/>
      <c r="D13" s="468"/>
      <c r="E13" s="468"/>
      <c r="F13" s="468"/>
      <c r="G13" s="468"/>
      <c r="H13" s="468"/>
      <c r="I13" s="468"/>
      <c r="J13" s="468"/>
      <c r="K13" s="468"/>
      <c r="L13" s="468"/>
      <c r="M13" s="468"/>
      <c r="N13" s="468"/>
      <c r="O13" s="1151"/>
      <c r="P13" s="1151"/>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579</v>
      </c>
      <c r="B17" s="498">
        <f ca="1">'EF ele_warmte'!B12</f>
        <v>0.17420263799879329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44" t="s">
        <v>316</v>
      </c>
      <c r="B1" s="1145" t="s">
        <v>188</v>
      </c>
      <c r="C1" s="1146"/>
      <c r="D1" s="1146"/>
      <c r="E1" s="1146"/>
      <c r="F1" s="1146"/>
      <c r="G1" s="1146"/>
      <c r="H1" s="1146"/>
      <c r="I1" s="1146"/>
      <c r="J1" s="1146"/>
      <c r="K1" s="1146"/>
      <c r="L1" s="1146"/>
      <c r="M1" s="1146"/>
      <c r="N1" s="1146"/>
      <c r="O1" s="1146"/>
      <c r="P1" s="1146"/>
    </row>
    <row r="2" spans="1:16" ht="15" customHeight="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570</v>
      </c>
    </row>
    <row r="26" spans="1:16" s="460" customFormat="1">
      <c r="A26" s="469" t="s">
        <v>519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37">
        <f>G26*transport!C35+'Eigen vloot'!H26*transport!C42</f>
        <v>0</v>
      </c>
      <c r="N27" s="469"/>
      <c r="O27" s="469"/>
      <c r="P27" s="469"/>
    </row>
    <row r="29" spans="1:16">
      <c r="A29" s="474" t="s">
        <v>579</v>
      </c>
      <c r="B29" s="499">
        <f ca="1">'EF ele_warmte'!B12</f>
        <v>0.17420263799879329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38">
        <f ca="1">B27*B29</f>
        <v>0</v>
      </c>
      <c r="C31" s="638"/>
      <c r="D31" s="638">
        <f>D27*D29</f>
        <v>0</v>
      </c>
      <c r="E31" s="638">
        <f>E27*E29</f>
        <v>0</v>
      </c>
      <c r="F31" s="638"/>
      <c r="G31" s="638">
        <f>G27*G29</f>
        <v>0</v>
      </c>
      <c r="H31" s="638">
        <f>H27*H29</f>
        <v>0</v>
      </c>
      <c r="I31" s="638"/>
      <c r="J31" s="638"/>
      <c r="K31" s="638"/>
      <c r="L31" s="638"/>
      <c r="M31" s="638">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516</v>
      </c>
      <c r="B2" s="500"/>
      <c r="C2" s="184"/>
      <c r="D2" s="185"/>
    </row>
    <row r="3" spans="1:11">
      <c r="A3" s="101"/>
      <c r="B3" s="501"/>
      <c r="C3" s="142" t="s">
        <v>175</v>
      </c>
      <c r="D3" s="145" t="s">
        <v>379</v>
      </c>
    </row>
    <row r="4" spans="1:11">
      <c r="A4" s="44" t="s">
        <v>436</v>
      </c>
      <c r="B4" s="47"/>
      <c r="C4" s="32"/>
      <c r="D4" s="144" t="s">
        <v>381</v>
      </c>
    </row>
    <row r="5" spans="1:11">
      <c r="A5" s="44"/>
      <c r="B5" s="48"/>
      <c r="C5" s="32"/>
      <c r="D5" s="144"/>
    </row>
    <row r="6" spans="1:11" s="10" customFormat="1" ht="21.75" thickBot="1">
      <c r="A6" s="188" t="s">
        <v>469</v>
      </c>
      <c r="B6" s="502"/>
      <c r="C6" s="189"/>
      <c r="D6" s="190"/>
    </row>
    <row r="7" spans="1:11" s="43" customFormat="1" ht="15.75" thickBot="1">
      <c r="B7" s="448"/>
    </row>
    <row r="8" spans="1:11" s="43" customFormat="1">
      <c r="A8" s="183" t="s">
        <v>529</v>
      </c>
      <c r="B8" s="500"/>
      <c r="C8" s="184"/>
      <c r="D8" s="185"/>
    </row>
    <row r="9" spans="1:11" s="32" customFormat="1">
      <c r="A9" s="46"/>
      <c r="B9" s="503"/>
      <c r="C9" s="42"/>
      <c r="D9" s="298"/>
    </row>
    <row r="10" spans="1:11">
      <c r="A10" s="299" t="s">
        <v>558</v>
      </c>
      <c r="B10" s="501"/>
      <c r="C10" s="142" t="s">
        <v>175</v>
      </c>
      <c r="D10" s="145" t="s">
        <v>379</v>
      </c>
      <c r="I10" s="1152"/>
      <c r="K10" s="58"/>
    </row>
    <row r="11" spans="1:11" s="43" customFormat="1">
      <c r="A11" s="44" t="s">
        <v>559</v>
      </c>
      <c r="B11" s="47"/>
      <c r="D11" s="143" t="s">
        <v>380</v>
      </c>
      <c r="I11" s="1152"/>
      <c r="K11" s="58"/>
    </row>
    <row r="12" spans="1:11" s="43" customFormat="1">
      <c r="A12" s="44" t="s">
        <v>560</v>
      </c>
      <c r="B12" s="47"/>
      <c r="D12" s="143" t="s">
        <v>380</v>
      </c>
      <c r="I12" s="1152"/>
      <c r="K12" s="58"/>
    </row>
    <row r="13" spans="1:11" s="43" customFormat="1">
      <c r="A13" s="44"/>
      <c r="B13" s="448"/>
      <c r="D13" s="96"/>
      <c r="I13" s="1152"/>
    </row>
    <row r="14" spans="1:11" s="43" customFormat="1">
      <c r="A14" s="299" t="s">
        <v>557</v>
      </c>
      <c r="B14" s="501"/>
      <c r="C14" s="142" t="s">
        <v>175</v>
      </c>
      <c r="D14" s="145" t="s">
        <v>379</v>
      </c>
      <c r="I14" s="1152"/>
    </row>
    <row r="15" spans="1:11" s="43" customFormat="1">
      <c r="A15" s="44" t="s">
        <v>70</v>
      </c>
      <c r="B15" s="47"/>
      <c r="D15" s="143" t="s">
        <v>380</v>
      </c>
      <c r="I15" s="1152"/>
      <c r="J15" s="1152"/>
    </row>
    <row r="16" spans="1:11" s="43" customFormat="1">
      <c r="A16" s="44" t="s">
        <v>521</v>
      </c>
      <c r="B16" s="47"/>
      <c r="D16" s="143" t="s">
        <v>380</v>
      </c>
      <c r="I16" s="1152"/>
      <c r="J16" s="1152"/>
    </row>
    <row r="17" spans="1:11" s="43" customFormat="1">
      <c r="A17" s="44" t="s">
        <v>77</v>
      </c>
      <c r="B17" s="47"/>
      <c r="D17" s="143" t="s">
        <v>380</v>
      </c>
      <c r="I17" s="1152"/>
      <c r="J17" s="1152"/>
    </row>
    <row r="18" spans="1:11" s="43" customFormat="1">
      <c r="A18" s="44" t="s">
        <v>522</v>
      </c>
      <c r="B18" s="47"/>
      <c r="D18" s="143" t="s">
        <v>380</v>
      </c>
      <c r="I18" s="1152"/>
      <c r="J18" s="1152"/>
      <c r="K18" s="58"/>
    </row>
    <row r="19" spans="1:11" s="43" customFormat="1">
      <c r="A19" s="44" t="s">
        <v>76</v>
      </c>
      <c r="B19" s="47"/>
      <c r="D19" s="143" t="s">
        <v>380</v>
      </c>
      <c r="I19" s="1152"/>
      <c r="J19" s="1153"/>
      <c r="K19" s="58"/>
    </row>
    <row r="20" spans="1:11" s="43" customFormat="1">
      <c r="A20" s="32" t="s">
        <v>523</v>
      </c>
      <c r="B20" s="47"/>
      <c r="D20" s="143" t="s">
        <v>380</v>
      </c>
      <c r="I20" s="300"/>
      <c r="J20" s="301"/>
      <c r="K20" s="58"/>
    </row>
    <row r="21" spans="1:11" s="43" customFormat="1">
      <c r="A21" s="32" t="s">
        <v>524</v>
      </c>
      <c r="B21" s="47"/>
      <c r="D21" s="143" t="s">
        <v>380</v>
      </c>
      <c r="I21" s="300"/>
      <c r="J21" s="301"/>
      <c r="K21" s="58"/>
    </row>
    <row r="22" spans="1:11" s="43" customFormat="1">
      <c r="A22" s="32" t="s">
        <v>525</v>
      </c>
      <c r="B22" s="47"/>
      <c r="D22" s="143" t="s">
        <v>380</v>
      </c>
      <c r="I22" s="300"/>
      <c r="J22" s="301"/>
      <c r="K22" s="58"/>
    </row>
    <row r="23" spans="1:11">
      <c r="A23" s="32" t="s">
        <v>526</v>
      </c>
      <c r="B23" s="47"/>
      <c r="C23" s="43"/>
      <c r="D23" s="143" t="s">
        <v>380</v>
      </c>
      <c r="I23" s="58"/>
      <c r="J23" s="58"/>
      <c r="K23" s="58"/>
    </row>
    <row r="24" spans="1:11">
      <c r="A24" s="32" t="s">
        <v>527</v>
      </c>
      <c r="B24" s="47"/>
      <c r="C24" s="43"/>
      <c r="D24" s="143" t="s">
        <v>380</v>
      </c>
      <c r="I24" s="58"/>
      <c r="J24" s="58"/>
      <c r="K24" s="58"/>
    </row>
    <row r="25" spans="1:11">
      <c r="A25" s="58"/>
      <c r="B25" s="48"/>
      <c r="C25" s="43"/>
      <c r="D25" s="143"/>
      <c r="I25" s="58"/>
      <c r="J25" s="58"/>
      <c r="K25" s="58"/>
    </row>
    <row r="26" spans="1:11" ht="21.75" thickBot="1">
      <c r="A26" s="188" t="s">
        <v>568</v>
      </c>
      <c r="B26" s="504"/>
      <c r="C26" s="108"/>
      <c r="D26" s="109"/>
      <c r="I26" s="58"/>
      <c r="J26" s="58"/>
      <c r="K26" s="58"/>
    </row>
    <row r="28" spans="1:11" ht="15.75" thickBot="1"/>
    <row r="29" spans="1:11" s="43" customFormat="1">
      <c r="A29" s="183" t="s">
        <v>517</v>
      </c>
      <c r="B29" s="500"/>
      <c r="C29" s="184"/>
      <c r="D29" s="185"/>
    </row>
    <row r="30" spans="1:11" s="32" customFormat="1">
      <c r="A30" s="46"/>
      <c r="B30" s="503"/>
      <c r="C30" s="42"/>
      <c r="D30" s="298"/>
    </row>
    <row r="31" spans="1:11">
      <c r="A31" s="299" t="s">
        <v>558</v>
      </c>
      <c r="B31" s="501"/>
      <c r="C31" s="142" t="s">
        <v>175</v>
      </c>
      <c r="D31" s="145" t="s">
        <v>379</v>
      </c>
    </row>
    <row r="32" spans="1:11">
      <c r="A32" s="438" t="s">
        <v>559</v>
      </c>
      <c r="B32" s="47"/>
      <c r="C32" s="48"/>
      <c r="D32" s="143" t="s">
        <v>380</v>
      </c>
    </row>
    <row r="33" spans="1:11">
      <c r="A33" s="44"/>
      <c r="B33" s="48"/>
      <c r="C33" s="48"/>
      <c r="D33" s="143"/>
    </row>
    <row r="34" spans="1:11" s="43" customFormat="1">
      <c r="A34" s="299" t="s">
        <v>557</v>
      </c>
      <c r="B34" s="501"/>
      <c r="C34" s="142" t="s">
        <v>175</v>
      </c>
      <c r="D34" s="145" t="s">
        <v>379</v>
      </c>
      <c r="I34"/>
    </row>
    <row r="35" spans="1:11" s="43" customFormat="1">
      <c r="A35" s="437" t="s">
        <v>70</v>
      </c>
      <c r="B35" s="47"/>
      <c r="D35" s="143" t="s">
        <v>380</v>
      </c>
      <c r="I35" s="1152"/>
      <c r="J35" s="1152"/>
    </row>
    <row r="36" spans="1:11" s="43" customFormat="1">
      <c r="A36" s="437" t="s">
        <v>521</v>
      </c>
      <c r="B36" s="47"/>
      <c r="D36" s="143" t="s">
        <v>380</v>
      </c>
      <c r="I36" s="1152"/>
      <c r="J36" s="1152"/>
    </row>
    <row r="37" spans="1:11" s="43" customFormat="1">
      <c r="A37" s="437" t="s">
        <v>77</v>
      </c>
      <c r="B37" s="47"/>
      <c r="D37" s="143" t="s">
        <v>380</v>
      </c>
      <c r="I37" s="1152"/>
      <c r="J37" s="1152"/>
    </row>
    <row r="38" spans="1:11" s="43" customFormat="1">
      <c r="A38" s="437" t="s">
        <v>522</v>
      </c>
      <c r="B38" s="47"/>
      <c r="D38" s="143" t="s">
        <v>380</v>
      </c>
      <c r="I38" s="1152"/>
      <c r="J38" s="1152"/>
      <c r="K38" s="58"/>
    </row>
    <row r="39" spans="1:11" s="43" customFormat="1">
      <c r="A39" s="437" t="s">
        <v>76</v>
      </c>
      <c r="B39" s="47"/>
      <c r="D39" s="143" t="s">
        <v>380</v>
      </c>
      <c r="I39" s="1152"/>
      <c r="J39" s="1153"/>
      <c r="K39" s="58"/>
    </row>
    <row r="40" spans="1:11" s="43" customFormat="1">
      <c r="A40" s="180" t="s">
        <v>523</v>
      </c>
      <c r="B40" s="48"/>
      <c r="D40" s="143" t="s">
        <v>380</v>
      </c>
      <c r="I40" s="300"/>
      <c r="J40" s="301"/>
      <c r="K40" s="58"/>
    </row>
    <row r="41" spans="1:11" s="43" customFormat="1">
      <c r="A41" s="180" t="s">
        <v>524</v>
      </c>
      <c r="B41" s="47"/>
      <c r="D41" s="143" t="s">
        <v>380</v>
      </c>
      <c r="I41" s="300"/>
      <c r="J41" s="301"/>
      <c r="K41" s="58"/>
    </row>
    <row r="42" spans="1:11" s="43" customFormat="1">
      <c r="A42" s="180" t="s">
        <v>525</v>
      </c>
      <c r="B42" s="47"/>
      <c r="D42" s="143" t="s">
        <v>380</v>
      </c>
      <c r="I42" s="300"/>
      <c r="J42" s="301"/>
      <c r="K42" s="58"/>
    </row>
    <row r="43" spans="1:11">
      <c r="A43" s="180" t="s">
        <v>526</v>
      </c>
      <c r="B43" s="47"/>
      <c r="C43" s="43"/>
      <c r="D43" s="143" t="s">
        <v>380</v>
      </c>
      <c r="I43" s="58"/>
      <c r="J43" s="58"/>
      <c r="K43" s="58"/>
    </row>
    <row r="44" spans="1:11">
      <c r="A44" s="180" t="s">
        <v>527</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561</v>
      </c>
      <c r="B50" s="47"/>
      <c r="C50" s="32"/>
      <c r="D50" s="144" t="s">
        <v>381</v>
      </c>
    </row>
    <row r="51" spans="1:4">
      <c r="A51" s="44" t="s">
        <v>562</v>
      </c>
      <c r="B51" s="47"/>
      <c r="C51" s="32"/>
      <c r="D51" s="144" t="s">
        <v>381</v>
      </c>
    </row>
    <row r="52" spans="1:4" ht="15.75" thickBot="1">
      <c r="A52" s="45"/>
      <c r="B52" s="186"/>
      <c r="C52" s="155"/>
      <c r="D52" s="191"/>
    </row>
    <row r="54" spans="1:4" ht="15.75" thickBot="1"/>
    <row r="55" spans="1:4" s="43" customFormat="1">
      <c r="A55" s="183" t="s">
        <v>518</v>
      </c>
      <c r="B55" s="500"/>
      <c r="C55" s="184"/>
      <c r="D55" s="185"/>
    </row>
    <row r="56" spans="1:4">
      <c r="A56" s="101"/>
      <c r="B56" s="501"/>
      <c r="C56" s="142" t="s">
        <v>175</v>
      </c>
      <c r="D56" s="145" t="s">
        <v>379</v>
      </c>
    </row>
    <row r="57" spans="1:4">
      <c r="A57" s="44" t="s">
        <v>563</v>
      </c>
      <c r="B57" s="47"/>
      <c r="C57" s="32"/>
      <c r="D57" s="143" t="s">
        <v>148</v>
      </c>
    </row>
    <row r="58" spans="1:4">
      <c r="A58" s="44" t="s">
        <v>564</v>
      </c>
      <c r="B58" s="47"/>
      <c r="C58" s="32"/>
      <c r="D58" s="143" t="s">
        <v>149</v>
      </c>
    </row>
    <row r="59" spans="1:4">
      <c r="A59" s="44" t="s">
        <v>565</v>
      </c>
      <c r="B59" s="47"/>
      <c r="C59" s="48"/>
      <c r="D59" s="143" t="s">
        <v>377</v>
      </c>
    </row>
    <row r="60" spans="1:4">
      <c r="A60" s="44" t="s">
        <v>566</v>
      </c>
      <c r="B60" s="47"/>
      <c r="C60" s="48"/>
      <c r="D60" s="143" t="s">
        <v>105</v>
      </c>
    </row>
    <row r="61" spans="1:4">
      <c r="A61" s="44"/>
      <c r="B61" s="48"/>
      <c r="C61" s="48"/>
      <c r="D61" s="143"/>
    </row>
    <row r="62" spans="1:4" ht="21.75" thickBot="1">
      <c r="A62" s="188" t="s">
        <v>520</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60"/>
      <c r="C7" s="161" t="s">
        <v>580</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8" t="s">
        <v>503</v>
      </c>
    </row>
    <row r="12" spans="1:3" s="11" customFormat="1">
      <c r="A12" s="132"/>
      <c r="B12" s="133"/>
      <c r="C12" s="134"/>
    </row>
    <row r="13" spans="1:3" s="11" customFormat="1" ht="18">
      <c r="A13" s="113" t="s">
        <v>454</v>
      </c>
      <c r="B13" s="130" t="s">
        <v>455</v>
      </c>
      <c r="C13" s="159"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381</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636</v>
      </c>
      <c r="C21" s="131" t="s">
        <v>571</v>
      </c>
    </row>
    <row r="22" spans="1:3" s="11" customFormat="1">
      <c r="A22" s="141"/>
      <c r="B22" s="160"/>
      <c r="C22" s="161"/>
    </row>
    <row r="23" spans="1:3" ht="21">
      <c r="A23" s="126" t="s">
        <v>464</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4" bestFit="1" customWidth="1"/>
    <col min="2" max="2" width="59.42578125" style="1004" bestFit="1" customWidth="1"/>
    <col min="3" max="4" width="28.7109375" style="1004" customWidth="1"/>
    <col min="5" max="5" width="44.28515625" style="1004" customWidth="1"/>
    <col min="6" max="6" width="35" style="1004" bestFit="1" customWidth="1"/>
    <col min="7" max="16384" width="9.140625" style="1004"/>
  </cols>
  <sheetData>
    <row r="1" spans="1:6" ht="62.45" customHeight="1" thickTop="1" thickBot="1">
      <c r="A1" s="136" t="s">
        <v>902</v>
      </c>
      <c r="B1" s="1245">
        <v>2013</v>
      </c>
      <c r="C1" s="1246"/>
      <c r="D1" s="1246"/>
      <c r="E1" s="1246"/>
      <c r="F1" s="1247"/>
    </row>
    <row r="2" spans="1:6">
      <c r="A2" s="327"/>
      <c r="B2" s="327"/>
      <c r="C2" s="327"/>
      <c r="D2" s="327"/>
      <c r="E2" s="327"/>
      <c r="F2" s="327"/>
    </row>
    <row r="3" spans="1:6" ht="19.5">
      <c r="A3" s="1248" t="s">
        <v>0</v>
      </c>
      <c r="B3" s="327"/>
      <c r="C3" s="327"/>
      <c r="D3" s="327"/>
      <c r="E3" s="327"/>
      <c r="F3" s="327"/>
    </row>
    <row r="4" spans="1:6" ht="22.5">
      <c r="A4" s="1249" t="s">
        <v>902</v>
      </c>
      <c r="B4" s="327"/>
      <c r="C4" s="327"/>
      <c r="D4" s="327"/>
      <c r="E4" s="327"/>
      <c r="F4" s="327"/>
    </row>
    <row r="5" spans="1:6" ht="22.5">
      <c r="A5" s="1249" t="s">
        <v>903</v>
      </c>
      <c r="B5" s="327"/>
      <c r="C5" s="327"/>
      <c r="D5" s="327"/>
      <c r="E5" s="327"/>
      <c r="F5" s="327"/>
    </row>
    <row r="6" spans="1:6" ht="15.75" thickBot="1">
      <c r="A6" s="327"/>
      <c r="B6" s="327"/>
      <c r="C6" s="327"/>
      <c r="D6" s="327"/>
      <c r="E6" s="327"/>
      <c r="F6" s="327"/>
    </row>
    <row r="7" spans="1:6" ht="20.25" thickBot="1">
      <c r="A7" s="1250" t="s">
        <v>1</v>
      </c>
      <c r="B7" s="328"/>
      <c r="C7" s="328"/>
      <c r="D7" s="328"/>
      <c r="E7" s="328"/>
      <c r="F7" s="329"/>
    </row>
    <row r="8" spans="1:6" ht="16.5" thickTop="1" thickBot="1">
      <c r="A8" s="1251" t="s">
        <v>4</v>
      </c>
      <c r="B8" s="1252"/>
      <c r="C8" s="1252"/>
      <c r="D8" s="1246"/>
      <c r="E8" s="1246"/>
      <c r="F8" s="1247"/>
    </row>
    <row r="9" spans="1:6">
      <c r="A9" s="1253" t="s">
        <v>2</v>
      </c>
      <c r="B9" s="1254">
        <v>10648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50" t="s">
        <v>3</v>
      </c>
      <c r="B12" s="328"/>
      <c r="C12" s="328"/>
      <c r="D12" s="328"/>
      <c r="E12" s="328"/>
      <c r="F12" s="332"/>
    </row>
    <row r="13" spans="1:6" ht="16.5" thickTop="1" thickBot="1">
      <c r="A13" s="1255" t="s">
        <v>4</v>
      </c>
      <c r="B13" s="1256" t="s">
        <v>5</v>
      </c>
      <c r="C13" s="1256"/>
      <c r="D13" s="1256"/>
      <c r="E13" s="1256"/>
      <c r="F13" s="1257"/>
    </row>
    <row r="14" spans="1:6">
      <c r="A14" s="1258" t="s">
        <v>904</v>
      </c>
      <c r="B14" s="1259">
        <v>5261</v>
      </c>
      <c r="C14" s="327"/>
      <c r="D14" s="327"/>
      <c r="E14" s="327"/>
      <c r="F14" s="327"/>
    </row>
    <row r="15" spans="1:6">
      <c r="A15" s="1258" t="s">
        <v>177</v>
      </c>
      <c r="B15" s="1259">
        <v>123</v>
      </c>
      <c r="C15" s="327"/>
      <c r="D15" s="327"/>
      <c r="E15" s="327"/>
      <c r="F15" s="327"/>
    </row>
    <row r="16" spans="1:6">
      <c r="A16" s="1258" t="s">
        <v>6</v>
      </c>
      <c r="B16" s="1259">
        <v>4188</v>
      </c>
      <c r="C16" s="327"/>
      <c r="D16" s="327"/>
      <c r="E16" s="327"/>
      <c r="F16" s="327"/>
    </row>
    <row r="17" spans="1:6">
      <c r="A17" s="1258" t="s">
        <v>7</v>
      </c>
      <c r="B17" s="1259">
        <v>1506</v>
      </c>
      <c r="C17" s="327"/>
      <c r="D17" s="327"/>
      <c r="E17" s="327"/>
      <c r="F17" s="327"/>
    </row>
    <row r="18" spans="1:6">
      <c r="A18" s="1258" t="s">
        <v>8</v>
      </c>
      <c r="B18" s="1259">
        <v>3703</v>
      </c>
      <c r="C18" s="327"/>
      <c r="D18" s="327"/>
      <c r="E18" s="327"/>
      <c r="F18" s="327"/>
    </row>
    <row r="19" spans="1:6">
      <c r="A19" s="1258" t="s">
        <v>9</v>
      </c>
      <c r="B19" s="1259">
        <v>3479</v>
      </c>
      <c r="C19" s="327"/>
      <c r="D19" s="327"/>
      <c r="E19" s="327"/>
      <c r="F19" s="327"/>
    </row>
    <row r="20" spans="1:6">
      <c r="A20" s="1258" t="s">
        <v>10</v>
      </c>
      <c r="B20" s="1259">
        <v>2240</v>
      </c>
      <c r="C20" s="327"/>
      <c r="D20" s="327"/>
      <c r="E20" s="327"/>
      <c r="F20" s="327"/>
    </row>
    <row r="21" spans="1:6">
      <c r="A21" s="1258" t="s">
        <v>11</v>
      </c>
      <c r="B21" s="1259">
        <v>13944</v>
      </c>
      <c r="C21" s="327"/>
      <c r="D21" s="327"/>
      <c r="E21" s="327"/>
      <c r="F21" s="327"/>
    </row>
    <row r="22" spans="1:6">
      <c r="A22" s="1258" t="s">
        <v>12</v>
      </c>
      <c r="B22" s="1259">
        <v>30605</v>
      </c>
      <c r="C22" s="327"/>
      <c r="D22" s="327"/>
      <c r="E22" s="327"/>
      <c r="F22" s="327"/>
    </row>
    <row r="23" spans="1:6">
      <c r="A23" s="1258" t="s">
        <v>13</v>
      </c>
      <c r="B23" s="1259">
        <v>583</v>
      </c>
      <c r="C23" s="327"/>
      <c r="D23" s="327"/>
      <c r="E23" s="327"/>
      <c r="F23" s="327"/>
    </row>
    <row r="24" spans="1:6">
      <c r="A24" s="1258" t="s">
        <v>14</v>
      </c>
      <c r="B24" s="1259">
        <v>31</v>
      </c>
      <c r="C24" s="327"/>
      <c r="D24" s="327"/>
      <c r="E24" s="327"/>
      <c r="F24" s="327"/>
    </row>
    <row r="25" spans="1:6">
      <c r="A25" s="1258" t="s">
        <v>15</v>
      </c>
      <c r="B25" s="1259">
        <v>3258</v>
      </c>
      <c r="C25" s="327"/>
      <c r="D25" s="327"/>
      <c r="E25" s="327"/>
      <c r="F25" s="327"/>
    </row>
    <row r="26" spans="1:6">
      <c r="A26" s="1258" t="s">
        <v>16</v>
      </c>
      <c r="B26" s="1259">
        <v>460</v>
      </c>
      <c r="C26" s="327"/>
      <c r="D26" s="327"/>
      <c r="E26" s="327"/>
      <c r="F26" s="327"/>
    </row>
    <row r="27" spans="1:6">
      <c r="A27" s="1258" t="s">
        <v>17</v>
      </c>
      <c r="B27" s="1259">
        <v>5</v>
      </c>
      <c r="C27" s="327"/>
      <c r="D27" s="327"/>
      <c r="E27" s="327"/>
      <c r="F27" s="327"/>
    </row>
    <row r="28" spans="1:6">
      <c r="A28" s="1258" t="s">
        <v>18</v>
      </c>
      <c r="B28" s="1260">
        <v>124007</v>
      </c>
      <c r="C28" s="327"/>
      <c r="D28" s="327"/>
      <c r="E28" s="327"/>
      <c r="F28" s="327"/>
    </row>
    <row r="29" spans="1:6">
      <c r="A29" s="1258" t="s">
        <v>905</v>
      </c>
      <c r="B29" s="1260">
        <v>171</v>
      </c>
      <c r="C29" s="327"/>
      <c r="D29" s="327"/>
      <c r="E29" s="327"/>
      <c r="F29" s="327"/>
    </row>
    <row r="30" spans="1:6">
      <c r="A30" s="1253" t="s">
        <v>906</v>
      </c>
      <c r="B30" s="1261">
        <v>53</v>
      </c>
      <c r="C30" s="330"/>
      <c r="D30" s="330"/>
      <c r="E30" s="330"/>
      <c r="F30" s="330"/>
    </row>
    <row r="31" spans="1:6" ht="15.75" thickBot="1">
      <c r="A31" s="331"/>
      <c r="B31" s="327"/>
      <c r="C31" s="327"/>
      <c r="D31" s="327"/>
      <c r="E31" s="327"/>
      <c r="F31" s="327"/>
    </row>
    <row r="32" spans="1:6" ht="20.25" thickBot="1">
      <c r="A32" s="1250" t="s">
        <v>19</v>
      </c>
      <c r="B32" s="328"/>
      <c r="C32" s="328"/>
      <c r="D32" s="328"/>
      <c r="E32" s="328"/>
      <c r="F32" s="332"/>
    </row>
    <row r="33" spans="1:6" ht="16.5" thickTop="1" thickBot="1">
      <c r="A33" s="1262"/>
      <c r="B33" s="1263"/>
      <c r="C33" s="1263"/>
      <c r="D33" s="1263"/>
      <c r="E33" s="1263" t="s">
        <v>20</v>
      </c>
      <c r="F33" s="1264"/>
    </row>
    <row r="34" spans="1:6" ht="16.5" thickTop="1" thickBot="1">
      <c r="A34" s="1265" t="s">
        <v>21</v>
      </c>
      <c r="B34" s="1266" t="s">
        <v>22</v>
      </c>
      <c r="C34" s="1266" t="s">
        <v>5</v>
      </c>
      <c r="D34" s="1266" t="s">
        <v>23</v>
      </c>
      <c r="E34" s="1266" t="s">
        <v>5</v>
      </c>
      <c r="F34" s="1267" t="s">
        <v>23</v>
      </c>
    </row>
    <row r="35" spans="1:6">
      <c r="A35" s="1258" t="s">
        <v>24</v>
      </c>
      <c r="B35" s="1258" t="s">
        <v>25</v>
      </c>
      <c r="C35" s="1259">
        <v>0</v>
      </c>
      <c r="D35" s="1259">
        <v>0</v>
      </c>
      <c r="E35" s="1259">
        <v>0</v>
      </c>
      <c r="F35" s="1259">
        <v>0</v>
      </c>
    </row>
    <row r="36" spans="1:6">
      <c r="A36" s="1258" t="s">
        <v>24</v>
      </c>
      <c r="B36" s="1258" t="s">
        <v>26</v>
      </c>
      <c r="C36" s="1259">
        <v>0</v>
      </c>
      <c r="D36" s="1259">
        <v>0</v>
      </c>
      <c r="E36" s="1259">
        <v>3</v>
      </c>
      <c r="F36" s="1259">
        <v>3638.9673788395999</v>
      </c>
    </row>
    <row r="37" spans="1:6">
      <c r="A37" s="1258" t="s">
        <v>24</v>
      </c>
      <c r="B37" s="1258" t="s">
        <v>27</v>
      </c>
      <c r="C37" s="1259">
        <v>0</v>
      </c>
      <c r="D37" s="1259">
        <v>0</v>
      </c>
      <c r="E37" s="1259">
        <v>0</v>
      </c>
      <c r="F37" s="1259">
        <v>0</v>
      </c>
    </row>
    <row r="38" spans="1:6">
      <c r="A38" s="1258" t="s">
        <v>24</v>
      </c>
      <c r="B38" s="1258" t="s">
        <v>28</v>
      </c>
      <c r="C38" s="1259">
        <v>1</v>
      </c>
      <c r="D38" s="1259">
        <v>5969.1800337663999</v>
      </c>
      <c r="E38" s="1259">
        <v>6</v>
      </c>
      <c r="F38" s="1259">
        <v>49627.935524477201</v>
      </c>
    </row>
    <row r="39" spans="1:6">
      <c r="A39" s="1258" t="s">
        <v>29</v>
      </c>
      <c r="B39" s="1258" t="s">
        <v>30</v>
      </c>
      <c r="C39" s="1259">
        <v>5120</v>
      </c>
      <c r="D39" s="1259">
        <v>95193131.308230191</v>
      </c>
      <c r="E39" s="1259">
        <v>10025</v>
      </c>
      <c r="F39" s="1259">
        <v>49317811.487940699</v>
      </c>
    </row>
    <row r="40" spans="1:6">
      <c r="A40" s="1258" t="s">
        <v>29</v>
      </c>
      <c r="B40" s="1258" t="s">
        <v>28</v>
      </c>
      <c r="C40" s="1259">
        <v>0</v>
      </c>
      <c r="D40" s="1259">
        <v>0</v>
      </c>
      <c r="E40" s="1259">
        <v>0</v>
      </c>
      <c r="F40" s="1259">
        <v>0</v>
      </c>
    </row>
    <row r="41" spans="1:6">
      <c r="A41" s="1258" t="s">
        <v>31</v>
      </c>
      <c r="B41" s="1258" t="s">
        <v>32</v>
      </c>
      <c r="C41" s="1259">
        <v>61</v>
      </c>
      <c r="D41" s="1259">
        <v>1478981.942992575</v>
      </c>
      <c r="E41" s="1259">
        <v>205</v>
      </c>
      <c r="F41" s="1259">
        <v>2077018.8800557391</v>
      </c>
    </row>
    <row r="42" spans="1:6">
      <c r="A42" s="1258" t="s">
        <v>31</v>
      </c>
      <c r="B42" s="1258" t="s">
        <v>33</v>
      </c>
      <c r="C42" s="1259">
        <v>0</v>
      </c>
      <c r="D42" s="1259">
        <v>0</v>
      </c>
      <c r="E42" s="1259">
        <v>0</v>
      </c>
      <c r="F42" s="1259">
        <v>0</v>
      </c>
    </row>
    <row r="43" spans="1:6">
      <c r="A43" s="1258" t="s">
        <v>31</v>
      </c>
      <c r="B43" s="1258" t="s">
        <v>34</v>
      </c>
      <c r="C43" s="1259">
        <v>0</v>
      </c>
      <c r="D43" s="1259">
        <v>0</v>
      </c>
      <c r="E43" s="1259">
        <v>0</v>
      </c>
      <c r="F43" s="1259">
        <v>0</v>
      </c>
    </row>
    <row r="44" spans="1:6">
      <c r="A44" s="1258" t="s">
        <v>31</v>
      </c>
      <c r="B44" s="1258" t="s">
        <v>35</v>
      </c>
      <c r="C44" s="1259">
        <v>3</v>
      </c>
      <c r="D44" s="1259">
        <v>103170.01036944101</v>
      </c>
      <c r="E44" s="1259">
        <v>10</v>
      </c>
      <c r="F44" s="1259">
        <v>153738.535415727</v>
      </c>
    </row>
    <row r="45" spans="1:6">
      <c r="A45" s="1258" t="s">
        <v>31</v>
      </c>
      <c r="B45" s="1258" t="s">
        <v>36</v>
      </c>
      <c r="C45" s="1259">
        <v>0</v>
      </c>
      <c r="D45" s="1259">
        <v>0</v>
      </c>
      <c r="E45" s="1259">
        <v>0</v>
      </c>
      <c r="F45" s="1259">
        <v>0</v>
      </c>
    </row>
    <row r="46" spans="1:6">
      <c r="A46" s="1258" t="s">
        <v>31</v>
      </c>
      <c r="B46" s="1258" t="s">
        <v>37</v>
      </c>
      <c r="C46" s="1259">
        <v>0</v>
      </c>
      <c r="D46" s="1259">
        <v>0</v>
      </c>
      <c r="E46" s="1259">
        <v>0</v>
      </c>
      <c r="F46" s="1259">
        <v>0</v>
      </c>
    </row>
    <row r="47" spans="1:6">
      <c r="A47" s="1258" t="s">
        <v>31</v>
      </c>
      <c r="B47" s="1258" t="s">
        <v>38</v>
      </c>
      <c r="C47" s="1259">
        <v>0</v>
      </c>
      <c r="D47" s="1259">
        <v>0</v>
      </c>
      <c r="E47" s="1259">
        <v>5</v>
      </c>
      <c r="F47" s="1259">
        <v>138401.56072941201</v>
      </c>
    </row>
    <row r="48" spans="1:6">
      <c r="A48" s="1258" t="s">
        <v>31</v>
      </c>
      <c r="B48" s="1258" t="s">
        <v>28</v>
      </c>
      <c r="C48" s="1259">
        <v>61</v>
      </c>
      <c r="D48" s="1259">
        <v>17362813.744374409</v>
      </c>
      <c r="E48" s="1259">
        <v>78</v>
      </c>
      <c r="F48" s="1259">
        <v>5518875.1122109359</v>
      </c>
    </row>
    <row r="49" spans="1:6">
      <c r="A49" s="1258" t="s">
        <v>31</v>
      </c>
      <c r="B49" s="1258" t="s">
        <v>39</v>
      </c>
      <c r="C49" s="1259">
        <v>0</v>
      </c>
      <c r="D49" s="1259">
        <v>0</v>
      </c>
      <c r="E49" s="1259">
        <v>0</v>
      </c>
      <c r="F49" s="1259">
        <v>0</v>
      </c>
    </row>
    <row r="50" spans="1:6">
      <c r="A50" s="1258" t="s">
        <v>31</v>
      </c>
      <c r="B50" s="1258" t="s">
        <v>40</v>
      </c>
      <c r="C50" s="1259">
        <v>7</v>
      </c>
      <c r="D50" s="1259">
        <v>9317846.8461453002</v>
      </c>
      <c r="E50" s="1259">
        <v>21</v>
      </c>
      <c r="F50" s="1259">
        <v>18572658.229152169</v>
      </c>
    </row>
    <row r="51" spans="1:6">
      <c r="A51" s="1258" t="s">
        <v>41</v>
      </c>
      <c r="B51" s="1258" t="s">
        <v>42</v>
      </c>
      <c r="C51" s="1259">
        <v>8</v>
      </c>
      <c r="D51" s="1259">
        <v>63827.344489930998</v>
      </c>
      <c r="E51" s="1259">
        <v>208</v>
      </c>
      <c r="F51" s="1259">
        <v>3889257.3858636077</v>
      </c>
    </row>
    <row r="52" spans="1:6">
      <c r="A52" s="1258" t="s">
        <v>41</v>
      </c>
      <c r="B52" s="1258" t="s">
        <v>28</v>
      </c>
      <c r="C52" s="1259">
        <v>14</v>
      </c>
      <c r="D52" s="1259">
        <v>297852.07136111689</v>
      </c>
      <c r="E52" s="1259">
        <v>35</v>
      </c>
      <c r="F52" s="1259">
        <v>854317.569557457</v>
      </c>
    </row>
    <row r="53" spans="1:6">
      <c r="A53" s="1258" t="s">
        <v>43</v>
      </c>
      <c r="B53" s="1258" t="s">
        <v>44</v>
      </c>
      <c r="C53" s="1259">
        <v>129</v>
      </c>
      <c r="D53" s="1259">
        <v>3382997.7230424928</v>
      </c>
      <c r="E53" s="1259">
        <v>312</v>
      </c>
      <c r="F53" s="1259">
        <v>1778427.6558318101</v>
      </c>
    </row>
    <row r="54" spans="1:6">
      <c r="A54" s="1258" t="s">
        <v>45</v>
      </c>
      <c r="B54" s="1258" t="s">
        <v>46</v>
      </c>
      <c r="C54" s="1259">
        <v>0</v>
      </c>
      <c r="D54" s="1259">
        <v>0</v>
      </c>
      <c r="E54" s="1259">
        <v>6</v>
      </c>
      <c r="F54" s="1259">
        <v>2145957</v>
      </c>
    </row>
    <row r="55" spans="1:6">
      <c r="A55" s="1258" t="s">
        <v>45</v>
      </c>
      <c r="B55" s="1258" t="s">
        <v>28</v>
      </c>
      <c r="C55" s="1259">
        <v>0</v>
      </c>
      <c r="D55" s="1259">
        <v>0</v>
      </c>
      <c r="E55" s="1259">
        <v>0</v>
      </c>
      <c r="F55" s="1259">
        <v>0</v>
      </c>
    </row>
    <row r="56" spans="1:6">
      <c r="A56" s="1258" t="s">
        <v>47</v>
      </c>
      <c r="B56" s="1258" t="s">
        <v>28</v>
      </c>
      <c r="C56" s="1259">
        <v>0</v>
      </c>
      <c r="D56" s="1259">
        <v>0</v>
      </c>
      <c r="E56" s="1259">
        <v>0</v>
      </c>
      <c r="F56" s="1259">
        <v>0</v>
      </c>
    </row>
    <row r="57" spans="1:6">
      <c r="A57" s="1258" t="s">
        <v>48</v>
      </c>
      <c r="B57" s="1258" t="s">
        <v>49</v>
      </c>
      <c r="C57" s="1259">
        <v>30</v>
      </c>
      <c r="D57" s="1259">
        <v>2212479.8042423818</v>
      </c>
      <c r="E57" s="1259">
        <v>80</v>
      </c>
      <c r="F57" s="1259">
        <v>1564097.904119767</v>
      </c>
    </row>
    <row r="58" spans="1:6">
      <c r="A58" s="1258" t="s">
        <v>48</v>
      </c>
      <c r="B58" s="1258" t="s">
        <v>50</v>
      </c>
      <c r="C58" s="1259">
        <v>18</v>
      </c>
      <c r="D58" s="1259">
        <v>5432051.07851787</v>
      </c>
      <c r="E58" s="1259">
        <v>60</v>
      </c>
      <c r="F58" s="1259">
        <v>1648929.8554403803</v>
      </c>
    </row>
    <row r="59" spans="1:6">
      <c r="A59" s="1258" t="s">
        <v>48</v>
      </c>
      <c r="B59" s="1258" t="s">
        <v>51</v>
      </c>
      <c r="C59" s="1259">
        <v>35</v>
      </c>
      <c r="D59" s="1259">
        <v>1615031.952447773</v>
      </c>
      <c r="E59" s="1259">
        <v>210</v>
      </c>
      <c r="F59" s="1259">
        <v>6172329.48248892</v>
      </c>
    </row>
    <row r="60" spans="1:6">
      <c r="A60" s="1258" t="s">
        <v>48</v>
      </c>
      <c r="B60" s="1258" t="s">
        <v>52</v>
      </c>
      <c r="C60" s="1259">
        <v>54</v>
      </c>
      <c r="D60" s="1259">
        <v>2799118.1575063169</v>
      </c>
      <c r="E60" s="1259">
        <v>86</v>
      </c>
      <c r="F60" s="1259">
        <v>1898103.3396200142</v>
      </c>
    </row>
    <row r="61" spans="1:6">
      <c r="A61" s="1258" t="s">
        <v>48</v>
      </c>
      <c r="B61" s="1258" t="s">
        <v>53</v>
      </c>
      <c r="C61" s="1259">
        <v>159</v>
      </c>
      <c r="D61" s="1259">
        <v>5799627.9526968803</v>
      </c>
      <c r="E61" s="1259">
        <v>413</v>
      </c>
      <c r="F61" s="1259">
        <v>4593830.2868667599</v>
      </c>
    </row>
    <row r="62" spans="1:6">
      <c r="A62" s="1258" t="s">
        <v>48</v>
      </c>
      <c r="B62" s="1258" t="s">
        <v>54</v>
      </c>
      <c r="C62" s="1259">
        <v>0</v>
      </c>
      <c r="D62" s="1259">
        <v>0</v>
      </c>
      <c r="E62" s="1259">
        <v>9</v>
      </c>
      <c r="F62" s="1259">
        <v>75833.128749893702</v>
      </c>
    </row>
    <row r="63" spans="1:6">
      <c r="A63" s="1258" t="s">
        <v>48</v>
      </c>
      <c r="B63" s="1258" t="s">
        <v>28</v>
      </c>
      <c r="C63" s="1259">
        <v>246</v>
      </c>
      <c r="D63" s="1259">
        <v>12528923.659258461</v>
      </c>
      <c r="E63" s="1259">
        <v>327</v>
      </c>
      <c r="F63" s="1259">
        <v>5908029.5414902298</v>
      </c>
    </row>
    <row r="64" spans="1:6">
      <c r="A64" s="1258" t="s">
        <v>55</v>
      </c>
      <c r="B64" s="1258" t="s">
        <v>56</v>
      </c>
      <c r="C64" s="1259">
        <v>0</v>
      </c>
      <c r="D64" s="1259">
        <v>0</v>
      </c>
      <c r="E64" s="1259">
        <v>0</v>
      </c>
      <c r="F64" s="1259">
        <v>0</v>
      </c>
    </row>
    <row r="65" spans="1:6">
      <c r="A65" s="1258" t="s">
        <v>55</v>
      </c>
      <c r="B65" s="1258" t="s">
        <v>28</v>
      </c>
      <c r="C65" s="1259">
        <v>10</v>
      </c>
      <c r="D65" s="1259">
        <v>240399.59651458263</v>
      </c>
      <c r="E65" s="1259">
        <v>8</v>
      </c>
      <c r="F65" s="1259">
        <v>44421.8980492396</v>
      </c>
    </row>
    <row r="66" spans="1:6">
      <c r="A66" s="1258" t="s">
        <v>55</v>
      </c>
      <c r="B66" s="1258" t="s">
        <v>57</v>
      </c>
      <c r="C66" s="1259">
        <v>0</v>
      </c>
      <c r="D66" s="1259">
        <v>0</v>
      </c>
      <c r="E66" s="1259">
        <v>0</v>
      </c>
      <c r="F66" s="1259">
        <v>0</v>
      </c>
    </row>
    <row r="67" spans="1:6">
      <c r="A67" s="1258" t="s">
        <v>55</v>
      </c>
      <c r="B67" s="1258" t="s">
        <v>58</v>
      </c>
      <c r="C67" s="1259">
        <v>0</v>
      </c>
      <c r="D67" s="1259">
        <v>0</v>
      </c>
      <c r="E67" s="1259">
        <v>0</v>
      </c>
      <c r="F67" s="1259">
        <v>0</v>
      </c>
    </row>
    <row r="68" spans="1:6">
      <c r="A68" s="1253" t="s">
        <v>55</v>
      </c>
      <c r="B68" s="1253" t="s">
        <v>59</v>
      </c>
      <c r="C68" s="1261">
        <v>0</v>
      </c>
      <c r="D68" s="1261">
        <v>0</v>
      </c>
      <c r="E68" s="1261">
        <v>18</v>
      </c>
      <c r="F68" s="1261">
        <v>130838.0422151481</v>
      </c>
    </row>
    <row r="69" spans="1:6" ht="15.75" thickBot="1">
      <c r="A69" s="331"/>
      <c r="B69" s="327"/>
      <c r="C69" s="327"/>
      <c r="D69" s="327"/>
      <c r="E69" s="327"/>
      <c r="F69" s="327"/>
    </row>
    <row r="70" spans="1:6" ht="19.5">
      <c r="A70" s="1250" t="s">
        <v>60</v>
      </c>
      <c r="B70" s="328"/>
      <c r="C70" s="328"/>
      <c r="D70" s="328"/>
      <c r="E70" s="328"/>
      <c r="F70" s="332"/>
    </row>
    <row r="71" spans="1:6" ht="20.25" thickBot="1">
      <c r="A71" s="1268"/>
      <c r="B71" s="1278"/>
      <c r="C71" s="1278"/>
      <c r="D71" s="1279" t="s">
        <v>437</v>
      </c>
      <c r="E71" s="1278"/>
      <c r="F71" s="334"/>
    </row>
    <row r="72" spans="1:6" ht="16.5" thickTop="1" thickBot="1">
      <c r="A72" s="1255" t="s">
        <v>61</v>
      </c>
      <c r="B72" s="1256" t="s">
        <v>62</v>
      </c>
      <c r="C72" s="1269" t="s">
        <v>678</v>
      </c>
      <c r="D72" s="1270"/>
      <c r="E72" s="1270"/>
      <c r="F72" s="1257"/>
    </row>
    <row r="73" spans="1:6">
      <c r="A73" s="1258" t="s">
        <v>63</v>
      </c>
      <c r="B73" s="1258" t="s">
        <v>679</v>
      </c>
      <c r="C73" s="1271" t="s">
        <v>680</v>
      </c>
      <c r="D73" s="1259">
        <v>71427618</v>
      </c>
      <c r="E73" s="446"/>
      <c r="F73" s="327"/>
    </row>
    <row r="74" spans="1:6">
      <c r="A74" s="1258" t="s">
        <v>63</v>
      </c>
      <c r="B74" s="1258" t="s">
        <v>681</v>
      </c>
      <c r="C74" s="1271" t="s">
        <v>682</v>
      </c>
      <c r="D74" s="1259">
        <v>9239537.5430144146</v>
      </c>
      <c r="E74" s="446"/>
      <c r="F74" s="327"/>
    </row>
    <row r="75" spans="1:6">
      <c r="A75" s="1258" t="s">
        <v>64</v>
      </c>
      <c r="B75" s="1258" t="s">
        <v>679</v>
      </c>
      <c r="C75" s="1271" t="s">
        <v>683</v>
      </c>
      <c r="D75" s="1259">
        <v>80218349</v>
      </c>
      <c r="E75" s="446"/>
      <c r="F75" s="327"/>
    </row>
    <row r="76" spans="1:6">
      <c r="A76" s="1258" t="s">
        <v>64</v>
      </c>
      <c r="B76" s="1258" t="s">
        <v>681</v>
      </c>
      <c r="C76" s="1271" t="s">
        <v>684</v>
      </c>
      <c r="D76" s="1259">
        <v>3634623.5430144146</v>
      </c>
      <c r="E76" s="446"/>
      <c r="F76" s="327"/>
    </row>
    <row r="77" spans="1:6">
      <c r="A77" s="1258" t="s">
        <v>65</v>
      </c>
      <c r="B77" s="1258" t="s">
        <v>679</v>
      </c>
      <c r="C77" s="1271" t="s">
        <v>685</v>
      </c>
      <c r="D77" s="1259">
        <v>10499227</v>
      </c>
      <c r="E77" s="446"/>
      <c r="F77" s="327"/>
    </row>
    <row r="78" spans="1:6">
      <c r="A78" s="1253" t="s">
        <v>65</v>
      </c>
      <c r="B78" s="1253" t="s">
        <v>681</v>
      </c>
      <c r="C78" s="1253" t="s">
        <v>686</v>
      </c>
      <c r="D78" s="1261">
        <v>1311287</v>
      </c>
      <c r="E78" s="1272"/>
      <c r="F78" s="330"/>
    </row>
    <row r="79" spans="1:6">
      <c r="A79" s="1273"/>
      <c r="B79" s="1273"/>
      <c r="C79" s="327"/>
      <c r="D79" s="327"/>
      <c r="E79" s="327"/>
      <c r="F79" s="327"/>
    </row>
    <row r="80" spans="1:6" ht="15.75" thickBot="1">
      <c r="A80" s="1273"/>
      <c r="B80" s="1273"/>
      <c r="C80" s="327"/>
      <c r="D80" s="327"/>
      <c r="E80" s="327"/>
      <c r="F80" s="327"/>
    </row>
    <row r="81" spans="1:6" ht="20.25" thickBot="1">
      <c r="A81" s="1250" t="s">
        <v>321</v>
      </c>
      <c r="B81" s="1274"/>
      <c r="C81" s="328"/>
      <c r="D81" s="328"/>
      <c r="E81" s="328"/>
      <c r="F81" s="332"/>
    </row>
    <row r="82" spans="1:6" ht="16.5" thickTop="1" thickBot="1">
      <c r="A82" s="1255" t="s">
        <v>322</v>
      </c>
      <c r="B82" s="1270"/>
      <c r="C82" s="1270"/>
      <c r="D82" s="1256"/>
      <c r="E82" s="1256"/>
      <c r="F82" s="1257"/>
    </row>
    <row r="83" spans="1:6">
      <c r="A83" s="1258" t="s">
        <v>323</v>
      </c>
      <c r="B83" s="1259">
        <v>524746.91397117195</v>
      </c>
      <c r="C83" s="446"/>
      <c r="D83" s="327"/>
      <c r="E83" s="327"/>
      <c r="F83" s="327"/>
    </row>
    <row r="84" spans="1:6">
      <c r="A84" s="1253" t="s">
        <v>324</v>
      </c>
      <c r="B84" s="1261">
        <v>0</v>
      </c>
      <c r="C84" s="1272"/>
      <c r="D84" s="330"/>
      <c r="E84" s="330"/>
      <c r="F84" s="330"/>
    </row>
    <row r="85" spans="1:6">
      <c r="A85" s="1273"/>
      <c r="B85" s="1275"/>
      <c r="C85" s="327"/>
      <c r="D85" s="327"/>
      <c r="E85" s="327"/>
      <c r="F85" s="327"/>
    </row>
    <row r="86" spans="1:6" ht="15.75" thickBot="1">
      <c r="A86" s="331"/>
      <c r="B86" s="327"/>
      <c r="C86" s="327"/>
      <c r="D86" s="327"/>
      <c r="E86" s="327"/>
      <c r="F86" s="327"/>
    </row>
    <row r="87" spans="1:6" ht="20.25" thickBot="1">
      <c r="A87" s="1250" t="s">
        <v>66</v>
      </c>
      <c r="B87" s="328"/>
      <c r="C87" s="328"/>
      <c r="D87" s="328"/>
      <c r="E87" s="328"/>
      <c r="F87" s="332"/>
    </row>
    <row r="88" spans="1:6" ht="16.5" thickTop="1" thickBot="1">
      <c r="A88" s="1255" t="s">
        <v>4</v>
      </c>
      <c r="B88" s="1256" t="s">
        <v>163</v>
      </c>
      <c r="C88" s="1256"/>
      <c r="D88" s="1256"/>
      <c r="E88" s="1256"/>
      <c r="F88" s="1257"/>
    </row>
    <row r="89" spans="1:6">
      <c r="A89" s="1258" t="s">
        <v>542</v>
      </c>
      <c r="B89" s="1259">
        <v>0</v>
      </c>
      <c r="C89" s="327"/>
      <c r="D89" s="327"/>
      <c r="E89" s="327"/>
      <c r="F89" s="327"/>
    </row>
    <row r="90" spans="1:6">
      <c r="A90" s="1258" t="s">
        <v>543</v>
      </c>
      <c r="B90" s="1259">
        <v>0</v>
      </c>
      <c r="C90" s="327"/>
      <c r="D90" s="327"/>
      <c r="E90" s="327"/>
      <c r="F90" s="327"/>
    </row>
    <row r="91" spans="1:6">
      <c r="A91" s="1258" t="s">
        <v>67</v>
      </c>
      <c r="B91" s="1259">
        <v>4651.1060106540144</v>
      </c>
      <c r="C91" s="327"/>
      <c r="D91" s="327"/>
      <c r="E91" s="327"/>
      <c r="F91" s="327"/>
    </row>
    <row r="92" spans="1:6">
      <c r="A92" s="1253" t="s">
        <v>68</v>
      </c>
      <c r="B92" s="1254">
        <v>1264.7628273684224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50" t="s">
        <v>69</v>
      </c>
      <c r="B95" s="328"/>
      <c r="C95" s="328"/>
      <c r="D95" s="328"/>
      <c r="E95" s="328"/>
      <c r="F95" s="332"/>
    </row>
    <row r="96" spans="1:6" ht="16.5" thickTop="1" thickBot="1">
      <c r="A96" s="1255" t="s">
        <v>4</v>
      </c>
      <c r="B96" s="1256" t="s">
        <v>5</v>
      </c>
      <c r="C96" s="1256"/>
      <c r="D96" s="1256"/>
      <c r="E96" s="1256"/>
      <c r="F96" s="1257"/>
    </row>
    <row r="97" spans="1:6">
      <c r="A97" s="1258" t="s">
        <v>70</v>
      </c>
      <c r="B97" s="1259">
        <v>2543</v>
      </c>
      <c r="C97" s="327"/>
      <c r="D97" s="327"/>
      <c r="E97" s="327"/>
      <c r="F97" s="327"/>
    </row>
    <row r="98" spans="1:6">
      <c r="A98" s="1258" t="s">
        <v>71</v>
      </c>
      <c r="B98" s="1259">
        <v>1</v>
      </c>
      <c r="C98" s="327"/>
      <c r="D98" s="327"/>
      <c r="E98" s="327"/>
      <c r="F98" s="327"/>
    </row>
    <row r="99" spans="1:6">
      <c r="A99" s="1258" t="s">
        <v>72</v>
      </c>
      <c r="B99" s="1259">
        <v>201</v>
      </c>
      <c r="C99" s="327"/>
      <c r="D99" s="327"/>
      <c r="E99" s="327"/>
      <c r="F99" s="327"/>
    </row>
    <row r="100" spans="1:6">
      <c r="A100" s="1258" t="s">
        <v>73</v>
      </c>
      <c r="B100" s="1259">
        <v>1431</v>
      </c>
      <c r="C100" s="327"/>
      <c r="D100" s="327"/>
      <c r="E100" s="327"/>
      <c r="F100" s="327"/>
    </row>
    <row r="101" spans="1:6">
      <c r="A101" s="1258" t="s">
        <v>74</v>
      </c>
      <c r="B101" s="1259">
        <v>244</v>
      </c>
      <c r="C101" s="327"/>
      <c r="D101" s="327"/>
      <c r="E101" s="327"/>
      <c r="F101" s="327"/>
    </row>
    <row r="102" spans="1:6">
      <c r="A102" s="1258" t="s">
        <v>75</v>
      </c>
      <c r="B102" s="1259">
        <v>191</v>
      </c>
      <c r="C102" s="327"/>
      <c r="D102" s="327"/>
      <c r="E102" s="327"/>
      <c r="F102" s="327"/>
    </row>
    <row r="103" spans="1:6">
      <c r="A103" s="1258" t="s">
        <v>76</v>
      </c>
      <c r="B103" s="1259">
        <v>350</v>
      </c>
      <c r="C103" s="327"/>
      <c r="D103" s="327"/>
      <c r="E103" s="327"/>
      <c r="F103" s="327"/>
    </row>
    <row r="104" spans="1:6">
      <c r="A104" s="1258" t="s">
        <v>77</v>
      </c>
      <c r="B104" s="1259">
        <v>4770</v>
      </c>
      <c r="C104" s="327"/>
      <c r="D104" s="327"/>
      <c r="E104" s="327"/>
      <c r="F104" s="327"/>
    </row>
    <row r="105" spans="1:6">
      <c r="A105" s="1253" t="s">
        <v>78</v>
      </c>
      <c r="B105" s="1261">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50" t="s">
        <v>626</v>
      </c>
      <c r="B108" s="328"/>
      <c r="C108" s="328"/>
      <c r="D108" s="328"/>
      <c r="E108" s="328"/>
      <c r="F108" s="332"/>
    </row>
    <row r="109" spans="1:6" ht="16.5" thickTop="1" thickBot="1">
      <c r="A109" s="1255" t="s">
        <v>4</v>
      </c>
      <c r="B109" s="1256" t="s">
        <v>5</v>
      </c>
      <c r="C109" s="1256"/>
      <c r="D109" s="1256"/>
      <c r="E109" s="1256"/>
      <c r="F109" s="1257"/>
    </row>
    <row r="110" spans="1:6">
      <c r="A110" s="1258" t="s">
        <v>627</v>
      </c>
      <c r="B110" s="1259">
        <v>0</v>
      </c>
      <c r="C110" s="327"/>
      <c r="D110" s="327"/>
      <c r="E110" s="327"/>
      <c r="F110" s="327"/>
    </row>
    <row r="111" spans="1:6">
      <c r="A111" s="1276" t="s">
        <v>628</v>
      </c>
      <c r="B111" s="1277">
        <v>0</v>
      </c>
      <c r="C111" s="1280"/>
      <c r="D111" s="1280"/>
      <c r="E111" s="1280"/>
      <c r="F111" s="1280"/>
    </row>
    <row r="112" spans="1:6">
      <c r="A112" s="1258"/>
      <c r="B112" s="327"/>
      <c r="C112" s="327"/>
      <c r="D112" s="327"/>
      <c r="E112" s="327"/>
      <c r="F112" s="327"/>
    </row>
    <row r="113" spans="1:6" ht="15.75" thickBot="1">
      <c r="A113" s="1253"/>
      <c r="B113" s="330"/>
      <c r="C113" s="330"/>
      <c r="D113" s="330"/>
      <c r="E113" s="330"/>
      <c r="F113" s="330"/>
    </row>
    <row r="114" spans="1:6" ht="20.25" thickBot="1">
      <c r="A114" s="1250" t="s">
        <v>79</v>
      </c>
      <c r="B114" s="328"/>
      <c r="C114" s="328"/>
      <c r="D114" s="328"/>
      <c r="E114" s="328"/>
      <c r="F114" s="332"/>
    </row>
    <row r="115" spans="1:6" ht="16.5" thickTop="1" thickBot="1">
      <c r="A115" s="335"/>
      <c r="B115" s="336" t="s">
        <v>80</v>
      </c>
      <c r="C115" s="336" t="s">
        <v>81</v>
      </c>
      <c r="D115" s="336"/>
      <c r="E115" s="336"/>
      <c r="F115" s="337"/>
    </row>
    <row r="116" spans="1:6" ht="16.5" thickTop="1" thickBot="1">
      <c r="A116" s="1255" t="s">
        <v>4</v>
      </c>
      <c r="B116" s="1256" t="s">
        <v>5</v>
      </c>
      <c r="C116" s="1256" t="s">
        <v>5</v>
      </c>
      <c r="D116" s="1256"/>
      <c r="E116" s="1256"/>
      <c r="F116" s="1257"/>
    </row>
    <row r="117" spans="1:6">
      <c r="A117" s="1258" t="s">
        <v>82</v>
      </c>
      <c r="B117" s="1259">
        <v>0</v>
      </c>
      <c r="C117" s="1259">
        <v>0</v>
      </c>
      <c r="D117" s="327"/>
      <c r="E117" s="327"/>
      <c r="F117" s="327"/>
    </row>
    <row r="118" spans="1:6">
      <c r="A118" s="1258" t="s">
        <v>83</v>
      </c>
      <c r="B118" s="1259">
        <v>0</v>
      </c>
      <c r="C118" s="1259">
        <v>0</v>
      </c>
      <c r="D118" s="327"/>
      <c r="E118" s="327"/>
      <c r="F118" s="327"/>
    </row>
    <row r="119" spans="1:6">
      <c r="A119" s="1258" t="s">
        <v>31</v>
      </c>
      <c r="B119" s="1259">
        <v>0</v>
      </c>
      <c r="C119" s="1259">
        <v>0</v>
      </c>
      <c r="D119" s="327"/>
      <c r="E119" s="327"/>
      <c r="F119" s="327"/>
    </row>
    <row r="120" spans="1:6">
      <c r="A120" s="1258" t="s">
        <v>84</v>
      </c>
      <c r="B120" s="1259">
        <v>0</v>
      </c>
      <c r="C120" s="1259">
        <v>0</v>
      </c>
      <c r="D120" s="327"/>
      <c r="E120" s="327"/>
      <c r="F120" s="327"/>
    </row>
    <row r="121" spans="1:6">
      <c r="A121" s="1258" t="s">
        <v>85</v>
      </c>
      <c r="B121" s="1259">
        <v>0</v>
      </c>
      <c r="C121" s="1259">
        <v>0</v>
      </c>
      <c r="D121" s="327"/>
      <c r="E121" s="327"/>
      <c r="F121" s="327"/>
    </row>
    <row r="122" spans="1:6">
      <c r="A122" s="1258" t="s">
        <v>86</v>
      </c>
      <c r="B122" s="1259">
        <v>0</v>
      </c>
      <c r="C122" s="1259">
        <v>0</v>
      </c>
      <c r="D122" s="327"/>
      <c r="E122" s="327"/>
      <c r="F122" s="327"/>
    </row>
    <row r="123" spans="1:6">
      <c r="A123" s="1258" t="s">
        <v>87</v>
      </c>
      <c r="B123" s="1259">
        <v>52</v>
      </c>
      <c r="C123" s="1259">
        <v>16</v>
      </c>
      <c r="D123" s="327"/>
      <c r="E123" s="327"/>
      <c r="F123" s="327"/>
    </row>
    <row r="124" spans="1:6">
      <c r="A124" s="1258" t="s">
        <v>88</v>
      </c>
      <c r="B124" s="1259">
        <v>0</v>
      </c>
      <c r="C124" s="1259">
        <v>0</v>
      </c>
      <c r="D124" s="327"/>
      <c r="E124" s="327"/>
      <c r="F124" s="327"/>
    </row>
    <row r="125" spans="1:6">
      <c r="A125" s="1253" t="s">
        <v>851</v>
      </c>
      <c r="B125" s="1259">
        <v>0</v>
      </c>
      <c r="C125" s="1259">
        <v>0</v>
      </c>
      <c r="D125" s="327"/>
      <c r="E125" s="327"/>
      <c r="F125" s="327"/>
    </row>
    <row r="126" spans="1:6" ht="15.75" thickBot="1">
      <c r="A126" s="1273"/>
      <c r="B126" s="327"/>
      <c r="C126" s="327"/>
      <c r="D126" s="327"/>
      <c r="E126" s="327"/>
      <c r="F126" s="327"/>
    </row>
    <row r="127" spans="1:6" ht="20.25" thickBot="1">
      <c r="A127" s="1250" t="s">
        <v>282</v>
      </c>
      <c r="B127" s="328"/>
      <c r="C127" s="328"/>
      <c r="D127" s="328"/>
      <c r="E127" s="328"/>
      <c r="F127" s="332"/>
    </row>
    <row r="128" spans="1:6" ht="16.5" thickTop="1" thickBot="1">
      <c r="A128" s="1255" t="s">
        <v>4</v>
      </c>
      <c r="B128" s="1256" t="s">
        <v>5</v>
      </c>
      <c r="C128" s="1256"/>
      <c r="D128" s="1256"/>
      <c r="E128" s="1256"/>
      <c r="F128" s="1257"/>
    </row>
    <row r="129" spans="1:6">
      <c r="A129" s="1258" t="s">
        <v>283</v>
      </c>
      <c r="B129" s="1259">
        <v>212</v>
      </c>
      <c r="C129" s="327"/>
      <c r="D129" s="327"/>
      <c r="E129" s="327"/>
      <c r="F129" s="327"/>
    </row>
    <row r="130" spans="1:6">
      <c r="A130" s="1258" t="s">
        <v>284</v>
      </c>
      <c r="B130" s="1259">
        <v>5</v>
      </c>
      <c r="C130" s="327"/>
      <c r="D130" s="327"/>
      <c r="E130" s="327"/>
      <c r="F130" s="327"/>
    </row>
    <row r="131" spans="1:6">
      <c r="A131" s="1258" t="s">
        <v>285</v>
      </c>
      <c r="B131" s="1259">
        <v>3</v>
      </c>
      <c r="C131" s="327"/>
      <c r="D131" s="327"/>
      <c r="E131" s="327"/>
      <c r="F131" s="327"/>
    </row>
    <row r="132" spans="1:6">
      <c r="A132" s="1253" t="s">
        <v>286</v>
      </c>
      <c r="B132" s="1254">
        <v>8</v>
      </c>
      <c r="C132" s="330"/>
      <c r="D132" s="330"/>
      <c r="E132" s="330"/>
      <c r="F132" s="330"/>
    </row>
    <row r="133" spans="1:6">
      <c r="A133" s="327"/>
      <c r="B133" s="327"/>
      <c r="C133" s="327"/>
      <c r="D133" s="327"/>
      <c r="E133" s="327"/>
      <c r="F133" s="327"/>
    </row>
    <row r="134" spans="1:6">
      <c r="A134" s="1275"/>
      <c r="B134" s="327"/>
      <c r="C134" s="327"/>
      <c r="D134" s="327"/>
      <c r="E134" s="327"/>
      <c r="F134" s="32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4"/>
      <c r="F1" s="634"/>
    </row>
    <row r="2" spans="1:12">
      <c r="A2" s="44" t="s">
        <v>852</v>
      </c>
      <c r="B2" s="506"/>
      <c r="E2" s="634"/>
      <c r="F2" s="634"/>
    </row>
    <row r="3" spans="1:12">
      <c r="A3" s="44"/>
      <c r="B3" s="506"/>
      <c r="E3" s="634"/>
      <c r="F3" s="634"/>
    </row>
    <row r="4" spans="1:12" ht="18">
      <c r="A4" s="137" t="s">
        <v>174</v>
      </c>
      <c r="B4" s="507" t="s">
        <v>376</v>
      </c>
      <c r="E4" s="634"/>
      <c r="F4" s="634"/>
    </row>
    <row r="5" spans="1:12" ht="21">
      <c r="A5" s="116" t="s">
        <v>176</v>
      </c>
      <c r="B5" s="508"/>
      <c r="E5" s="850"/>
      <c r="F5" s="851"/>
      <c r="G5" s="9"/>
      <c r="H5" s="9"/>
      <c r="I5" s="9"/>
      <c r="J5" s="9"/>
    </row>
    <row r="6" spans="1:12">
      <c r="A6" s="117" t="s">
        <v>177</v>
      </c>
      <c r="B6" s="509">
        <v>4.0513950503279288</v>
      </c>
      <c r="E6" s="852"/>
      <c r="F6" s="852"/>
      <c r="G6" s="10"/>
      <c r="H6" s="10"/>
      <c r="I6" s="10"/>
      <c r="J6" s="10"/>
      <c r="K6" s="10"/>
      <c r="L6" s="10"/>
    </row>
    <row r="7" spans="1:12">
      <c r="A7" s="117" t="s">
        <v>6</v>
      </c>
      <c r="B7" s="509">
        <v>122.5074913272132</v>
      </c>
      <c r="E7" s="634"/>
      <c r="F7" s="634"/>
      <c r="K7" s="10"/>
      <c r="L7" s="10"/>
    </row>
    <row r="8" spans="1:12">
      <c r="A8" s="117" t="s">
        <v>7</v>
      </c>
      <c r="B8" s="509">
        <v>68.852745672337662</v>
      </c>
      <c r="E8" s="634"/>
      <c r="F8" s="634"/>
      <c r="K8" s="10"/>
      <c r="L8" s="10"/>
    </row>
    <row r="9" spans="1:12">
      <c r="A9" s="117" t="s">
        <v>8</v>
      </c>
      <c r="B9" s="509">
        <v>31.909886478760498</v>
      </c>
      <c r="E9" s="852"/>
      <c r="F9" s="852"/>
      <c r="G9" s="10"/>
      <c r="H9" s="10"/>
      <c r="I9" s="10"/>
      <c r="J9" s="10"/>
      <c r="K9" s="10"/>
      <c r="L9" s="10"/>
    </row>
    <row r="10" spans="1:12">
      <c r="A10" s="117" t="s">
        <v>9</v>
      </c>
      <c r="B10" s="509">
        <v>47.849994776441498</v>
      </c>
      <c r="E10" s="853"/>
      <c r="F10" s="853"/>
      <c r="G10" s="11"/>
      <c r="H10" s="11"/>
      <c r="I10" s="11"/>
      <c r="J10" s="11"/>
      <c r="K10" s="10"/>
      <c r="L10" s="10"/>
    </row>
    <row r="11" spans="1:12">
      <c r="A11" s="117" t="s">
        <v>10</v>
      </c>
      <c r="B11" s="509">
        <v>41.361552447157969</v>
      </c>
      <c r="E11" s="634"/>
      <c r="F11" s="853"/>
      <c r="G11" s="11"/>
      <c r="H11" s="11"/>
      <c r="I11" s="11"/>
      <c r="J11" s="11"/>
      <c r="K11" s="10"/>
      <c r="L11" s="10"/>
    </row>
    <row r="12" spans="1:12">
      <c r="A12" s="118" t="s">
        <v>16</v>
      </c>
      <c r="B12" s="509">
        <v>8</v>
      </c>
      <c r="E12" s="853"/>
      <c r="F12" s="852"/>
      <c r="G12" s="10"/>
      <c r="H12" s="10"/>
      <c r="I12" s="10"/>
      <c r="J12" s="10"/>
      <c r="K12" s="10"/>
      <c r="L12" s="10"/>
    </row>
    <row r="13" spans="1:12">
      <c r="A13" s="118" t="s">
        <v>17</v>
      </c>
      <c r="B13" s="509">
        <v>5</v>
      </c>
      <c r="E13" s="852"/>
      <c r="F13" s="852"/>
      <c r="G13" s="10"/>
      <c r="H13" s="10"/>
      <c r="I13" s="10"/>
      <c r="J13" s="10"/>
      <c r="K13" s="10"/>
      <c r="L13" s="10"/>
    </row>
    <row r="14" spans="1:12">
      <c r="A14" s="118" t="s">
        <v>178</v>
      </c>
      <c r="B14" s="509">
        <v>1.5</v>
      </c>
      <c r="E14" s="852"/>
      <c r="F14" s="852"/>
      <c r="G14" s="10"/>
      <c r="H14" s="10"/>
      <c r="I14" s="10"/>
      <c r="J14" s="10"/>
      <c r="K14" s="10"/>
      <c r="L14" s="10"/>
    </row>
    <row r="15" spans="1:12">
      <c r="A15" s="118" t="s">
        <v>179</v>
      </c>
      <c r="B15" s="509">
        <v>18</v>
      </c>
      <c r="E15" s="852"/>
      <c r="F15" s="852"/>
      <c r="G15" s="10"/>
      <c r="H15" s="10"/>
      <c r="I15" s="10"/>
      <c r="J15" s="10"/>
      <c r="K15" s="10"/>
      <c r="L15" s="10"/>
    </row>
    <row r="16" spans="1:12">
      <c r="A16" s="118" t="s">
        <v>180</v>
      </c>
      <c r="B16" s="510">
        <v>10</v>
      </c>
      <c r="E16" s="852"/>
      <c r="F16" s="852"/>
      <c r="G16" s="10"/>
      <c r="H16" s="10"/>
      <c r="I16" s="10"/>
      <c r="J16" s="10"/>
      <c r="K16" s="10"/>
      <c r="L16" s="10"/>
    </row>
    <row r="17" spans="1:12" s="43" customFormat="1" ht="15.75" thickBot="1">
      <c r="A17" s="119"/>
      <c r="B17" s="511"/>
      <c r="E17" s="854"/>
      <c r="F17" s="854"/>
      <c r="G17" s="156"/>
      <c r="H17" s="156"/>
      <c r="I17" s="156"/>
      <c r="J17" s="156"/>
      <c r="K17" s="156"/>
      <c r="L17" s="156"/>
    </row>
    <row r="18" spans="1:12" s="43" customFormat="1" ht="15.75" thickBot="1">
      <c r="A18" s="194"/>
      <c r="B18" s="512"/>
      <c r="E18" s="854"/>
      <c r="F18" s="854"/>
      <c r="G18" s="156"/>
      <c r="H18" s="156"/>
      <c r="I18" s="156"/>
      <c r="J18" s="156"/>
      <c r="K18" s="156"/>
      <c r="L18" s="156"/>
    </row>
    <row r="19" spans="1:12" ht="18.75" thickBot="1">
      <c r="A19" s="121" t="s">
        <v>181</v>
      </c>
      <c r="B19" s="505"/>
      <c r="E19" s="852"/>
      <c r="F19" s="852"/>
      <c r="G19" s="10"/>
      <c r="H19" s="10"/>
      <c r="I19" s="10"/>
      <c r="J19" s="10"/>
      <c r="K19" s="10"/>
      <c r="L19" s="10"/>
    </row>
    <row r="20" spans="1:12">
      <c r="A20" s="44" t="s">
        <v>852</v>
      </c>
      <c r="B20" s="506"/>
      <c r="E20" s="852"/>
      <c r="F20" s="852"/>
      <c r="G20" s="10"/>
      <c r="H20" s="10"/>
      <c r="I20" s="10"/>
      <c r="J20" s="10"/>
      <c r="K20" s="10"/>
      <c r="L20" s="10"/>
    </row>
    <row r="21" spans="1:12">
      <c r="A21" s="44"/>
      <c r="B21" s="506"/>
      <c r="E21" s="852"/>
      <c r="F21" s="852"/>
      <c r="G21" s="10"/>
      <c r="H21" s="10"/>
      <c r="I21" s="10"/>
      <c r="J21" s="10"/>
      <c r="K21" s="10"/>
      <c r="L21" s="10"/>
    </row>
    <row r="22" spans="1:12" ht="18">
      <c r="A22" s="138" t="s">
        <v>174</v>
      </c>
      <c r="B22" s="513" t="s">
        <v>376</v>
      </c>
      <c r="E22" s="852"/>
      <c r="F22" s="852"/>
      <c r="G22" s="10"/>
      <c r="H22" s="10"/>
      <c r="I22" s="10"/>
      <c r="J22" s="10"/>
      <c r="K22" s="10"/>
      <c r="L22" s="10"/>
    </row>
    <row r="23" spans="1:12" s="72" customFormat="1">
      <c r="A23" s="118" t="s">
        <v>176</v>
      </c>
      <c r="B23" s="509">
        <v>8.5791529484766098</v>
      </c>
      <c r="E23" s="855"/>
      <c r="F23" s="855"/>
    </row>
    <row r="24" spans="1:12">
      <c r="A24" s="117" t="s">
        <v>177</v>
      </c>
      <c r="B24" s="509">
        <v>4.2231090152811745</v>
      </c>
      <c r="E24" s="852"/>
      <c r="F24" s="852"/>
      <c r="G24" s="10"/>
      <c r="H24" s="10"/>
      <c r="I24" s="10"/>
      <c r="J24" s="10"/>
      <c r="K24" s="10"/>
      <c r="L24" s="10"/>
    </row>
    <row r="25" spans="1:12">
      <c r="A25" s="117" t="s">
        <v>6</v>
      </c>
      <c r="B25" s="509">
        <v>30.462917302048563</v>
      </c>
      <c r="E25" s="852"/>
      <c r="F25" s="852"/>
      <c r="G25" s="10"/>
      <c r="H25" s="10"/>
      <c r="I25" s="10"/>
      <c r="J25" s="10"/>
      <c r="K25" s="10"/>
      <c r="L25" s="10"/>
    </row>
    <row r="26" spans="1:12">
      <c r="A26" s="117" t="s">
        <v>7</v>
      </c>
      <c r="B26" s="509">
        <v>1.9389500717361621</v>
      </c>
      <c r="E26" s="852"/>
      <c r="F26" s="852"/>
      <c r="G26" s="10"/>
      <c r="H26" s="10"/>
      <c r="I26" s="10"/>
      <c r="J26" s="10"/>
      <c r="K26" s="10"/>
      <c r="L26" s="10"/>
    </row>
    <row r="27" spans="1:12">
      <c r="A27" s="117" t="s">
        <v>8</v>
      </c>
      <c r="B27" s="509">
        <v>1.1926740936696332</v>
      </c>
      <c r="E27" s="852"/>
      <c r="F27" s="852"/>
      <c r="G27" s="10"/>
      <c r="H27" s="10"/>
      <c r="I27" s="10"/>
      <c r="J27" s="10"/>
      <c r="K27" s="10"/>
      <c r="L27" s="10"/>
    </row>
    <row r="28" spans="1:12">
      <c r="A28" s="117" t="s">
        <v>9</v>
      </c>
      <c r="B28" s="509">
        <v>4.7874390993997364</v>
      </c>
      <c r="E28" s="852"/>
      <c r="F28" s="852"/>
      <c r="G28" s="10"/>
      <c r="H28" s="10"/>
      <c r="I28" s="10"/>
      <c r="J28" s="10"/>
      <c r="K28" s="10"/>
      <c r="L28" s="10"/>
    </row>
    <row r="29" spans="1:12">
      <c r="A29" s="117" t="s">
        <v>10</v>
      </c>
      <c r="B29" s="509">
        <v>3.3232292777158943</v>
      </c>
      <c r="E29" s="852"/>
      <c r="F29" s="852"/>
      <c r="G29" s="10"/>
      <c r="H29" s="10"/>
      <c r="I29" s="10"/>
      <c r="J29" s="10"/>
      <c r="K29" s="10"/>
      <c r="L29" s="10"/>
    </row>
    <row r="30" spans="1:12">
      <c r="A30" s="118" t="s">
        <v>178</v>
      </c>
      <c r="B30" s="509">
        <v>4.4845380770667331</v>
      </c>
      <c r="E30" s="852"/>
      <c r="F30" s="852"/>
      <c r="G30" s="10"/>
      <c r="H30" s="10"/>
      <c r="I30" s="10"/>
      <c r="J30" s="10"/>
      <c r="K30" s="10"/>
      <c r="L30" s="10"/>
    </row>
    <row r="31" spans="1:12">
      <c r="A31" s="117" t="s">
        <v>11</v>
      </c>
      <c r="B31" s="509">
        <v>1.6075002802320004</v>
      </c>
      <c r="E31" s="852"/>
      <c r="F31" s="852"/>
      <c r="G31" s="10"/>
      <c r="H31" s="10"/>
      <c r="I31" s="10"/>
      <c r="J31" s="10"/>
      <c r="K31" s="10"/>
      <c r="L31" s="10"/>
    </row>
    <row r="32" spans="1:12">
      <c r="A32" s="117" t="s">
        <v>12</v>
      </c>
      <c r="B32" s="509">
        <v>4.8225008406960006</v>
      </c>
      <c r="E32" s="852"/>
      <c r="F32" s="852"/>
      <c r="G32" s="10"/>
      <c r="H32" s="10"/>
      <c r="I32" s="10"/>
      <c r="J32" s="10"/>
      <c r="K32" s="10"/>
      <c r="L32" s="10"/>
    </row>
    <row r="33" spans="1:14">
      <c r="A33" s="117" t="s">
        <v>13</v>
      </c>
      <c r="B33" s="509">
        <v>6.3685027042560023</v>
      </c>
      <c r="E33" s="852"/>
      <c r="F33" s="852"/>
      <c r="G33" s="10"/>
      <c r="H33" s="10"/>
      <c r="I33" s="10"/>
      <c r="J33" s="10"/>
      <c r="K33" s="10"/>
      <c r="L33" s="10"/>
    </row>
    <row r="34" spans="1:14">
      <c r="A34" s="117" t="s">
        <v>14</v>
      </c>
      <c r="B34" s="509">
        <v>4.6362973013280016</v>
      </c>
      <c r="E34" s="852"/>
      <c r="F34" s="852"/>
      <c r="G34" s="10"/>
      <c r="H34" s="10"/>
      <c r="I34" s="10"/>
      <c r="J34" s="10"/>
      <c r="K34" s="10"/>
      <c r="L34" s="10"/>
    </row>
    <row r="35" spans="1:14">
      <c r="A35" s="117" t="s">
        <v>15</v>
      </c>
      <c r="B35" s="509">
        <v>12.338973989496004</v>
      </c>
      <c r="E35" s="852"/>
      <c r="F35" s="852"/>
      <c r="G35" s="10"/>
      <c r="H35" s="10"/>
      <c r="I35" s="10"/>
      <c r="J35" s="10"/>
      <c r="K35" s="10"/>
      <c r="L35" s="10"/>
    </row>
    <row r="36" spans="1:14">
      <c r="A36" s="118" t="s">
        <v>16</v>
      </c>
      <c r="B36" s="509">
        <v>0.19</v>
      </c>
      <c r="E36" s="852"/>
      <c r="F36" s="852"/>
      <c r="G36" s="10"/>
      <c r="H36" s="10"/>
      <c r="I36" s="10"/>
      <c r="J36" s="10"/>
      <c r="K36" s="10"/>
      <c r="L36" s="10"/>
    </row>
    <row r="37" spans="1:14">
      <c r="A37" s="118" t="s">
        <v>17</v>
      </c>
      <c r="B37" s="509">
        <v>0.13</v>
      </c>
      <c r="E37" s="634"/>
      <c r="F37" s="634"/>
    </row>
    <row r="38" spans="1:14">
      <c r="A38" s="118" t="s">
        <v>179</v>
      </c>
      <c r="B38" s="509">
        <v>1.56</v>
      </c>
      <c r="E38" s="634"/>
      <c r="F38" s="634"/>
    </row>
    <row r="39" spans="1:14">
      <c r="A39" s="118" t="s">
        <v>180</v>
      </c>
      <c r="B39" s="509">
        <v>0.76</v>
      </c>
      <c r="E39" s="634"/>
      <c r="F39" s="634"/>
    </row>
    <row r="40" spans="1:14">
      <c r="A40" s="118" t="s">
        <v>18</v>
      </c>
      <c r="B40" s="510">
        <v>2.3662145197459159E-2</v>
      </c>
      <c r="E40" s="634"/>
      <c r="F40" s="634"/>
    </row>
    <row r="41" spans="1:14" ht="15.75" thickBot="1">
      <c r="A41" s="119"/>
      <c r="B41" s="514"/>
      <c r="E41" s="634"/>
      <c r="F41" s="634"/>
    </row>
    <row r="42" spans="1:14" s="43" customFormat="1" ht="15.75" thickBot="1">
      <c r="A42" s="195"/>
      <c r="B42" s="512"/>
      <c r="E42" s="856"/>
      <c r="F42" s="856"/>
      <c r="G42" s="196"/>
      <c r="H42" s="196"/>
      <c r="I42" s="196"/>
      <c r="J42" s="196"/>
      <c r="K42" s="196"/>
      <c r="L42" s="196"/>
      <c r="M42" s="196"/>
      <c r="N42" s="196"/>
    </row>
    <row r="43" spans="1:14" ht="15.75" thickBot="1">
      <c r="A43" s="121" t="s">
        <v>182</v>
      </c>
      <c r="B43" s="515"/>
      <c r="E43" s="634"/>
      <c r="F43" s="634"/>
    </row>
    <row r="44" spans="1:14">
      <c r="A44" s="44" t="s">
        <v>654</v>
      </c>
      <c r="B44" s="506"/>
      <c r="E44" s="634"/>
      <c r="F44" s="634"/>
    </row>
    <row r="45" spans="1:14">
      <c r="A45" s="44"/>
      <c r="B45" s="506"/>
      <c r="E45" s="634"/>
      <c r="F45" s="634"/>
    </row>
    <row r="46" spans="1:14" ht="18">
      <c r="A46" s="137" t="s">
        <v>183</v>
      </c>
      <c r="B46" s="507" t="s">
        <v>569</v>
      </c>
      <c r="E46" s="634"/>
      <c r="F46" s="634"/>
    </row>
    <row r="47" spans="1:14">
      <c r="A47" s="116" t="s">
        <v>184</v>
      </c>
      <c r="B47" s="516">
        <v>0.9128095917751945</v>
      </c>
      <c r="E47" s="634"/>
      <c r="F47" s="634"/>
    </row>
    <row r="48" spans="1:14">
      <c r="A48" s="118" t="s">
        <v>185</v>
      </c>
      <c r="B48" s="509">
        <v>0.92100877273299775</v>
      </c>
      <c r="E48" s="634"/>
      <c r="F48" s="634"/>
    </row>
    <row r="49" spans="1:12">
      <c r="A49" s="118" t="s">
        <v>178</v>
      </c>
      <c r="B49" s="509">
        <v>3.3355943552287243E-2</v>
      </c>
      <c r="E49" s="634"/>
      <c r="F49" s="634"/>
    </row>
    <row r="50" spans="1:12">
      <c r="A50" s="118" t="s">
        <v>18</v>
      </c>
      <c r="B50" s="509">
        <v>9.7262708792387651E-4</v>
      </c>
      <c r="E50" s="852"/>
      <c r="F50" s="852"/>
      <c r="G50" s="10"/>
      <c r="H50" s="10"/>
      <c r="I50" s="10"/>
      <c r="J50" s="10"/>
      <c r="K50" s="10"/>
      <c r="L50" s="10"/>
    </row>
    <row r="51" spans="1:12">
      <c r="A51" s="118" t="s">
        <v>16</v>
      </c>
      <c r="B51" s="509">
        <v>6.4135215417537765E-3</v>
      </c>
      <c r="E51" s="852"/>
      <c r="F51" s="852"/>
      <c r="G51" s="10"/>
      <c r="H51" s="10"/>
      <c r="I51" s="10"/>
      <c r="J51" s="10"/>
      <c r="K51" s="10"/>
      <c r="L51" s="10"/>
    </row>
    <row r="52" spans="1:12" ht="15.75" thickBot="1">
      <c r="A52" s="119" t="s">
        <v>120</v>
      </c>
      <c r="B52" s="517">
        <v>0.10115527992891835</v>
      </c>
      <c r="E52" s="634"/>
      <c r="F52" s="634"/>
    </row>
    <row r="53" spans="1:12">
      <c r="B53" s="51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597</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662</v>
      </c>
    </row>
    <row r="5" spans="1:3" ht="15.75" thickBot="1">
      <c r="A5" s="115" t="s">
        <v>596</v>
      </c>
      <c r="B5" s="526">
        <v>672355</v>
      </c>
      <c r="C5" s="140" t="s">
        <v>639</v>
      </c>
    </row>
    <row r="11" spans="1:3">
      <c r="B11" s="743"/>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438</v>
      </c>
      <c r="B1" s="362"/>
    </row>
    <row r="2" spans="1:2" s="327" customFormat="1">
      <c r="A2" s="353"/>
      <c r="B2" s="360"/>
    </row>
    <row r="3" spans="1:2" s="327" customFormat="1" ht="18">
      <c r="A3" s="363"/>
      <c r="B3" s="364" t="s">
        <v>441</v>
      </c>
    </row>
    <row r="4" spans="1:2" ht="18">
      <c r="A4" s="120" t="s">
        <v>439</v>
      </c>
      <c r="B4" s="527">
        <v>310</v>
      </c>
    </row>
    <row r="5" spans="1:2" ht="18.75" thickBot="1">
      <c r="A5" s="115" t="s">
        <v>440</v>
      </c>
      <c r="B5" s="528">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428</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429</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33" customWidth="1"/>
    <col min="3" max="3" width="12" style="833" customWidth="1"/>
    <col min="4" max="4" width="9.140625" style="833"/>
    <col min="5" max="5" width="50.42578125" style="833" customWidth="1"/>
    <col min="6" max="6" width="19.28515625" style="833" customWidth="1"/>
    <col min="7" max="7" width="9.140625" style="833"/>
    <col min="8" max="8" width="23.42578125" style="833" customWidth="1"/>
    <col min="9" max="10" width="9.140625" style="833"/>
    <col min="11" max="11" width="80.140625" style="833" customWidth="1"/>
    <col min="12" max="16384" width="9.140625" style="833"/>
  </cols>
  <sheetData>
    <row r="1" spans="1:11">
      <c r="A1" s="352" t="s">
        <v>480</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498</v>
      </c>
      <c r="B3" s="49">
        <f ca="1">IF(ISERROR('SEAP template'!C27),0,'SEAP template'!C27)</f>
        <v>110980.92800763081</v>
      </c>
      <c r="C3" s="43" t="s">
        <v>163</v>
      </c>
      <c r="D3" s="43"/>
      <c r="E3" s="156"/>
      <c r="F3" s="43"/>
      <c r="G3" s="43"/>
      <c r="H3" s="43"/>
      <c r="I3" s="43"/>
      <c r="J3" s="43"/>
      <c r="K3" s="96"/>
    </row>
    <row r="4" spans="1:11">
      <c r="A4" s="353" t="s">
        <v>164</v>
      </c>
      <c r="B4" s="49">
        <f>IF(ISERROR('SEAP template'!B78+'SEAP template'!C78),0,'SEAP template'!B78+'SEAP template'!C78)</f>
        <v>23500.518838022439</v>
      </c>
      <c r="C4" s="43" t="s">
        <v>163</v>
      </c>
      <c r="D4" s="43"/>
      <c r="E4" s="43"/>
      <c r="F4" s="43"/>
      <c r="G4" s="43"/>
      <c r="H4" s="43"/>
      <c r="I4" s="43"/>
      <c r="J4" s="43"/>
      <c r="K4" s="96"/>
    </row>
    <row r="5" spans="1:11">
      <c r="A5" s="353" t="s">
        <v>530</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877">
        <v>0.221</v>
      </c>
      <c r="F6" s="43" t="s">
        <v>737</v>
      </c>
      <c r="G6" s="43" t="s">
        <v>740</v>
      </c>
      <c r="H6" s="43"/>
      <c r="I6" s="43"/>
      <c r="J6" s="43"/>
      <c r="K6" s="96"/>
    </row>
    <row r="7" spans="1:11">
      <c r="A7" s="353"/>
      <c r="B7" s="448"/>
      <c r="C7" s="43"/>
      <c r="D7" s="43"/>
      <c r="E7" s="43"/>
      <c r="F7" s="48"/>
      <c r="G7" s="43"/>
      <c r="H7" s="43"/>
      <c r="I7" s="43"/>
      <c r="J7" s="43"/>
      <c r="K7" s="96"/>
    </row>
    <row r="8" spans="1:11">
      <c r="A8" s="353"/>
      <c r="B8" s="448"/>
      <c r="C8" s="43"/>
      <c r="D8" s="43"/>
      <c r="E8" s="43"/>
      <c r="F8" s="48"/>
      <c r="G8" s="43"/>
      <c r="H8" s="876"/>
      <c r="I8" s="157"/>
      <c r="J8" s="43"/>
      <c r="K8" s="96"/>
    </row>
    <row r="9" spans="1:11">
      <c r="A9" s="353" t="s">
        <v>168</v>
      </c>
      <c r="B9" s="49">
        <f>IF(ISERROR('SEAP template'!Q78),0,'SEAP template'!Q78)</f>
        <v>0</v>
      </c>
      <c r="C9" s="43" t="s">
        <v>167</v>
      </c>
      <c r="D9" s="43"/>
      <c r="E9" s="43"/>
      <c r="F9" s="43"/>
      <c r="G9" s="43"/>
      <c r="H9" s="43"/>
      <c r="I9" s="43"/>
      <c r="J9" s="43"/>
      <c r="K9" s="96"/>
    </row>
    <row r="10" spans="1:11">
      <c r="A10" s="353" t="s">
        <v>402</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0.17420263799879329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481</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499</v>
      </c>
      <c r="B20" s="49">
        <f ca="1">IF(ISERROR('SEAP template'!D27),0,('SEAP template'!D27))</f>
        <v>25120.928571428569</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34" t="s">
        <v>678</v>
      </c>
      <c r="B1" s="834" t="s">
        <v>297</v>
      </c>
      <c r="C1" s="834" t="s">
        <v>301</v>
      </c>
      <c r="D1" s="834" t="s">
        <v>302</v>
      </c>
      <c r="E1" s="834" t="s">
        <v>303</v>
      </c>
      <c r="F1" s="834" t="s">
        <v>304</v>
      </c>
      <c r="G1" s="311"/>
      <c r="H1" s="1015" t="s">
        <v>899</v>
      </c>
    </row>
    <row r="2" spans="1:8">
      <c r="A2" s="311" t="str">
        <f>CONCATENATE(TableECFTransport[[#This Row],[Voertuigtype]],"_",TableECFTransport[[#This Row],[Wegtype]],"_",TableECFTransport[[#This Row],[Brandstoftechnologie]],"_",TableECFTransport[[#This Row],[Brandstof]])</f>
        <v>Tram_gemiddeld_Electric_Electric</v>
      </c>
      <c r="B2" s="1014" t="s">
        <v>318</v>
      </c>
      <c r="C2" s="1014" t="s">
        <v>329</v>
      </c>
      <c r="D2" s="1014" t="s">
        <v>299</v>
      </c>
      <c r="E2" s="1014" t="s">
        <v>299</v>
      </c>
      <c r="F2" s="1013">
        <v>1.269E-8</v>
      </c>
      <c r="G2" s="834"/>
    </row>
    <row r="3" spans="1:8">
      <c r="A3" s="311" t="str">
        <f>CONCATENATE(TableECFTransport[[#This Row],[Voertuigtype]],"_",TableECFTransport[[#This Row],[Wegtype]],"_",TableECFTransport[[#This Row],[Brandstoftechnologie]],"_",TableECFTransport[[#This Row],[Brandstof]])</f>
        <v>Lichte voertuigen_Niet-genummerde wegen_Fuel Cell H2_H2</v>
      </c>
      <c r="B3" s="1014" t="s">
        <v>679</v>
      </c>
      <c r="C3" s="1014" t="s">
        <v>64</v>
      </c>
      <c r="D3" s="1014" t="s">
        <v>857</v>
      </c>
      <c r="E3" s="1014" t="s">
        <v>858</v>
      </c>
      <c r="F3" s="1013">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14" t="s">
        <v>679</v>
      </c>
      <c r="C4" s="1014" t="s">
        <v>63</v>
      </c>
      <c r="D4" s="1014" t="s">
        <v>857</v>
      </c>
      <c r="E4" s="1014" t="s">
        <v>858</v>
      </c>
      <c r="F4" s="1013">
        <v>1.5973299999999999E-9</v>
      </c>
    </row>
    <row r="5" spans="1:8" s="834" customFormat="1">
      <c r="A5" s="311" t="str">
        <f>CONCATENATE(TableECFTransport[[#This Row],[Voertuigtype]],"_",TableECFTransport[[#This Row],[Wegtype]],"_",TableECFTransport[[#This Row],[Brandstoftechnologie]],"_",TableECFTransport[[#This Row],[Brandstof]])</f>
        <v>Lichte voertuigen_Snelwegen_Fuel Cell H2_H2</v>
      </c>
      <c r="B5" s="1014" t="s">
        <v>679</v>
      </c>
      <c r="C5" s="1014" t="s">
        <v>65</v>
      </c>
      <c r="D5" s="1014" t="s">
        <v>857</v>
      </c>
      <c r="E5" s="1014" t="s">
        <v>858</v>
      </c>
      <c r="F5" s="1013">
        <v>1.5973299999999999E-9</v>
      </c>
    </row>
    <row r="6" spans="1:8" s="834" customFormat="1">
      <c r="A6" s="311" t="str">
        <f>CONCATENATE(TableECFTransport[[#This Row],[Voertuigtype]],"_",TableECFTransport[[#This Row],[Wegtype]],"_",TableECFTransport[[#This Row],[Brandstoftechnologie]],"_",TableECFTransport[[#This Row],[Brandstof]])</f>
        <v>Lichte voertuigen_Niet-genummerde wegen_Electric_Electric</v>
      </c>
      <c r="B6" s="1014" t="s">
        <v>679</v>
      </c>
      <c r="C6" s="1014" t="s">
        <v>64</v>
      </c>
      <c r="D6" s="1014" t="s">
        <v>299</v>
      </c>
      <c r="E6" s="1014" t="s">
        <v>299</v>
      </c>
      <c r="F6" s="1013">
        <v>6.8198061167232623E-10</v>
      </c>
    </row>
    <row r="7" spans="1:8">
      <c r="A7" s="311" t="str">
        <f>CONCATENATE(TableECFTransport[[#This Row],[Voertuigtype]],"_",TableECFTransport[[#This Row],[Wegtype]],"_",TableECFTransport[[#This Row],[Brandstoftechnologie]],"_",TableECFTransport[[#This Row],[Brandstof]])</f>
        <v>Lichte voertuigen_Genummerde wegen_Electric_Electric</v>
      </c>
      <c r="B7" s="1014" t="s">
        <v>679</v>
      </c>
      <c r="C7" s="1014" t="s">
        <v>63</v>
      </c>
      <c r="D7" s="1014" t="s">
        <v>299</v>
      </c>
      <c r="E7" s="1014" t="s">
        <v>299</v>
      </c>
      <c r="F7" s="1013">
        <v>6.8198061167232623E-10</v>
      </c>
    </row>
    <row r="8" spans="1:8">
      <c r="A8" s="311" t="str">
        <f>CONCATENATE(TableECFTransport[[#This Row],[Voertuigtype]],"_",TableECFTransport[[#This Row],[Wegtype]],"_",TableECFTransport[[#This Row],[Brandstoftechnologie]],"_",TableECFTransport[[#This Row],[Brandstof]])</f>
        <v>Lichte voertuigen_Snelwegen_Electric_Electric</v>
      </c>
      <c r="B8" s="1014" t="s">
        <v>679</v>
      </c>
      <c r="C8" s="1014" t="s">
        <v>65</v>
      </c>
      <c r="D8" s="1014" t="s">
        <v>299</v>
      </c>
      <c r="E8" s="1014" t="s">
        <v>299</v>
      </c>
      <c r="F8" s="1013">
        <v>6.8198061167232623E-10</v>
      </c>
    </row>
    <row r="9" spans="1:8">
      <c r="A9" s="311" t="str">
        <f>CONCATENATE(TableECFTransport[[#This Row],[Voertuigtype]],"_",TableECFTransport[[#This Row],[Wegtype]],"_",TableECFTransport[[#This Row],[Brandstoftechnologie]],"_",TableECFTransport[[#This Row],[Brandstof]])</f>
        <v>Zware voertuigen_Niet-genummerde wegen_Electric_Electric</v>
      </c>
      <c r="B9" s="1014" t="s">
        <v>681</v>
      </c>
      <c r="C9" s="1014" t="s">
        <v>64</v>
      </c>
      <c r="D9" s="1014" t="s">
        <v>299</v>
      </c>
      <c r="E9" s="1014" t="s">
        <v>299</v>
      </c>
      <c r="F9" s="1013">
        <v>4.4639999999999995E-9</v>
      </c>
    </row>
    <row r="10" spans="1:8">
      <c r="A10" s="311" t="str">
        <f>CONCATENATE(TableECFTransport[[#This Row],[Voertuigtype]],"_",TableECFTransport[[#This Row],[Wegtype]],"_",TableECFTransport[[#This Row],[Brandstoftechnologie]],"_",TableECFTransport[[#This Row],[Brandstof]])</f>
        <v>Zware voertuigen_Genummerde wegen_Electric_Electric</v>
      </c>
      <c r="B10" s="1014" t="s">
        <v>681</v>
      </c>
      <c r="C10" s="1014" t="s">
        <v>63</v>
      </c>
      <c r="D10" s="1014" t="s">
        <v>299</v>
      </c>
      <c r="E10" s="1014" t="s">
        <v>299</v>
      </c>
      <c r="F10" s="1013">
        <v>4.4639999999999995E-9</v>
      </c>
    </row>
    <row r="11" spans="1:8">
      <c r="A11" s="311" t="str">
        <f>CONCATENATE(TableECFTransport[[#This Row],[Voertuigtype]],"_",TableECFTransport[[#This Row],[Wegtype]],"_",TableECFTransport[[#This Row],[Brandstoftechnologie]],"_",TableECFTransport[[#This Row],[Brandstof]])</f>
        <v>Zware voertuigen_Snelwegen_Electric_Electric</v>
      </c>
      <c r="B11" s="1014" t="s">
        <v>681</v>
      </c>
      <c r="C11" s="1014" t="s">
        <v>65</v>
      </c>
      <c r="D11" s="1014" t="s">
        <v>299</v>
      </c>
      <c r="E11" s="1014" t="s">
        <v>299</v>
      </c>
      <c r="F11" s="1013">
        <v>4.4639999999999995E-9</v>
      </c>
    </row>
    <row r="12" spans="1:8">
      <c r="A12" s="311" t="str">
        <f>CONCATENATE(TableECFTransport[[#This Row],[Voertuigtype]],"_",TableECFTransport[[#This Row],[Wegtype]],"_",TableECFTransport[[#This Row],[Brandstoftechnologie]],"_",TableECFTransport[[#This Row],[Brandstof]])</f>
        <v>BUS_Niet-genummerde wegen_Electric_Electric</v>
      </c>
      <c r="B12" s="1014" t="s">
        <v>687</v>
      </c>
      <c r="C12" s="1014" t="s">
        <v>64</v>
      </c>
      <c r="D12" s="1014" t="s">
        <v>299</v>
      </c>
      <c r="E12" s="1014" t="s">
        <v>299</v>
      </c>
      <c r="F12" s="1013">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14" t="s">
        <v>687</v>
      </c>
      <c r="C13" s="1014" t="s">
        <v>63</v>
      </c>
      <c r="D13" s="1014" t="s">
        <v>299</v>
      </c>
      <c r="E13" s="1014" t="s">
        <v>299</v>
      </c>
      <c r="F13" s="1013">
        <v>4.6800000000000004E-9</v>
      </c>
    </row>
    <row r="14" spans="1:8">
      <c r="A14" s="311" t="str">
        <f>CONCATENATE(TableECFTransport[[#This Row],[Voertuigtype]],"_",TableECFTransport[[#This Row],[Wegtype]],"_",TableECFTransport[[#This Row],[Brandstoftechnologie]],"_",TableECFTransport[[#This Row],[Brandstof]])</f>
        <v>BUS_Snelwegen_Electric_Electric</v>
      </c>
      <c r="B14" s="1014" t="s">
        <v>687</v>
      </c>
      <c r="C14" s="1014" t="s">
        <v>65</v>
      </c>
      <c r="D14" s="1014" t="s">
        <v>299</v>
      </c>
      <c r="E14" s="1014" t="s">
        <v>299</v>
      </c>
      <c r="F14" s="1013">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14" t="s">
        <v>679</v>
      </c>
      <c r="C15" s="1014" t="s">
        <v>64</v>
      </c>
      <c r="D15" s="1014" t="s">
        <v>298</v>
      </c>
      <c r="E15" s="1014" t="s">
        <v>298</v>
      </c>
      <c r="F15" s="1013">
        <v>4.3437873587918438E-9</v>
      </c>
    </row>
    <row r="16" spans="1:8">
      <c r="A16" s="311" t="str">
        <f>CONCATENATE(TableECFTransport[[#This Row],[Voertuigtype]],"_",TableECFTransport[[#This Row],[Wegtype]],"_",TableECFTransport[[#This Row],[Brandstoftechnologie]],"_",TableECFTransport[[#This Row],[Brandstof]])</f>
        <v>Lichte voertuigen_Genummerde wegen_CNG_CNG</v>
      </c>
      <c r="B16" s="1014" t="s">
        <v>679</v>
      </c>
      <c r="C16" s="1014" t="s">
        <v>63</v>
      </c>
      <c r="D16" s="1014" t="s">
        <v>298</v>
      </c>
      <c r="E16" s="1014" t="s">
        <v>298</v>
      </c>
      <c r="F16" s="1013">
        <v>2.5529569690526724E-9</v>
      </c>
    </row>
    <row r="17" spans="1:6">
      <c r="A17" s="311" t="str">
        <f>CONCATENATE(TableECFTransport[[#This Row],[Voertuigtype]],"_",TableECFTransport[[#This Row],[Wegtype]],"_",TableECFTransport[[#This Row],[Brandstoftechnologie]],"_",TableECFTransport[[#This Row],[Brandstof]])</f>
        <v>Lichte voertuigen_Snelwegen_CNG_CNG</v>
      </c>
      <c r="B17" s="1014" t="s">
        <v>679</v>
      </c>
      <c r="C17" s="1014" t="s">
        <v>65</v>
      </c>
      <c r="D17" s="1014" t="s">
        <v>298</v>
      </c>
      <c r="E17" s="1014" t="s">
        <v>298</v>
      </c>
      <c r="F17" s="1013">
        <v>2.5409603997774818E-9</v>
      </c>
    </row>
    <row r="18" spans="1:6">
      <c r="A18" s="311" t="str">
        <f>CONCATENATE(TableECFTransport[[#This Row],[Voertuigtype]],"_",TableECFTransport[[#This Row],[Wegtype]],"_",TableECFTransport[[#This Row],[Brandstoftechnologie]],"_",TableECFTransport[[#This Row],[Brandstof]])</f>
        <v>Lichte voertuigen_Niet-genummerde wegen_Diesel_Diesel</v>
      </c>
      <c r="B18" s="1014" t="s">
        <v>679</v>
      </c>
      <c r="C18" s="1014" t="s">
        <v>64</v>
      </c>
      <c r="D18" s="1014" t="s">
        <v>195</v>
      </c>
      <c r="E18" s="1014" t="s">
        <v>195</v>
      </c>
      <c r="F18" s="1013">
        <v>3.3175405893223447E-9</v>
      </c>
    </row>
    <row r="19" spans="1:6">
      <c r="A19" s="311" t="str">
        <f>CONCATENATE(TableECFTransport[[#This Row],[Voertuigtype]],"_",TableECFTransport[[#This Row],[Wegtype]],"_",TableECFTransport[[#This Row],[Brandstoftechnologie]],"_",TableECFTransport[[#This Row],[Brandstof]])</f>
        <v>Lichte voertuigen_Genummerde wegen_Diesel_Diesel</v>
      </c>
      <c r="B19" s="1014" t="s">
        <v>679</v>
      </c>
      <c r="C19" s="1014" t="s">
        <v>63</v>
      </c>
      <c r="D19" s="1014" t="s">
        <v>195</v>
      </c>
      <c r="E19" s="1014" t="s">
        <v>195</v>
      </c>
      <c r="F19" s="1013">
        <v>2.1769169737712921E-9</v>
      </c>
    </row>
    <row r="20" spans="1:6">
      <c r="A20" s="311" t="str">
        <f>CONCATENATE(TableECFTransport[[#This Row],[Voertuigtype]],"_",TableECFTransport[[#This Row],[Wegtype]],"_",TableECFTransport[[#This Row],[Brandstoftechnologie]],"_",TableECFTransport[[#This Row],[Brandstof]])</f>
        <v>Lichte voertuigen_Snelwegen_Diesel_Diesel</v>
      </c>
      <c r="B20" s="1014" t="s">
        <v>679</v>
      </c>
      <c r="C20" s="1014" t="s">
        <v>65</v>
      </c>
      <c r="D20" s="1014" t="s">
        <v>195</v>
      </c>
      <c r="E20" s="1014" t="s">
        <v>195</v>
      </c>
      <c r="F20" s="1013">
        <v>2.4569483996220531E-9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14" t="s">
        <v>679</v>
      </c>
      <c r="C21" s="1014" t="s">
        <v>64</v>
      </c>
      <c r="D21" s="1014" t="s">
        <v>859</v>
      </c>
      <c r="E21" s="1014" t="s">
        <v>195</v>
      </c>
      <c r="F21" s="1013">
        <v>1.9160557258647921E-9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14" t="s">
        <v>679</v>
      </c>
      <c r="C22" s="1014" t="s">
        <v>64</v>
      </c>
      <c r="D22" s="1014" t="s">
        <v>859</v>
      </c>
      <c r="E22" s="1014" t="s">
        <v>299</v>
      </c>
      <c r="F22" s="1013">
        <v>6.3868524195493073E-10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14" t="s">
        <v>679</v>
      </c>
      <c r="C23" s="1014" t="s">
        <v>63</v>
      </c>
      <c r="D23" s="1014" t="s">
        <v>859</v>
      </c>
      <c r="E23" s="1014" t="s">
        <v>195</v>
      </c>
      <c r="F23" s="1013">
        <v>1.1804649412776243E-9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14" t="s">
        <v>679</v>
      </c>
      <c r="C24" s="1014" t="s">
        <v>63</v>
      </c>
      <c r="D24" s="1014" t="s">
        <v>859</v>
      </c>
      <c r="E24" s="1014" t="s">
        <v>299</v>
      </c>
      <c r="F24" s="1013">
        <v>3.9348831375920814E-10</v>
      </c>
    </row>
    <row r="25" spans="1:6">
      <c r="A25" s="311" t="str">
        <f>CONCATENATE(TableECFTransport[[#This Row],[Voertuigtype]],"_",TableECFTransport[[#This Row],[Wegtype]],"_",TableECFTransport[[#This Row],[Brandstoftechnologie]],"_",TableECFTransport[[#This Row],[Brandstof]])</f>
        <v>Lichte voertuigen_Snelwegen_Diesel Hybrid PHEV_Diesel</v>
      </c>
      <c r="B25" s="1014" t="s">
        <v>679</v>
      </c>
      <c r="C25" s="1014" t="s">
        <v>65</v>
      </c>
      <c r="D25" s="1014" t="s">
        <v>859</v>
      </c>
      <c r="E25" s="1014" t="s">
        <v>195</v>
      </c>
      <c r="F25" s="1013">
        <v>1.8688193401379147E-9</v>
      </c>
    </row>
    <row r="26" spans="1:6">
      <c r="A26" s="311" t="str">
        <f>CONCATENATE(TableECFTransport[[#This Row],[Voertuigtype]],"_",TableECFTransport[[#This Row],[Wegtype]],"_",TableECFTransport[[#This Row],[Brandstoftechnologie]],"_",TableECFTransport[[#This Row],[Brandstof]])</f>
        <v>Lichte voertuigen_Snelwegen_Diesel Hybrid PHEV_Electric</v>
      </c>
      <c r="B26" s="1014" t="s">
        <v>679</v>
      </c>
      <c r="C26" s="1014" t="s">
        <v>65</v>
      </c>
      <c r="D26" s="1014" t="s">
        <v>859</v>
      </c>
      <c r="E26" s="1014" t="s">
        <v>299</v>
      </c>
      <c r="F26" s="1013">
        <v>6.2293978004597167E-10</v>
      </c>
    </row>
    <row r="27" spans="1:6">
      <c r="A27" s="311" t="str">
        <f>CONCATENATE(TableECFTransport[[#This Row],[Voertuigtype]],"_",TableECFTransport[[#This Row],[Wegtype]],"_",TableECFTransport[[#This Row],[Brandstoftechnologie]],"_",TableECFTransport[[#This Row],[Brandstof]])</f>
        <v>Lichte voertuigen_Niet-genummerde wegen_LPG_LPG</v>
      </c>
      <c r="B27" s="1014" t="s">
        <v>679</v>
      </c>
      <c r="C27" s="1014" t="s">
        <v>64</v>
      </c>
      <c r="D27" s="1014" t="s">
        <v>112</v>
      </c>
      <c r="E27" s="1014" t="s">
        <v>112</v>
      </c>
      <c r="F27" s="1013">
        <v>3.6430836522875263E-9</v>
      </c>
    </row>
    <row r="28" spans="1:6">
      <c r="A28" s="311" t="str">
        <f>CONCATENATE(TableECFTransport[[#This Row],[Voertuigtype]],"_",TableECFTransport[[#This Row],[Wegtype]],"_",TableECFTransport[[#This Row],[Brandstoftechnologie]],"_",TableECFTransport[[#This Row],[Brandstof]])</f>
        <v>Lichte voertuigen_Genummerde wegen_LPG_LPG</v>
      </c>
      <c r="B28" s="1014" t="s">
        <v>679</v>
      </c>
      <c r="C28" s="1014" t="s">
        <v>63</v>
      </c>
      <c r="D28" s="1014" t="s">
        <v>112</v>
      </c>
      <c r="E28" s="1014" t="s">
        <v>112</v>
      </c>
      <c r="F28" s="1013">
        <v>2.2552951716529249E-9</v>
      </c>
    </row>
    <row r="29" spans="1:6">
      <c r="A29" s="311" t="str">
        <f>CONCATENATE(TableECFTransport[[#This Row],[Voertuigtype]],"_",TableECFTransport[[#This Row],[Wegtype]],"_",TableECFTransport[[#This Row],[Brandstoftechnologie]],"_",TableECFTransport[[#This Row],[Brandstof]])</f>
        <v>Lichte voertuigen_Snelwegen_LPG_LPG</v>
      </c>
      <c r="B29" s="1014" t="s">
        <v>679</v>
      </c>
      <c r="C29" s="1014" t="s">
        <v>65</v>
      </c>
      <c r="D29" s="1014" t="s">
        <v>112</v>
      </c>
      <c r="E29" s="1014" t="s">
        <v>112</v>
      </c>
      <c r="F29" s="1013">
        <v>2.7793082329409399E-9</v>
      </c>
    </row>
    <row r="30" spans="1:6">
      <c r="A30" s="311" t="str">
        <f>CONCATENATE(TableECFTransport[[#This Row],[Voertuigtype]],"_",TableECFTransport[[#This Row],[Wegtype]],"_",TableECFTransport[[#This Row],[Brandstoftechnologie]],"_",TableECFTransport[[#This Row],[Brandstof]])</f>
        <v>Lichte voertuigen_Niet-genummerde wegen_Petrol_Petrol</v>
      </c>
      <c r="B30" s="1014" t="s">
        <v>679</v>
      </c>
      <c r="C30" s="1014" t="s">
        <v>64</v>
      </c>
      <c r="D30" s="1014" t="s">
        <v>300</v>
      </c>
      <c r="E30" s="1014" t="s">
        <v>300</v>
      </c>
      <c r="F30" s="1013">
        <v>3.5845406117453889E-9</v>
      </c>
    </row>
    <row r="31" spans="1:6">
      <c r="A31" s="311" t="str">
        <f>CONCATENATE(TableECFTransport[[#This Row],[Voertuigtype]],"_",TableECFTransport[[#This Row],[Wegtype]],"_",TableECFTransport[[#This Row],[Brandstoftechnologie]],"_",TableECFTransport[[#This Row],[Brandstof]])</f>
        <v>Lichte voertuigen_Genummerde wegen_Petrol_Petrol</v>
      </c>
      <c r="B31" s="1014" t="s">
        <v>679</v>
      </c>
      <c r="C31" s="1014" t="s">
        <v>63</v>
      </c>
      <c r="D31" s="1014" t="s">
        <v>300</v>
      </c>
      <c r="E31" s="1014" t="s">
        <v>300</v>
      </c>
      <c r="F31" s="1013">
        <v>2.1997652877424509E-9</v>
      </c>
    </row>
    <row r="32" spans="1:6">
      <c r="A32" s="311" t="str">
        <f>CONCATENATE(TableECFTransport[[#This Row],[Voertuigtype]],"_",TableECFTransport[[#This Row],[Wegtype]],"_",TableECFTransport[[#This Row],[Brandstoftechnologie]],"_",TableECFTransport[[#This Row],[Brandstof]])</f>
        <v>Lichte voertuigen_Snelwegen_Petrol_Petrol</v>
      </c>
      <c r="B32" s="1014" t="s">
        <v>679</v>
      </c>
      <c r="C32" s="1014" t="s">
        <v>65</v>
      </c>
      <c r="D32" s="1014" t="s">
        <v>300</v>
      </c>
      <c r="E32" s="1014" t="s">
        <v>300</v>
      </c>
      <c r="F32" s="1013">
        <v>2.3023686791852322E-9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14" t="s">
        <v>679</v>
      </c>
      <c r="C33" s="1014" t="s">
        <v>64</v>
      </c>
      <c r="D33" s="1014" t="s">
        <v>860</v>
      </c>
      <c r="E33" s="1014" t="s">
        <v>300</v>
      </c>
      <c r="F33" s="1013">
        <v>2.7223089036852318E-9</v>
      </c>
    </row>
    <row r="34" spans="1:6">
      <c r="A34" s="1014" t="str">
        <f>CONCATENATE(TableECFTransport[[#This Row],[Voertuigtype]],"_",TableECFTransport[[#This Row],[Wegtype]],"_",TableECFTransport[[#This Row],[Brandstoftechnologie]],"_",TableECFTransport[[#This Row],[Brandstof]])</f>
        <v>Lichte voertuigen_Genummerde wegen_Petrol Hybrid CS_Petrol</v>
      </c>
      <c r="B34" s="1014" t="s">
        <v>679</v>
      </c>
      <c r="C34" s="1014" t="s">
        <v>63</v>
      </c>
      <c r="D34" s="1014" t="s">
        <v>860</v>
      </c>
      <c r="E34" s="1014" t="s">
        <v>300</v>
      </c>
      <c r="F34" s="1013">
        <v>1.5060020873820122E-9</v>
      </c>
    </row>
    <row r="35" spans="1:6">
      <c r="A35" s="1014" t="str">
        <f>CONCATENATE(TableECFTransport[[#This Row],[Voertuigtype]],"_",TableECFTransport[[#This Row],[Wegtype]],"_",TableECFTransport[[#This Row],[Brandstoftechnologie]],"_",TableECFTransport[[#This Row],[Brandstof]])</f>
        <v>Lichte voertuigen_Snelwegen_Petrol Hybrid CS_Petrol</v>
      </c>
      <c r="B35" s="1014" t="s">
        <v>679</v>
      </c>
      <c r="C35" s="1014" t="s">
        <v>65</v>
      </c>
      <c r="D35" s="1014" t="s">
        <v>860</v>
      </c>
      <c r="E35" s="1014" t="s">
        <v>300</v>
      </c>
      <c r="F35" s="1013">
        <v>1.8395154728294717E-9</v>
      </c>
    </row>
    <row r="36" spans="1:6">
      <c r="A36" s="1014" t="str">
        <f>CONCATENATE(TableECFTransport[[#This Row],[Voertuigtype]],"_",TableECFTransport[[#This Row],[Wegtype]],"_",TableECFTransport[[#This Row],[Brandstoftechnologie]],"_",TableECFTransport[[#This Row],[Brandstof]])</f>
        <v>Lichte voertuigen_Niet-genummerde wegen_Petrol Hybrid PHEV_Electric</v>
      </c>
      <c r="B36" s="1014" t="s">
        <v>679</v>
      </c>
      <c r="C36" s="1014" t="s">
        <v>64</v>
      </c>
      <c r="D36" s="1014" t="s">
        <v>861</v>
      </c>
      <c r="E36" s="1014" t="s">
        <v>299</v>
      </c>
      <c r="F36" s="1013">
        <v>6.3941229035988833E-10</v>
      </c>
    </row>
    <row r="37" spans="1:6">
      <c r="A37" s="1014" t="str">
        <f>CONCATENATE(TableECFTransport[[#This Row],[Voertuigtype]],"_",TableECFTransport[[#This Row],[Wegtype]],"_",TableECFTransport[[#This Row],[Brandstoftechnologie]],"_",TableECFTransport[[#This Row],[Brandstof]])</f>
        <v>Lichte voertuigen_Niet-genummerde wegen_Petrol Hybrid PHEV_Petrol</v>
      </c>
      <c r="B37" s="1014" t="s">
        <v>679</v>
      </c>
      <c r="C37" s="1014" t="s">
        <v>64</v>
      </c>
      <c r="D37" s="1014" t="s">
        <v>861</v>
      </c>
      <c r="E37" s="1014" t="s">
        <v>300</v>
      </c>
      <c r="F37" s="1013">
        <v>1.9182368710796648E-9</v>
      </c>
    </row>
    <row r="38" spans="1:6">
      <c r="A38" s="1014" t="str">
        <f>CONCATENATE(TableECFTransport[[#This Row],[Voertuigtype]],"_",TableECFTransport[[#This Row],[Wegtype]],"_",TableECFTransport[[#This Row],[Brandstoftechnologie]],"_",TableECFTransport[[#This Row],[Brandstof]])</f>
        <v>Lichte voertuigen_Genummerde wegen_Petrol Hybrid PHEV_Electric</v>
      </c>
      <c r="B38" s="1014" t="s">
        <v>679</v>
      </c>
      <c r="C38" s="1014" t="s">
        <v>63</v>
      </c>
      <c r="D38" s="1014" t="s">
        <v>861</v>
      </c>
      <c r="E38" s="1014" t="s">
        <v>299</v>
      </c>
      <c r="F38" s="1013">
        <v>3.5924065906867909E-10</v>
      </c>
    </row>
    <row r="39" spans="1:6">
      <c r="A39" s="1014" t="str">
        <f>CONCATENATE(TableECFTransport[[#This Row],[Voertuigtype]],"_",TableECFTransport[[#This Row],[Wegtype]],"_",TableECFTransport[[#This Row],[Brandstoftechnologie]],"_",TableECFTransport[[#This Row],[Brandstof]])</f>
        <v>Lichte voertuigen_Genummerde wegen_Petrol Hybrid PHEV_Petrol</v>
      </c>
      <c r="B39" s="1014" t="s">
        <v>679</v>
      </c>
      <c r="C39" s="1014" t="s">
        <v>63</v>
      </c>
      <c r="D39" s="1014" t="s">
        <v>861</v>
      </c>
      <c r="E39" s="1014" t="s">
        <v>300</v>
      </c>
      <c r="F39" s="1013">
        <v>1.0777219772060374E-9</v>
      </c>
    </row>
    <row r="40" spans="1:6">
      <c r="A40" s="1014" t="str">
        <f>CONCATENATE(TableECFTransport[[#This Row],[Voertuigtype]],"_",TableECFTransport[[#This Row],[Wegtype]],"_",TableECFTransport[[#This Row],[Brandstoftechnologie]],"_",TableECFTransport[[#This Row],[Brandstof]])</f>
        <v>Lichte voertuigen_Snelwegen_Petrol Hybrid PHEV_Electric</v>
      </c>
      <c r="B40" s="1014" t="s">
        <v>679</v>
      </c>
      <c r="C40" s="1014" t="s">
        <v>65</v>
      </c>
      <c r="D40" s="1014" t="s">
        <v>861</v>
      </c>
      <c r="E40" s="1014" t="s">
        <v>299</v>
      </c>
      <c r="F40" s="1013">
        <v>5.5362965669681957E-10</v>
      </c>
    </row>
    <row r="41" spans="1:6">
      <c r="A41" s="1014" t="str">
        <f>CONCATENATE(TableECFTransport[[#This Row],[Voertuigtype]],"_",TableECFTransport[[#This Row],[Wegtype]],"_",TableECFTransport[[#This Row],[Brandstoftechnologie]],"_",TableECFTransport[[#This Row],[Brandstof]])</f>
        <v>Lichte voertuigen_Snelwegen_Petrol Hybrid PHEV_Petrol</v>
      </c>
      <c r="B41" s="1014" t="s">
        <v>679</v>
      </c>
      <c r="C41" s="1014" t="s">
        <v>65</v>
      </c>
      <c r="D41" s="1014" t="s">
        <v>861</v>
      </c>
      <c r="E41" s="1014" t="s">
        <v>300</v>
      </c>
      <c r="F41" s="1013">
        <v>1.6608889700904586E-9</v>
      </c>
    </row>
    <row r="42" spans="1:6">
      <c r="A42" s="1014" t="str">
        <f>CONCATENATE(TableECFTransport[[#This Row],[Voertuigtype]],"_",TableECFTransport[[#This Row],[Wegtype]],"_",TableECFTransport[[#This Row],[Brandstoftechnologie]],"_",TableECFTransport[[#This Row],[Brandstof]])</f>
        <v>Zware voertuigen_Niet-genummerde wegen_Diesel_Diesel</v>
      </c>
      <c r="B42" s="1014" t="s">
        <v>681</v>
      </c>
      <c r="C42" s="1014" t="s">
        <v>64</v>
      </c>
      <c r="D42" s="1014" t="s">
        <v>195</v>
      </c>
      <c r="E42" s="1014" t="s">
        <v>195</v>
      </c>
      <c r="F42" s="1013">
        <v>1.2707125369280644E-8</v>
      </c>
    </row>
    <row r="43" spans="1:6">
      <c r="A43" s="1014" t="str">
        <f>CONCATENATE(TableECFTransport[[#This Row],[Voertuigtype]],"_",TableECFTransport[[#This Row],[Wegtype]],"_",TableECFTransport[[#This Row],[Brandstoftechnologie]],"_",TableECFTransport[[#This Row],[Brandstof]])</f>
        <v>Zware voertuigen_Genummerde wegen_Diesel_Diesel</v>
      </c>
      <c r="B43" s="1014" t="s">
        <v>681</v>
      </c>
      <c r="C43" s="1014" t="s">
        <v>63</v>
      </c>
      <c r="D43" s="1014" t="s">
        <v>195</v>
      </c>
      <c r="E43" s="1014" t="s">
        <v>195</v>
      </c>
      <c r="F43" s="1013">
        <v>9.8925274519933402E-9</v>
      </c>
    </row>
    <row r="44" spans="1:6">
      <c r="A44" s="1014" t="str">
        <f>CONCATENATE(TableECFTransport[[#This Row],[Voertuigtype]],"_",TableECFTransport[[#This Row],[Wegtype]],"_",TableECFTransport[[#This Row],[Brandstoftechnologie]],"_",TableECFTransport[[#This Row],[Brandstof]])</f>
        <v>Zware voertuigen_Snelwegen_Diesel_Diesel</v>
      </c>
      <c r="B44" s="1014" t="s">
        <v>681</v>
      </c>
      <c r="C44" s="1014" t="s">
        <v>65</v>
      </c>
      <c r="D44" s="1014" t="s">
        <v>195</v>
      </c>
      <c r="E44" s="1014" t="s">
        <v>195</v>
      </c>
      <c r="F44" s="1013">
        <v>9.4255078628023775E-9</v>
      </c>
    </row>
    <row r="45" spans="1:6">
      <c r="A45" s="1014" t="str">
        <f>CONCATENATE(TableECFTransport[[#This Row],[Voertuigtype]],"_",TableECFTransport[[#This Row],[Wegtype]],"_",TableECFTransport[[#This Row],[Brandstoftechnologie]],"_",TableECFTransport[[#This Row],[Brandstof]])</f>
        <v>Zware voertuigen_Niet-genummerde wegen_Petrol_Petrol</v>
      </c>
      <c r="B45" s="1014" t="s">
        <v>681</v>
      </c>
      <c r="C45" s="1014" t="s">
        <v>64</v>
      </c>
      <c r="D45" s="1014" t="s">
        <v>300</v>
      </c>
      <c r="E45" s="1014" t="s">
        <v>300</v>
      </c>
      <c r="F45" s="1013">
        <v>7.6653519389191348E-9</v>
      </c>
    </row>
    <row r="46" spans="1:6">
      <c r="A46" s="1014" t="str">
        <f>CONCATENATE(TableECFTransport[[#This Row],[Voertuigtype]],"_",TableECFTransport[[#This Row],[Wegtype]],"_",TableECFTransport[[#This Row],[Brandstoftechnologie]],"_",TableECFTransport[[#This Row],[Brandstof]])</f>
        <v>Zware voertuigen_Genummerde wegen_Petrol_Petrol</v>
      </c>
      <c r="B46" s="1014" t="s">
        <v>681</v>
      </c>
      <c r="C46" s="1014" t="s">
        <v>63</v>
      </c>
      <c r="D46" s="1014" t="s">
        <v>300</v>
      </c>
      <c r="E46" s="1014" t="s">
        <v>300</v>
      </c>
      <c r="F46" s="1013">
        <v>6.3506130742713387E-9</v>
      </c>
    </row>
    <row r="47" spans="1:6">
      <c r="A47" s="1014" t="str">
        <f>CONCATENATE(TableECFTransport[[#This Row],[Voertuigtype]],"_",TableECFTransport[[#This Row],[Wegtype]],"_",TableECFTransport[[#This Row],[Brandstoftechnologie]],"_",TableECFTransport[[#This Row],[Brandstof]])</f>
        <v>Zware voertuigen_Snelwegen_Petrol_Petrol</v>
      </c>
      <c r="B47" s="1014" t="s">
        <v>681</v>
      </c>
      <c r="C47" s="1014" t="s">
        <v>65</v>
      </c>
      <c r="D47" s="1014" t="s">
        <v>300</v>
      </c>
      <c r="E47" s="1014" t="s">
        <v>300</v>
      </c>
      <c r="F47" s="1013">
        <v>6.5365124469575587E-9</v>
      </c>
    </row>
    <row r="48" spans="1:6">
      <c r="A48" s="1014" t="str">
        <f>CONCATENATE(TableECFTransport[[#This Row],[Voertuigtype]],"_",TableECFTransport[[#This Row],[Wegtype]],"_",TableECFTransport[[#This Row],[Brandstoftechnologie]],"_",TableECFTransport[[#This Row],[Brandstof]])</f>
        <v>BUS_Niet-genummerde wegen_CNG_CNG</v>
      </c>
      <c r="B48" s="1014" t="s">
        <v>687</v>
      </c>
      <c r="C48" s="1014" t="s">
        <v>64</v>
      </c>
      <c r="D48" s="1014" t="s">
        <v>298</v>
      </c>
      <c r="E48" s="1014" t="s">
        <v>298</v>
      </c>
      <c r="F48" s="1013">
        <v>2.3303083752649972E-8</v>
      </c>
    </row>
    <row r="49" spans="1:6">
      <c r="A49" s="1014" t="str">
        <f>CONCATENATE(TableECFTransport[[#This Row],[Voertuigtype]],"_",TableECFTransport[[#This Row],[Wegtype]],"_",TableECFTransport[[#This Row],[Brandstoftechnologie]],"_",TableECFTransport[[#This Row],[Brandstof]])</f>
        <v>BUS_Genummerde wegen_CNG_CNG</v>
      </c>
      <c r="B49" s="1014" t="s">
        <v>687</v>
      </c>
      <c r="C49" s="1014" t="s">
        <v>63</v>
      </c>
      <c r="D49" s="1014" t="s">
        <v>298</v>
      </c>
      <c r="E49" s="1014" t="s">
        <v>298</v>
      </c>
      <c r="F49" s="1013">
        <v>1.2452720009185941E-8</v>
      </c>
    </row>
    <row r="50" spans="1:6">
      <c r="A50" s="1014" t="str">
        <f>CONCATENATE(TableECFTransport[[#This Row],[Voertuigtype]],"_",TableECFTransport[[#This Row],[Wegtype]],"_",TableECFTransport[[#This Row],[Brandstoftechnologie]],"_",TableECFTransport[[#This Row],[Brandstof]])</f>
        <v>BUS_Niet-genummerde wegen_Diesel_Diesel</v>
      </c>
      <c r="B50" s="1014" t="s">
        <v>687</v>
      </c>
      <c r="C50" s="1014" t="s">
        <v>64</v>
      </c>
      <c r="D50" s="1014" t="s">
        <v>195</v>
      </c>
      <c r="E50" s="1014" t="s">
        <v>195</v>
      </c>
      <c r="F50" s="1013">
        <v>1.7569908443369217E-8</v>
      </c>
    </row>
    <row r="51" spans="1:6">
      <c r="A51" s="1014" t="str">
        <f>CONCATENATE(TableECFTransport[[#This Row],[Voertuigtype]],"_",TableECFTransport[[#This Row],[Wegtype]],"_",TableECFTransport[[#This Row],[Brandstoftechnologie]],"_",TableECFTransport[[#This Row],[Brandstof]])</f>
        <v>BUS_Genummerde wegen_Diesel_Diesel</v>
      </c>
      <c r="B51" s="1014" t="s">
        <v>687</v>
      </c>
      <c r="C51" s="1014" t="s">
        <v>63</v>
      </c>
      <c r="D51" s="1014" t="s">
        <v>195</v>
      </c>
      <c r="E51" s="1014" t="s">
        <v>195</v>
      </c>
      <c r="F51" s="1013">
        <v>9.709473010207913E-9</v>
      </c>
    </row>
    <row r="52" spans="1:6">
      <c r="A52" s="1014" t="str">
        <f>CONCATENATE(TableECFTransport[[#This Row],[Voertuigtype]],"_",TableECFTransport[[#This Row],[Wegtype]],"_",TableECFTransport[[#This Row],[Brandstoftechnologie]],"_",TableECFTransport[[#This Row],[Brandstof]])</f>
        <v>BUS_Niet-genummerde wegen_Diesel Hybrid PHEV_Diesel</v>
      </c>
      <c r="B52" s="1014" t="s">
        <v>687</v>
      </c>
      <c r="C52" s="1014" t="s">
        <v>64</v>
      </c>
      <c r="D52" s="1014" t="s">
        <v>859</v>
      </c>
      <c r="E52" s="1014" t="s">
        <v>195</v>
      </c>
      <c r="F52" s="1013">
        <v>1.2122949179999996E-8</v>
      </c>
    </row>
    <row r="53" spans="1:6">
      <c r="A53" s="1014" t="str">
        <f>CONCATENATE(TableECFTransport[[#This Row],[Voertuigtype]],"_",TableECFTransport[[#This Row],[Wegtype]],"_",TableECFTransport[[#This Row],[Brandstoftechnologie]],"_",TableECFTransport[[#This Row],[Brandstof]])</f>
        <v>BUS_Niet-genummerde wegen_Diesel Hybrid PHEV_Electric</v>
      </c>
      <c r="B53" s="1014" t="s">
        <v>687</v>
      </c>
      <c r="C53" s="1014" t="s">
        <v>64</v>
      </c>
      <c r="D53" s="1014" t="s">
        <v>859</v>
      </c>
      <c r="E53" s="1014" t="s">
        <v>299</v>
      </c>
      <c r="F53" s="1013">
        <v>4.040983059999999E-9</v>
      </c>
    </row>
    <row r="54" spans="1:6">
      <c r="A54" s="1014" t="str">
        <f>CONCATENATE(TableECFTransport[[#This Row],[Voertuigtype]],"_",TableECFTransport[[#This Row],[Wegtype]],"_",TableECFTransport[[#This Row],[Brandstoftechnologie]],"_",TableECFTransport[[#This Row],[Brandstof]])</f>
        <v>BUS_Genummerde wegen_Diesel Hybrid PHEV_Diesel</v>
      </c>
      <c r="B54" s="1014" t="s">
        <v>687</v>
      </c>
      <c r="C54" s="1014" t="s">
        <v>63</v>
      </c>
      <c r="D54" s="1014" t="s">
        <v>859</v>
      </c>
      <c r="E54" s="1014" t="s">
        <v>195</v>
      </c>
      <c r="F54" s="1013">
        <v>6.0281746424999994E-9</v>
      </c>
    </row>
    <row r="55" spans="1:6">
      <c r="A55" s="1014" t="str">
        <f>CONCATENATE(TableECFTransport[[#This Row],[Voertuigtype]],"_",TableECFTransport[[#This Row],[Wegtype]],"_",TableECFTransport[[#This Row],[Brandstoftechnologie]],"_",TableECFTransport[[#This Row],[Brandstof]])</f>
        <v>BUS_Genummerde wegen_Diesel Hybrid PHEV_Electric</v>
      </c>
      <c r="B55" s="1014" t="s">
        <v>687</v>
      </c>
      <c r="C55" s="1014" t="s">
        <v>63</v>
      </c>
      <c r="D55" s="1014" t="s">
        <v>859</v>
      </c>
      <c r="E55" s="1014" t="s">
        <v>299</v>
      </c>
      <c r="F55" s="1013">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C31" sqref="C31:AC32"/>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54">
        <v>2013</v>
      </c>
      <c r="B1" s="115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6"/>
      <c r="B2" s="115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6"/>
      <c r="B3" s="115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58"/>
      <c r="B4" s="115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888</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06">
        <v>0</v>
      </c>
      <c r="D7" s="806">
        <v>1.2627740383224952</v>
      </c>
      <c r="E7" s="806">
        <v>0</v>
      </c>
      <c r="F7" s="807">
        <v>1.2627740383224952</v>
      </c>
      <c r="G7" s="806">
        <v>0</v>
      </c>
      <c r="H7" s="806">
        <v>0</v>
      </c>
      <c r="I7" s="806">
        <v>2.3098899999999998</v>
      </c>
      <c r="J7" s="806">
        <v>0.63442543721891831</v>
      </c>
      <c r="K7" s="806">
        <v>0</v>
      </c>
      <c r="L7" s="806">
        <v>66.67934575120924</v>
      </c>
      <c r="M7" s="806">
        <v>0</v>
      </c>
      <c r="N7" s="806">
        <v>0</v>
      </c>
      <c r="O7" s="806">
        <v>0</v>
      </c>
      <c r="P7" s="806">
        <v>0</v>
      </c>
      <c r="Q7" s="806">
        <v>0</v>
      </c>
      <c r="R7" s="807">
        <v>69.623661188428159</v>
      </c>
      <c r="S7" s="806">
        <v>99.04902712177595</v>
      </c>
      <c r="T7" s="806">
        <v>0</v>
      </c>
      <c r="U7" s="806">
        <v>0</v>
      </c>
      <c r="V7" s="807">
        <v>99.04902712177595</v>
      </c>
      <c r="W7" s="807">
        <v>169.93546234852661</v>
      </c>
      <c r="X7" s="806">
        <v>0</v>
      </c>
      <c r="Y7" s="806">
        <v>15.228985413730198</v>
      </c>
      <c r="Z7" s="806">
        <v>41.417220448243533</v>
      </c>
      <c r="AA7" s="808">
        <v>1.3587615994585709</v>
      </c>
      <c r="AB7" s="808">
        <v>0</v>
      </c>
      <c r="AC7" s="807">
        <v>227.94042980995891</v>
      </c>
    </row>
    <row r="8" spans="1:29">
      <c r="A8" s="215" t="s">
        <v>149</v>
      </c>
      <c r="B8" s="216"/>
      <c r="C8" s="809">
        <v>0</v>
      </c>
      <c r="D8" s="809">
        <v>0.134487</v>
      </c>
      <c r="E8" s="809">
        <v>0</v>
      </c>
      <c r="F8" s="810">
        <v>0.134487</v>
      </c>
      <c r="G8" s="809">
        <v>0</v>
      </c>
      <c r="H8" s="809">
        <v>0</v>
      </c>
      <c r="I8" s="809">
        <v>0.26755151160470159</v>
      </c>
      <c r="J8" s="809">
        <v>2.4245884124455891E-3</v>
      </c>
      <c r="K8" s="809">
        <v>0</v>
      </c>
      <c r="L8" s="809">
        <v>5.853010869889042</v>
      </c>
      <c r="M8" s="809">
        <v>0</v>
      </c>
      <c r="N8" s="809">
        <v>6.9920209812000006E-2</v>
      </c>
      <c r="O8" s="809">
        <v>0</v>
      </c>
      <c r="P8" s="809">
        <v>0</v>
      </c>
      <c r="Q8" s="809">
        <v>0</v>
      </c>
      <c r="R8" s="810">
        <v>6.1929071797181896</v>
      </c>
      <c r="S8" s="809">
        <v>51.204787503278162</v>
      </c>
      <c r="T8" s="809">
        <v>0</v>
      </c>
      <c r="U8" s="809">
        <v>0</v>
      </c>
      <c r="V8" s="810">
        <v>51.204787503278162</v>
      </c>
      <c r="W8" s="810">
        <v>57.532181682996352</v>
      </c>
      <c r="X8" s="809">
        <v>1.5570444743999998</v>
      </c>
      <c r="Y8" s="809">
        <v>3.1864667434482379</v>
      </c>
      <c r="Z8" s="809">
        <v>44.162927272026629</v>
      </c>
      <c r="AA8" s="811">
        <v>0.61912686168882924</v>
      </c>
      <c r="AB8" s="811">
        <v>0</v>
      </c>
      <c r="AC8" s="810">
        <v>107.05774703456004</v>
      </c>
    </row>
    <row r="9" spans="1:29">
      <c r="A9" s="3"/>
      <c r="B9" s="6" t="s">
        <v>150</v>
      </c>
      <c r="C9" s="812">
        <v>0</v>
      </c>
      <c r="D9" s="812">
        <v>0</v>
      </c>
      <c r="E9" s="812">
        <v>0</v>
      </c>
      <c r="F9" s="813">
        <v>0</v>
      </c>
      <c r="G9" s="812">
        <v>0</v>
      </c>
      <c r="H9" s="812">
        <v>0</v>
      </c>
      <c r="I9" s="812">
        <v>6.1735905954781796E-2</v>
      </c>
      <c r="J9" s="812">
        <v>0</v>
      </c>
      <c r="K9" s="812">
        <v>0</v>
      </c>
      <c r="L9" s="812">
        <v>1.1792050096072726</v>
      </c>
      <c r="M9" s="812">
        <v>0</v>
      </c>
      <c r="N9" s="812">
        <v>0</v>
      </c>
      <c r="O9" s="812">
        <v>0</v>
      </c>
      <c r="P9" s="812">
        <v>0</v>
      </c>
      <c r="Q9" s="812">
        <v>0</v>
      </c>
      <c r="R9" s="813">
        <v>1.2409409155620543</v>
      </c>
      <c r="S9" s="812">
        <v>6.5849182189147379</v>
      </c>
      <c r="T9" s="812">
        <v>0</v>
      </c>
      <c r="U9" s="812">
        <v>0</v>
      </c>
      <c r="V9" s="813">
        <v>6.5849182189147379</v>
      </c>
      <c r="W9" s="813">
        <v>7.8258591344767918</v>
      </c>
      <c r="X9" s="812">
        <v>0</v>
      </c>
      <c r="Y9" s="812">
        <v>1.2782809573360001E-3</v>
      </c>
      <c r="Z9" s="812">
        <v>4.6954585620216003</v>
      </c>
      <c r="AA9" s="814">
        <v>0</v>
      </c>
      <c r="AB9" s="814">
        <v>0</v>
      </c>
      <c r="AC9" s="813">
        <v>12.522595977455728</v>
      </c>
    </row>
    <row r="10" spans="1:29">
      <c r="A10" s="3"/>
      <c r="B10" s="6" t="s">
        <v>151</v>
      </c>
      <c r="C10" s="812">
        <v>0</v>
      </c>
      <c r="D10" s="812">
        <v>0.134487</v>
      </c>
      <c r="E10" s="812">
        <v>0</v>
      </c>
      <c r="F10" s="813">
        <v>0.134487</v>
      </c>
      <c r="G10" s="812">
        <v>0</v>
      </c>
      <c r="H10" s="812">
        <v>0</v>
      </c>
      <c r="I10" s="812">
        <v>1.1149883525957971E-3</v>
      </c>
      <c r="J10" s="812">
        <v>0</v>
      </c>
      <c r="K10" s="812">
        <v>0</v>
      </c>
      <c r="L10" s="812">
        <v>0.2833763379480041</v>
      </c>
      <c r="M10" s="812">
        <v>0</v>
      </c>
      <c r="N10" s="812">
        <v>0</v>
      </c>
      <c r="O10" s="812">
        <v>0</v>
      </c>
      <c r="P10" s="812">
        <v>0</v>
      </c>
      <c r="Q10" s="812">
        <v>0</v>
      </c>
      <c r="R10" s="813">
        <v>0.28449132630059992</v>
      </c>
      <c r="S10" s="812">
        <v>5.8269126662817854</v>
      </c>
      <c r="T10" s="812">
        <v>0</v>
      </c>
      <c r="U10" s="812">
        <v>0</v>
      </c>
      <c r="V10" s="813">
        <v>5.8269126662817854</v>
      </c>
      <c r="W10" s="813">
        <v>6.2458909925823853</v>
      </c>
      <c r="X10" s="812">
        <v>0</v>
      </c>
      <c r="Y10" s="812">
        <v>3.39927036E-2</v>
      </c>
      <c r="Z10" s="812">
        <v>3.2421460843503005</v>
      </c>
      <c r="AA10" s="814">
        <v>0</v>
      </c>
      <c r="AB10" s="814">
        <v>0</v>
      </c>
      <c r="AC10" s="813">
        <v>9.5220297805326855</v>
      </c>
    </row>
    <row r="11" spans="1:29">
      <c r="A11" s="3"/>
      <c r="B11" s="6" t="s">
        <v>152</v>
      </c>
      <c r="C11" s="812">
        <v>0</v>
      </c>
      <c r="D11" s="812">
        <v>0</v>
      </c>
      <c r="E11" s="812">
        <v>0</v>
      </c>
      <c r="F11" s="813">
        <v>0</v>
      </c>
      <c r="G11" s="812">
        <v>0</v>
      </c>
      <c r="H11" s="812">
        <v>0</v>
      </c>
      <c r="I11" s="812">
        <v>8.6385718263080468E-4</v>
      </c>
      <c r="J11" s="812">
        <v>0</v>
      </c>
      <c r="K11" s="812">
        <v>0</v>
      </c>
      <c r="L11" s="812">
        <v>0.41609048110828917</v>
      </c>
      <c r="M11" s="812">
        <v>0</v>
      </c>
      <c r="N11" s="812">
        <v>0</v>
      </c>
      <c r="O11" s="812">
        <v>0</v>
      </c>
      <c r="P11" s="812">
        <v>0</v>
      </c>
      <c r="Q11" s="812">
        <v>0</v>
      </c>
      <c r="R11" s="813">
        <v>0.41695433829091999</v>
      </c>
      <c r="S11" s="812">
        <v>3.3419067002094311</v>
      </c>
      <c r="T11" s="812">
        <v>0</v>
      </c>
      <c r="U11" s="812">
        <v>0</v>
      </c>
      <c r="V11" s="813">
        <v>3.3419067002094311</v>
      </c>
      <c r="W11" s="813">
        <v>3.7588610385003509</v>
      </c>
      <c r="X11" s="812">
        <v>0</v>
      </c>
      <c r="Y11" s="812">
        <v>0</v>
      </c>
      <c r="Z11" s="812">
        <v>1.2987384106860005</v>
      </c>
      <c r="AA11" s="814">
        <v>0</v>
      </c>
      <c r="AB11" s="814">
        <v>0</v>
      </c>
      <c r="AC11" s="813">
        <v>5.0575994491863518</v>
      </c>
    </row>
    <row r="12" spans="1:29">
      <c r="A12" s="3"/>
      <c r="B12" s="6" t="s">
        <v>153</v>
      </c>
      <c r="C12" s="812">
        <v>0</v>
      </c>
      <c r="D12" s="812">
        <v>0</v>
      </c>
      <c r="E12" s="812">
        <v>0</v>
      </c>
      <c r="F12" s="813">
        <v>0</v>
      </c>
      <c r="G12" s="812">
        <v>0</v>
      </c>
      <c r="H12" s="812">
        <v>0</v>
      </c>
      <c r="I12" s="812">
        <v>0.1449853999102873</v>
      </c>
      <c r="J12" s="812">
        <v>2.4245884124455891E-3</v>
      </c>
      <c r="K12" s="812">
        <v>0</v>
      </c>
      <c r="L12" s="812">
        <v>2.3031905231585892</v>
      </c>
      <c r="M12" s="812">
        <v>0</v>
      </c>
      <c r="N12" s="812">
        <v>0</v>
      </c>
      <c r="O12" s="812">
        <v>0</v>
      </c>
      <c r="P12" s="812">
        <v>0</v>
      </c>
      <c r="Q12" s="812">
        <v>0</v>
      </c>
      <c r="R12" s="813">
        <v>2.4506005114813219</v>
      </c>
      <c r="S12" s="812">
        <v>19.57474986565861</v>
      </c>
      <c r="T12" s="812">
        <v>0</v>
      </c>
      <c r="U12" s="812">
        <v>0</v>
      </c>
      <c r="V12" s="813">
        <v>19.57474986565861</v>
      </c>
      <c r="W12" s="813">
        <v>22.025350377139933</v>
      </c>
      <c r="X12" s="812">
        <v>0</v>
      </c>
      <c r="Y12" s="812">
        <v>0.15106279567369199</v>
      </c>
      <c r="Z12" s="812">
        <v>17.176589886902129</v>
      </c>
      <c r="AA12" s="814">
        <v>0</v>
      </c>
      <c r="AB12" s="814">
        <v>0</v>
      </c>
      <c r="AC12" s="813">
        <v>39.353003059715753</v>
      </c>
    </row>
    <row r="13" spans="1:29">
      <c r="A13" s="3"/>
      <c r="B13" s="6" t="s">
        <v>154</v>
      </c>
      <c r="C13" s="812">
        <v>0</v>
      </c>
      <c r="D13" s="812">
        <v>0</v>
      </c>
      <c r="E13" s="812">
        <v>0</v>
      </c>
      <c r="F13" s="813">
        <v>0</v>
      </c>
      <c r="G13" s="812">
        <v>0</v>
      </c>
      <c r="H13" s="812">
        <v>0</v>
      </c>
      <c r="I13" s="812">
        <v>5.5884083358983261E-2</v>
      </c>
      <c r="J13" s="812">
        <v>0</v>
      </c>
      <c r="K13" s="812">
        <v>0</v>
      </c>
      <c r="L13" s="812">
        <v>0.85760846929005152</v>
      </c>
      <c r="M13" s="812">
        <v>0</v>
      </c>
      <c r="N13" s="812">
        <v>1.0151000000000001E-4</v>
      </c>
      <c r="O13" s="812">
        <v>0</v>
      </c>
      <c r="P13" s="812">
        <v>0</v>
      </c>
      <c r="Q13" s="812">
        <v>0</v>
      </c>
      <c r="R13" s="813">
        <v>0.91359406264903475</v>
      </c>
      <c r="S13" s="812">
        <v>10.743777529645962</v>
      </c>
      <c r="T13" s="812">
        <v>0</v>
      </c>
      <c r="U13" s="812">
        <v>0</v>
      </c>
      <c r="V13" s="813">
        <v>10.743777529645962</v>
      </c>
      <c r="W13" s="813">
        <v>11.657371592294997</v>
      </c>
      <c r="X13" s="812">
        <v>0</v>
      </c>
      <c r="Y13" s="812">
        <v>3.7698556772543995E-2</v>
      </c>
      <c r="Z13" s="812">
        <v>12.760764802153203</v>
      </c>
      <c r="AA13" s="814">
        <v>0</v>
      </c>
      <c r="AB13" s="814">
        <v>0</v>
      </c>
      <c r="AC13" s="813">
        <v>24.455834951220744</v>
      </c>
    </row>
    <row r="14" spans="1:29">
      <c r="A14" s="217"/>
      <c r="B14" s="218" t="s">
        <v>155</v>
      </c>
      <c r="C14" s="815">
        <v>0</v>
      </c>
      <c r="D14" s="815">
        <v>0</v>
      </c>
      <c r="E14" s="815">
        <v>0</v>
      </c>
      <c r="F14" s="816">
        <v>0</v>
      </c>
      <c r="G14" s="812">
        <v>0</v>
      </c>
      <c r="H14" s="812">
        <v>0</v>
      </c>
      <c r="I14" s="812">
        <v>2.9672768454226668E-3</v>
      </c>
      <c r="J14" s="812">
        <v>0</v>
      </c>
      <c r="K14" s="812">
        <v>0</v>
      </c>
      <c r="L14" s="812">
        <v>0.81354004877683439</v>
      </c>
      <c r="M14" s="812">
        <v>0</v>
      </c>
      <c r="N14" s="812">
        <v>6.9818699812000007E-2</v>
      </c>
      <c r="O14" s="812">
        <v>0</v>
      </c>
      <c r="P14" s="812">
        <v>0</v>
      </c>
      <c r="Q14" s="812">
        <v>0</v>
      </c>
      <c r="R14" s="816">
        <v>0.88632602543425709</v>
      </c>
      <c r="S14" s="812">
        <v>5.1325225225676432</v>
      </c>
      <c r="T14" s="815">
        <v>0</v>
      </c>
      <c r="U14" s="815">
        <v>0</v>
      </c>
      <c r="V14" s="816">
        <v>5.1325225225676432</v>
      </c>
      <c r="W14" s="816">
        <v>6.0188485480019001</v>
      </c>
      <c r="X14" s="812">
        <v>1.5570444743999998</v>
      </c>
      <c r="Y14" s="812">
        <v>2.9624344064446659</v>
      </c>
      <c r="Z14" s="812">
        <v>4.9892295259133999</v>
      </c>
      <c r="AA14" s="817">
        <v>0</v>
      </c>
      <c r="AB14" s="817">
        <v>0</v>
      </c>
      <c r="AC14" s="816">
        <v>15.527556954759966</v>
      </c>
    </row>
    <row r="15" spans="1:29">
      <c r="A15" s="215" t="s">
        <v>156</v>
      </c>
      <c r="B15" s="219"/>
      <c r="C15" s="818">
        <v>0</v>
      </c>
      <c r="D15" s="818">
        <v>3.3527639999999526E-3</v>
      </c>
      <c r="E15" s="818">
        <v>0.11638189850000005</v>
      </c>
      <c r="F15" s="819">
        <v>0.11973466250000001</v>
      </c>
      <c r="G15" s="818">
        <v>0</v>
      </c>
      <c r="H15" s="818">
        <v>0</v>
      </c>
      <c r="I15" s="818">
        <v>2.6061698114974821</v>
      </c>
      <c r="J15" s="818">
        <v>0.184388419316556</v>
      </c>
      <c r="K15" s="818">
        <v>0</v>
      </c>
      <c r="L15" s="818">
        <v>10.220933587451345</v>
      </c>
      <c r="M15" s="818">
        <v>0</v>
      </c>
      <c r="N15" s="818">
        <v>0.76091920747193631</v>
      </c>
      <c r="O15" s="818">
        <v>0</v>
      </c>
      <c r="P15" s="818">
        <v>7.6442515000000003E-2</v>
      </c>
      <c r="Q15" s="818">
        <v>0</v>
      </c>
      <c r="R15" s="819">
        <v>13.84885354073732</v>
      </c>
      <c r="S15" s="818">
        <v>34.637629025818477</v>
      </c>
      <c r="T15" s="818">
        <v>0</v>
      </c>
      <c r="U15" s="818">
        <v>0</v>
      </c>
      <c r="V15" s="819">
        <v>34.637629025818477</v>
      </c>
      <c r="W15" s="819">
        <v>48.606217229055794</v>
      </c>
      <c r="X15" s="818">
        <v>0</v>
      </c>
      <c r="Y15" s="818">
        <f>SUM(Y16:Y24)</f>
        <v>2.1680551699135031</v>
      </c>
      <c r="Z15" s="818">
        <v>46.715460296875619</v>
      </c>
      <c r="AA15" s="820">
        <v>0</v>
      </c>
      <c r="AB15" s="820">
        <v>0</v>
      </c>
      <c r="AC15" s="819">
        <f>SUM(W15:Z15)</f>
        <v>97.489732695844907</v>
      </c>
    </row>
    <row r="16" spans="1:29">
      <c r="A16" s="5"/>
      <c r="B16" s="6" t="s">
        <v>34</v>
      </c>
      <c r="C16" s="821">
        <v>0</v>
      </c>
      <c r="D16" s="821">
        <v>0</v>
      </c>
      <c r="E16" s="821">
        <v>0</v>
      </c>
      <c r="F16" s="813">
        <v>0</v>
      </c>
      <c r="G16" s="821">
        <v>0</v>
      </c>
      <c r="H16" s="821">
        <v>0</v>
      </c>
      <c r="I16" s="821">
        <v>2.2935234999999997E-3</v>
      </c>
      <c r="J16" s="821">
        <v>0</v>
      </c>
      <c r="K16" s="821">
        <v>0</v>
      </c>
      <c r="L16" s="821">
        <v>9.387590774359994E-3</v>
      </c>
      <c r="M16" s="821">
        <v>0</v>
      </c>
      <c r="N16" s="821">
        <v>9.7300000000000164E-4</v>
      </c>
      <c r="O16" s="821">
        <v>0</v>
      </c>
      <c r="P16" s="821">
        <v>0</v>
      </c>
      <c r="Q16" s="821">
        <v>0</v>
      </c>
      <c r="R16" s="813">
        <v>1.2654114274359996E-2</v>
      </c>
      <c r="S16" s="821">
        <v>0.27790626908160032</v>
      </c>
      <c r="T16" s="821">
        <v>0</v>
      </c>
      <c r="U16" s="821">
        <v>0</v>
      </c>
      <c r="V16" s="822">
        <v>0.27790626908160032</v>
      </c>
      <c r="W16" s="813">
        <v>0.29056038335596029</v>
      </c>
      <c r="X16" s="821">
        <v>0</v>
      </c>
      <c r="Y16" s="821">
        <v>1.0935E-2</v>
      </c>
      <c r="Z16" s="821">
        <v>0.79655185079999935</v>
      </c>
      <c r="AA16" s="814">
        <v>0</v>
      </c>
      <c r="AB16" s="814">
        <v>0</v>
      </c>
      <c r="AC16" s="813">
        <f t="shared" ref="AC16:AC24" si="0">SUM(W16:Z16)</f>
        <v>1.0980472341559597</v>
      </c>
    </row>
    <row r="17" spans="1:31">
      <c r="A17" s="5"/>
      <c r="B17" s="6" t="s">
        <v>37</v>
      </c>
      <c r="C17" s="821">
        <v>0</v>
      </c>
      <c r="D17" s="821">
        <v>0</v>
      </c>
      <c r="E17" s="821">
        <v>0.10562828850000006</v>
      </c>
      <c r="F17" s="813">
        <v>0.10562828850000006</v>
      </c>
      <c r="G17" s="821">
        <v>0</v>
      </c>
      <c r="H17" s="821">
        <v>0</v>
      </c>
      <c r="I17" s="821">
        <v>7.829461900000004E-5</v>
      </c>
      <c r="J17" s="821">
        <v>0</v>
      </c>
      <c r="K17" s="821">
        <v>0</v>
      </c>
      <c r="L17" s="821">
        <v>7.5267085229930017E-2</v>
      </c>
      <c r="M17" s="821">
        <v>0</v>
      </c>
      <c r="N17" s="821">
        <v>2.9999999999752447E-6</v>
      </c>
      <c r="O17" s="821">
        <v>0</v>
      </c>
      <c r="P17" s="821">
        <v>7.6442515000000003E-2</v>
      </c>
      <c r="Q17" s="821">
        <v>0</v>
      </c>
      <c r="R17" s="813">
        <v>0.15179089484892999</v>
      </c>
      <c r="S17" s="821">
        <v>0.47448499490399865</v>
      </c>
      <c r="T17" s="821">
        <v>0</v>
      </c>
      <c r="U17" s="821">
        <v>0</v>
      </c>
      <c r="V17" s="822">
        <v>0.47448499490399865</v>
      </c>
      <c r="W17" s="813">
        <v>0.73190417825292875</v>
      </c>
      <c r="X17" s="821">
        <v>0</v>
      </c>
      <c r="Y17" s="821">
        <v>0</v>
      </c>
      <c r="Z17" s="821">
        <v>0.33125293799999866</v>
      </c>
      <c r="AA17" s="814">
        <v>0</v>
      </c>
      <c r="AB17" s="814">
        <v>0</v>
      </c>
      <c r="AC17" s="813">
        <f t="shared" si="0"/>
        <v>1.0631571162529274</v>
      </c>
    </row>
    <row r="18" spans="1:31">
      <c r="A18" s="5"/>
      <c r="B18" s="6" t="s">
        <v>35</v>
      </c>
      <c r="C18" s="821">
        <v>0</v>
      </c>
      <c r="D18" s="821">
        <v>0</v>
      </c>
      <c r="E18" s="821">
        <v>0</v>
      </c>
      <c r="F18" s="813">
        <v>0</v>
      </c>
      <c r="G18" s="821">
        <v>0</v>
      </c>
      <c r="H18" s="821">
        <v>0</v>
      </c>
      <c r="I18" s="821">
        <v>0.10508962946620613</v>
      </c>
      <c r="J18" s="821">
        <v>0</v>
      </c>
      <c r="K18" s="821">
        <v>0</v>
      </c>
      <c r="L18" s="821">
        <v>0.92507191436388425</v>
      </c>
      <c r="M18" s="821">
        <v>0</v>
      </c>
      <c r="N18" s="821">
        <v>1.3296699506782746E-2</v>
      </c>
      <c r="O18" s="821">
        <v>0</v>
      </c>
      <c r="P18" s="821">
        <v>0</v>
      </c>
      <c r="Q18" s="821">
        <v>0</v>
      </c>
      <c r="R18" s="813">
        <v>1.0434582433368731</v>
      </c>
      <c r="S18" s="821">
        <v>5.7999113853769604</v>
      </c>
      <c r="T18" s="821">
        <v>0</v>
      </c>
      <c r="U18" s="821">
        <v>0</v>
      </c>
      <c r="V18" s="822">
        <v>5.7999113853769604</v>
      </c>
      <c r="W18" s="813">
        <v>6.8433696287138339</v>
      </c>
      <c r="X18" s="821">
        <v>0</v>
      </c>
      <c r="Y18" s="821">
        <v>9.933931352E-2</v>
      </c>
      <c r="Z18" s="821">
        <v>3.6586314988955979</v>
      </c>
      <c r="AA18" s="814">
        <v>0</v>
      </c>
      <c r="AB18" s="814">
        <v>0</v>
      </c>
      <c r="AC18" s="813">
        <f t="shared" si="0"/>
        <v>10.601340441129432</v>
      </c>
    </row>
    <row r="19" spans="1:31">
      <c r="A19" s="5"/>
      <c r="B19" s="6" t="s">
        <v>32</v>
      </c>
      <c r="C19" s="821">
        <v>0</v>
      </c>
      <c r="D19" s="821">
        <v>0</v>
      </c>
      <c r="E19" s="821">
        <v>0</v>
      </c>
      <c r="F19" s="813">
        <v>0</v>
      </c>
      <c r="G19" s="821">
        <v>0</v>
      </c>
      <c r="H19" s="821">
        <v>0</v>
      </c>
      <c r="I19" s="821">
        <v>2.2375415277780508</v>
      </c>
      <c r="J19" s="821">
        <v>0.184388419316556</v>
      </c>
      <c r="K19" s="821">
        <v>0</v>
      </c>
      <c r="L19" s="821">
        <v>5.4105160678045392</v>
      </c>
      <c r="M19" s="821">
        <v>0</v>
      </c>
      <c r="N19" s="821">
        <v>9.5855650848187562E-2</v>
      </c>
      <c r="O19" s="821">
        <v>0</v>
      </c>
      <c r="P19" s="821">
        <v>0</v>
      </c>
      <c r="Q19" s="821">
        <v>0</v>
      </c>
      <c r="R19" s="813">
        <v>7.9283016657473331</v>
      </c>
      <c r="S19" s="821">
        <v>5.718993851463269</v>
      </c>
      <c r="T19" s="821">
        <v>0</v>
      </c>
      <c r="U19" s="821">
        <v>0</v>
      </c>
      <c r="V19" s="822">
        <v>5.718993851463269</v>
      </c>
      <c r="W19" s="813">
        <v>13.647295517210601</v>
      </c>
      <c r="X19" s="821">
        <v>0</v>
      </c>
      <c r="Y19" s="821">
        <v>0.69887882347800012</v>
      </c>
      <c r="Z19" s="821">
        <v>8.2665119203582638</v>
      </c>
      <c r="AA19" s="814">
        <v>0</v>
      </c>
      <c r="AB19" s="814">
        <v>0</v>
      </c>
      <c r="AC19" s="813">
        <f t="shared" si="0"/>
        <v>22.612686261046868</v>
      </c>
    </row>
    <row r="20" spans="1:31">
      <c r="A20" s="5"/>
      <c r="B20" s="6" t="s">
        <v>40</v>
      </c>
      <c r="C20" s="821">
        <v>0</v>
      </c>
      <c r="D20" s="821">
        <v>0</v>
      </c>
      <c r="E20" s="821">
        <v>2.510000000000099E-5</v>
      </c>
      <c r="F20" s="813">
        <v>2.510000000000099E-5</v>
      </c>
      <c r="G20" s="821">
        <v>0</v>
      </c>
      <c r="H20" s="821">
        <v>0</v>
      </c>
      <c r="I20" s="821">
        <v>0.15475446050376718</v>
      </c>
      <c r="J20" s="821">
        <v>0</v>
      </c>
      <c r="K20" s="821">
        <v>0</v>
      </c>
      <c r="L20" s="821">
        <v>2.5370616797411265</v>
      </c>
      <c r="M20" s="821">
        <v>0</v>
      </c>
      <c r="N20" s="821">
        <v>0.2921001806780173</v>
      </c>
      <c r="O20" s="821">
        <v>0</v>
      </c>
      <c r="P20" s="821">
        <v>0</v>
      </c>
      <c r="Q20" s="821">
        <v>0</v>
      </c>
      <c r="R20" s="813">
        <v>2.9839163209229111</v>
      </c>
      <c r="S20" s="821">
        <v>10.321371021532492</v>
      </c>
      <c r="T20" s="821">
        <v>0</v>
      </c>
      <c r="U20" s="821">
        <v>0</v>
      </c>
      <c r="V20" s="822">
        <v>10.321371021532492</v>
      </c>
      <c r="W20" s="813">
        <v>13.305312442455403</v>
      </c>
      <c r="X20" s="821">
        <v>0</v>
      </c>
      <c r="Y20" s="821">
        <v>0.55738253122691295</v>
      </c>
      <c r="Z20" s="821">
        <v>1.8973774079524568</v>
      </c>
      <c r="AA20" s="814">
        <v>0</v>
      </c>
      <c r="AB20" s="814">
        <v>0</v>
      </c>
      <c r="AC20" s="813">
        <f t="shared" si="0"/>
        <v>15.760072381634773</v>
      </c>
    </row>
    <row r="21" spans="1:31">
      <c r="A21" s="5"/>
      <c r="B21" s="6" t="s">
        <v>39</v>
      </c>
      <c r="C21" s="821">
        <v>0</v>
      </c>
      <c r="D21" s="821">
        <v>0</v>
      </c>
      <c r="E21" s="821">
        <v>0</v>
      </c>
      <c r="F21" s="813">
        <v>0</v>
      </c>
      <c r="G21" s="821">
        <v>0</v>
      </c>
      <c r="H21" s="821">
        <v>0</v>
      </c>
      <c r="I21" s="821">
        <v>1.2498371933289179E-3</v>
      </c>
      <c r="J21" s="821">
        <v>0</v>
      </c>
      <c r="K21" s="821">
        <v>0</v>
      </c>
      <c r="L21" s="821">
        <v>0.14010828125236954</v>
      </c>
      <c r="M21" s="821">
        <v>0</v>
      </c>
      <c r="N21" s="821">
        <v>9.2123103091595257E-2</v>
      </c>
      <c r="O21" s="821">
        <v>0</v>
      </c>
      <c r="P21" s="821">
        <v>0</v>
      </c>
      <c r="Q21" s="821">
        <v>0</v>
      </c>
      <c r="R21" s="813">
        <v>0.23348122153729373</v>
      </c>
      <c r="S21" s="821">
        <v>2.5000407776217317</v>
      </c>
      <c r="T21" s="821">
        <v>0</v>
      </c>
      <c r="U21" s="821">
        <v>0</v>
      </c>
      <c r="V21" s="822">
        <v>2.5000407776217317</v>
      </c>
      <c r="W21" s="813">
        <v>2.7335219991590254</v>
      </c>
      <c r="X21" s="821">
        <v>0</v>
      </c>
      <c r="Y21" s="821">
        <v>2.9318E-2</v>
      </c>
      <c r="Z21" s="821">
        <v>6.3052885416522999</v>
      </c>
      <c r="AA21" s="814">
        <v>0</v>
      </c>
      <c r="AB21" s="814">
        <v>0</v>
      </c>
      <c r="AC21" s="813">
        <f t="shared" si="0"/>
        <v>9.0681285408113261</v>
      </c>
    </row>
    <row r="22" spans="1:31">
      <c r="A22" s="5"/>
      <c r="B22" s="6" t="s">
        <v>36</v>
      </c>
      <c r="C22" s="821">
        <v>0</v>
      </c>
      <c r="D22" s="821">
        <v>3.3527639999999526E-3</v>
      </c>
      <c r="E22" s="821">
        <v>1.072851E-2</v>
      </c>
      <c r="F22" s="813">
        <v>1.4081273999999953E-2</v>
      </c>
      <c r="G22" s="821">
        <v>0</v>
      </c>
      <c r="H22" s="821">
        <v>0</v>
      </c>
      <c r="I22" s="821">
        <v>1.9943963643658139E-2</v>
      </c>
      <c r="J22" s="821">
        <v>0</v>
      </c>
      <c r="K22" s="821">
        <v>0</v>
      </c>
      <c r="L22" s="821">
        <v>0.70752090173298887</v>
      </c>
      <c r="M22" s="821">
        <v>0</v>
      </c>
      <c r="N22" s="821">
        <v>0.25805649014735349</v>
      </c>
      <c r="O22" s="821">
        <v>0</v>
      </c>
      <c r="P22" s="821">
        <v>0</v>
      </c>
      <c r="Q22" s="821">
        <v>0</v>
      </c>
      <c r="R22" s="813">
        <v>0.98552135552400055</v>
      </c>
      <c r="S22" s="821">
        <v>1.1172992073252397</v>
      </c>
      <c r="T22" s="821">
        <v>0</v>
      </c>
      <c r="U22" s="821">
        <v>0</v>
      </c>
      <c r="V22" s="822">
        <v>1.1172992073252397</v>
      </c>
      <c r="W22" s="813">
        <v>2.11690183684924</v>
      </c>
      <c r="X22" s="821">
        <v>0</v>
      </c>
      <c r="Y22" s="821">
        <v>0</v>
      </c>
      <c r="Z22" s="821">
        <v>2.5602723367464337</v>
      </c>
      <c r="AA22" s="814">
        <v>0</v>
      </c>
      <c r="AB22" s="814">
        <v>0</v>
      </c>
      <c r="AC22" s="813">
        <f t="shared" si="0"/>
        <v>4.6771741735956738</v>
      </c>
    </row>
    <row r="23" spans="1:31">
      <c r="A23" s="5"/>
      <c r="B23" s="6" t="s">
        <v>38</v>
      </c>
      <c r="C23" s="821">
        <v>0</v>
      </c>
      <c r="D23" s="821">
        <v>0</v>
      </c>
      <c r="E23" s="821">
        <v>0</v>
      </c>
      <c r="F23" s="813">
        <v>0</v>
      </c>
      <c r="G23" s="821">
        <v>0</v>
      </c>
      <c r="H23" s="821">
        <v>0</v>
      </c>
      <c r="I23" s="821">
        <v>2.682351697439056E-2</v>
      </c>
      <c r="J23" s="821">
        <v>0</v>
      </c>
      <c r="K23" s="821">
        <v>0</v>
      </c>
      <c r="L23" s="821">
        <v>0.19104797556613398</v>
      </c>
      <c r="M23" s="821">
        <v>0</v>
      </c>
      <c r="N23" s="821">
        <v>0</v>
      </c>
      <c r="O23" s="821">
        <v>0</v>
      </c>
      <c r="P23" s="821">
        <v>0</v>
      </c>
      <c r="Q23" s="821">
        <v>0</v>
      </c>
      <c r="R23" s="813">
        <v>0.21787149254052454</v>
      </c>
      <c r="S23" s="821">
        <v>0.45101149822999931</v>
      </c>
      <c r="T23" s="821">
        <v>0</v>
      </c>
      <c r="U23" s="821">
        <v>0</v>
      </c>
      <c r="V23" s="822">
        <v>0.45101149822999931</v>
      </c>
      <c r="W23" s="813">
        <v>0.66888299077052382</v>
      </c>
      <c r="X23" s="821">
        <v>0</v>
      </c>
      <c r="Y23" s="821">
        <v>0.47231488668859001</v>
      </c>
      <c r="Z23" s="821">
        <v>10.546674080698569</v>
      </c>
      <c r="AA23" s="814">
        <v>0</v>
      </c>
      <c r="AB23" s="814">
        <v>0</v>
      </c>
      <c r="AC23" s="813">
        <f t="shared" si="0"/>
        <v>11.687871958157682</v>
      </c>
    </row>
    <row r="24" spans="1:31">
      <c r="A24" s="220"/>
      <c r="B24" s="218" t="s">
        <v>33</v>
      </c>
      <c r="C24" s="821">
        <v>0</v>
      </c>
      <c r="D24" s="821">
        <v>0</v>
      </c>
      <c r="E24" s="821">
        <v>0</v>
      </c>
      <c r="F24" s="813">
        <v>0</v>
      </c>
      <c r="G24" s="821">
        <v>0</v>
      </c>
      <c r="H24" s="821">
        <v>0</v>
      </c>
      <c r="I24" s="821">
        <v>5.8395057819079998E-2</v>
      </c>
      <c r="J24" s="821">
        <v>0</v>
      </c>
      <c r="K24" s="821">
        <v>0</v>
      </c>
      <c r="L24" s="821">
        <v>0.22495209098601207</v>
      </c>
      <c r="M24" s="821">
        <v>0</v>
      </c>
      <c r="N24" s="821">
        <v>8.5110831999999359E-3</v>
      </c>
      <c r="O24" s="821">
        <v>0</v>
      </c>
      <c r="P24" s="821">
        <v>0</v>
      </c>
      <c r="Q24" s="821">
        <v>0</v>
      </c>
      <c r="R24" s="813">
        <v>0.29185823200509198</v>
      </c>
      <c r="S24" s="821">
        <v>7.9766100202831893</v>
      </c>
      <c r="T24" s="821">
        <v>0</v>
      </c>
      <c r="U24" s="821">
        <v>0</v>
      </c>
      <c r="V24" s="822">
        <v>7.9766100202831893</v>
      </c>
      <c r="W24" s="813">
        <v>8.2684682522882813</v>
      </c>
      <c r="X24" s="821">
        <v>0</v>
      </c>
      <c r="Y24" s="821">
        <v>0.29988661499999997</v>
      </c>
      <c r="Z24" s="821">
        <v>12.352899721772001</v>
      </c>
      <c r="AA24" s="814">
        <v>0</v>
      </c>
      <c r="AB24" s="814">
        <v>0</v>
      </c>
      <c r="AC24" s="816">
        <f t="shared" si="0"/>
        <v>20.921254589060283</v>
      </c>
    </row>
    <row r="25" spans="1:31">
      <c r="A25" s="5" t="s">
        <v>646</v>
      </c>
      <c r="B25" s="128"/>
      <c r="C25" s="818">
        <f>SUM(C27:C32)</f>
        <v>0</v>
      </c>
      <c r="D25" s="818">
        <f t="shared" ref="D25:Y25" si="1">SUM(D27:D32)</f>
        <v>0.29605056654703715</v>
      </c>
      <c r="E25" s="818">
        <f t="shared" si="1"/>
        <v>0</v>
      </c>
      <c r="F25" s="818">
        <f t="shared" si="1"/>
        <v>0.29605056654703715</v>
      </c>
      <c r="G25" s="818">
        <f t="shared" si="1"/>
        <v>0</v>
      </c>
      <c r="H25" s="818">
        <f t="shared" si="1"/>
        <v>0</v>
      </c>
      <c r="I25" s="818">
        <f t="shared" si="1"/>
        <v>5.3598458650055254E-2</v>
      </c>
      <c r="J25" s="818">
        <f t="shared" si="1"/>
        <v>9.7930085967777733E-2</v>
      </c>
      <c r="K25" s="818">
        <f t="shared" si="1"/>
        <v>0</v>
      </c>
      <c r="L25" s="818">
        <f t="shared" si="1"/>
        <v>8.7359689048613678</v>
      </c>
      <c r="M25" s="818">
        <f t="shared" si="1"/>
        <v>0</v>
      </c>
      <c r="N25" s="818">
        <f t="shared" si="1"/>
        <v>0.38615796896308907</v>
      </c>
      <c r="O25" s="818">
        <f t="shared" si="1"/>
        <v>0</v>
      </c>
      <c r="P25" s="818">
        <f t="shared" si="1"/>
        <v>0</v>
      </c>
      <c r="Q25" s="818">
        <f t="shared" si="1"/>
        <v>0</v>
      </c>
      <c r="R25" s="818">
        <f t="shared" si="1"/>
        <v>9.2736554184422886</v>
      </c>
      <c r="S25" s="818">
        <f t="shared" si="1"/>
        <v>15.459119149886043</v>
      </c>
      <c r="T25" s="818">
        <f t="shared" si="1"/>
        <v>0</v>
      </c>
      <c r="U25" s="818">
        <f t="shared" si="1"/>
        <v>0</v>
      </c>
      <c r="V25" s="818">
        <f t="shared" si="1"/>
        <v>15.459119149886043</v>
      </c>
      <c r="W25" s="818">
        <f t="shared" si="1"/>
        <v>25.028825134875365</v>
      </c>
      <c r="X25" s="818">
        <f t="shared" si="1"/>
        <v>0</v>
      </c>
      <c r="Y25" s="818">
        <f t="shared" si="1"/>
        <v>3.285578027945864</v>
      </c>
      <c r="Z25" s="811">
        <f>SUM(Z27:Z32)</f>
        <v>-1.9031697183535135</v>
      </c>
      <c r="AA25" s="820">
        <f>SUM(AA27:AA32)</f>
        <v>0</v>
      </c>
      <c r="AB25" s="820">
        <f>SUM(AB27:AB32)</f>
        <v>0</v>
      </c>
      <c r="AC25" s="810">
        <f>SUM(AC27:AC32)</f>
        <v>26.411233444467719</v>
      </c>
      <c r="AE25" s="38"/>
    </row>
    <row r="26" spans="1:31">
      <c r="A26" s="5"/>
      <c r="B26" s="128"/>
      <c r="C26" s="823"/>
      <c r="D26" s="824"/>
      <c r="E26" s="823"/>
      <c r="F26" s="813"/>
      <c r="G26" s="824"/>
      <c r="H26" s="824"/>
      <c r="I26" s="824"/>
      <c r="J26" s="824"/>
      <c r="K26" s="824"/>
      <c r="L26" s="824"/>
      <c r="M26" s="824"/>
      <c r="N26" s="824"/>
      <c r="O26" s="824"/>
      <c r="P26" s="824"/>
      <c r="Q26" s="824"/>
      <c r="R26" s="813"/>
      <c r="S26" s="824"/>
      <c r="T26" s="823"/>
      <c r="U26" s="823"/>
      <c r="V26" s="813"/>
      <c r="W26" s="813"/>
      <c r="X26" s="823"/>
      <c r="Y26" s="827"/>
      <c r="Z26" s="827">
        <v>2.5812283555223998</v>
      </c>
      <c r="AA26" s="828"/>
      <c r="AB26" s="825"/>
      <c r="AC26" s="826"/>
      <c r="AE26" s="38"/>
    </row>
    <row r="27" spans="1:31">
      <c r="A27" s="3"/>
      <c r="B27" s="6" t="s">
        <v>157</v>
      </c>
      <c r="C27" s="812">
        <v>0</v>
      </c>
      <c r="D27" s="812">
        <v>7.6253097211069053E-3</v>
      </c>
      <c r="E27" s="812">
        <v>0</v>
      </c>
      <c r="F27" s="813">
        <v>7.6253097211069053E-3</v>
      </c>
      <c r="G27" s="812">
        <v>0</v>
      </c>
      <c r="H27" s="812">
        <v>0</v>
      </c>
      <c r="I27" s="812">
        <v>3.3910835430749284E-2</v>
      </c>
      <c r="J27" s="812">
        <v>2.0004688828728195E-4</v>
      </c>
      <c r="K27" s="812">
        <v>0</v>
      </c>
      <c r="L27" s="812">
        <v>5.1867699065520734</v>
      </c>
      <c r="M27" s="812">
        <v>0</v>
      </c>
      <c r="N27" s="812">
        <v>0</v>
      </c>
      <c r="O27" s="812">
        <v>0</v>
      </c>
      <c r="P27" s="812">
        <v>0</v>
      </c>
      <c r="Q27" s="812">
        <v>0</v>
      </c>
      <c r="R27" s="813">
        <v>5.22088078887111</v>
      </c>
      <c r="S27" s="812">
        <v>9.4005816719817129E-2</v>
      </c>
      <c r="T27" s="812">
        <v>0</v>
      </c>
      <c r="U27" s="812">
        <v>0</v>
      </c>
      <c r="V27" s="813">
        <v>9.4005816719817129E-2</v>
      </c>
      <c r="W27" s="813">
        <v>5.3225119153120337</v>
      </c>
      <c r="X27" s="812">
        <v>0</v>
      </c>
      <c r="Y27" s="812">
        <v>1.140789547865753</v>
      </c>
      <c r="Z27" s="812">
        <v>2.084596136907261</v>
      </c>
      <c r="AA27" s="814">
        <v>0</v>
      </c>
      <c r="AB27" s="814">
        <v>0</v>
      </c>
      <c r="AC27" s="813">
        <v>8.5478976000850473</v>
      </c>
    </row>
    <row r="28" spans="1:31">
      <c r="A28" s="3"/>
      <c r="B28" s="6" t="s">
        <v>158</v>
      </c>
      <c r="C28" s="812">
        <v>0</v>
      </c>
      <c r="D28" s="812">
        <v>3.4540946550858152E-4</v>
      </c>
      <c r="E28" s="812">
        <v>0</v>
      </c>
      <c r="F28" s="813">
        <v>3.4540946550858152E-4</v>
      </c>
      <c r="G28" s="812">
        <v>0</v>
      </c>
      <c r="H28" s="812">
        <v>0</v>
      </c>
      <c r="I28" s="812">
        <v>3.5358357807804548E-3</v>
      </c>
      <c r="J28" s="812">
        <v>3.1594804458963123E-4</v>
      </c>
      <c r="K28" s="812">
        <v>0</v>
      </c>
      <c r="L28" s="812">
        <v>1.7549987372628075</v>
      </c>
      <c r="M28" s="812">
        <v>0</v>
      </c>
      <c r="N28" s="812">
        <v>0</v>
      </c>
      <c r="O28" s="812">
        <v>0</v>
      </c>
      <c r="P28" s="812">
        <v>0</v>
      </c>
      <c r="Q28" s="812">
        <v>0</v>
      </c>
      <c r="R28" s="813">
        <v>1.7588505210881775</v>
      </c>
      <c r="S28" s="812">
        <v>2.3990592605039662E-2</v>
      </c>
      <c r="T28" s="812">
        <v>0</v>
      </c>
      <c r="U28" s="812">
        <v>0</v>
      </c>
      <c r="V28" s="813">
        <v>2.3990592605039662E-2</v>
      </c>
      <c r="W28" s="813">
        <v>1.7831865231587258</v>
      </c>
      <c r="X28" s="812">
        <v>0</v>
      </c>
      <c r="Y28" s="812">
        <v>1.6930448043989255</v>
      </c>
      <c r="Z28" s="812">
        <v>0.22681243486224839</v>
      </c>
      <c r="AA28" s="814">
        <v>0</v>
      </c>
      <c r="AB28" s="814">
        <v>0</v>
      </c>
      <c r="AC28" s="813">
        <v>3.7030437624198997</v>
      </c>
    </row>
    <row r="29" spans="1:31">
      <c r="A29" s="3"/>
      <c r="B29" s="6" t="s">
        <v>159</v>
      </c>
      <c r="C29" s="812">
        <v>0</v>
      </c>
      <c r="D29" s="812">
        <v>0.20473685453153675</v>
      </c>
      <c r="E29" s="812">
        <v>0</v>
      </c>
      <c r="F29" s="813">
        <v>0.20473685453153675</v>
      </c>
      <c r="G29" s="812">
        <v>0</v>
      </c>
      <c r="H29" s="812">
        <v>0</v>
      </c>
      <c r="I29" s="812">
        <v>6.8648125621720455E-3</v>
      </c>
      <c r="J29" s="812">
        <v>1.8989043112373641E-3</v>
      </c>
      <c r="K29" s="812">
        <v>0</v>
      </c>
      <c r="L29" s="812">
        <v>0.83863754130639356</v>
      </c>
      <c r="M29" s="812">
        <v>0</v>
      </c>
      <c r="N29" s="812">
        <v>0.37104232430242812</v>
      </c>
      <c r="O29" s="812">
        <v>0</v>
      </c>
      <c r="P29" s="812">
        <v>0</v>
      </c>
      <c r="Q29" s="812">
        <v>0</v>
      </c>
      <c r="R29" s="813">
        <v>1.2184435824822311</v>
      </c>
      <c r="S29" s="812">
        <v>15.248433913247117</v>
      </c>
      <c r="T29" s="812">
        <v>0</v>
      </c>
      <c r="U29" s="812">
        <v>0</v>
      </c>
      <c r="V29" s="813">
        <v>15.248433913247117</v>
      </c>
      <c r="W29" s="813">
        <v>16.671614350260885</v>
      </c>
      <c r="X29" s="812">
        <v>0</v>
      </c>
      <c r="Y29" s="812">
        <v>0.45156987568118601</v>
      </c>
      <c r="Z29" s="812">
        <v>-5.0031198292992789</v>
      </c>
      <c r="AA29" s="814">
        <v>0</v>
      </c>
      <c r="AB29" s="814">
        <v>0</v>
      </c>
      <c r="AC29" s="813">
        <v>12.120064396642793</v>
      </c>
    </row>
    <row r="30" spans="1:31">
      <c r="A30" s="3"/>
      <c r="B30" s="6" t="s">
        <v>160</v>
      </c>
      <c r="C30" s="812">
        <v>0</v>
      </c>
      <c r="D30" s="812">
        <v>8.3342992828884924E-2</v>
      </c>
      <c r="E30" s="812">
        <v>0</v>
      </c>
      <c r="F30" s="813">
        <v>8.3342992828884924E-2</v>
      </c>
      <c r="G30" s="812">
        <v>0</v>
      </c>
      <c r="H30" s="812">
        <v>0</v>
      </c>
      <c r="I30" s="812">
        <v>9.2852171892564717E-3</v>
      </c>
      <c r="J30" s="812">
        <v>5.716924570573983E-3</v>
      </c>
      <c r="K30" s="812">
        <v>0</v>
      </c>
      <c r="L30" s="812">
        <v>0.94533253000829265</v>
      </c>
      <c r="M30" s="812">
        <v>0</v>
      </c>
      <c r="N30" s="812">
        <v>1.5115644660660928E-2</v>
      </c>
      <c r="O30" s="812">
        <v>0</v>
      </c>
      <c r="P30" s="812">
        <v>0</v>
      </c>
      <c r="Q30" s="812">
        <v>0</v>
      </c>
      <c r="R30" s="813">
        <v>0.9754503164287841</v>
      </c>
      <c r="S30" s="812">
        <v>9.2688827314067898E-2</v>
      </c>
      <c r="T30" s="812">
        <v>0</v>
      </c>
      <c r="U30" s="812">
        <v>0</v>
      </c>
      <c r="V30" s="813">
        <v>9.2688827314067898E-2</v>
      </c>
      <c r="W30" s="813">
        <v>1.1514821365717369</v>
      </c>
      <c r="X30" s="812">
        <v>0</v>
      </c>
      <c r="Y30" s="812">
        <v>1.7380000000000002E-4</v>
      </c>
      <c r="Z30" s="812">
        <v>0.78849184276025619</v>
      </c>
      <c r="AA30" s="814">
        <v>0</v>
      </c>
      <c r="AB30" s="814">
        <v>0</v>
      </c>
      <c r="AC30" s="813">
        <v>1.9401477793319932</v>
      </c>
    </row>
    <row r="31" spans="1:31">
      <c r="A31" s="3"/>
      <c r="B31" s="6" t="s">
        <v>161</v>
      </c>
      <c r="C31" s="812">
        <v>0</v>
      </c>
      <c r="D31" s="812">
        <v>0</v>
      </c>
      <c r="E31" s="812">
        <v>0</v>
      </c>
      <c r="F31" s="813">
        <v>0</v>
      </c>
      <c r="G31" s="812">
        <v>0</v>
      </c>
      <c r="H31" s="812">
        <v>0</v>
      </c>
      <c r="I31" s="812">
        <v>1.7576870969999996E-6</v>
      </c>
      <c r="J31" s="812">
        <v>8.6830058340493635E-2</v>
      </c>
      <c r="K31" s="812">
        <v>0</v>
      </c>
      <c r="L31" s="812">
        <v>6.8157765275399847E-3</v>
      </c>
      <c r="M31" s="812">
        <v>0</v>
      </c>
      <c r="N31" s="812">
        <v>0</v>
      </c>
      <c r="O31" s="812">
        <v>0</v>
      </c>
      <c r="P31" s="812">
        <v>0</v>
      </c>
      <c r="Q31" s="812">
        <v>0</v>
      </c>
      <c r="R31" s="813">
        <v>9.364759255513061E-2</v>
      </c>
      <c r="S31" s="812">
        <v>0</v>
      </c>
      <c r="T31" s="812">
        <v>0</v>
      </c>
      <c r="U31" s="812">
        <v>0</v>
      </c>
      <c r="V31" s="813">
        <v>0</v>
      </c>
      <c r="W31" s="813">
        <v>9.364759255513061E-2</v>
      </c>
      <c r="X31" s="812">
        <v>0</v>
      </c>
      <c r="Y31" s="812">
        <v>0</v>
      </c>
      <c r="Z31" s="812">
        <v>0</v>
      </c>
      <c r="AA31" s="814">
        <v>0</v>
      </c>
      <c r="AB31" s="814">
        <v>0</v>
      </c>
      <c r="AC31" s="813">
        <v>9.364759255513061E-2</v>
      </c>
    </row>
    <row r="32" spans="1:31">
      <c r="A32" s="4"/>
      <c r="B32" s="127" t="s">
        <v>162</v>
      </c>
      <c r="C32" s="830">
        <v>0</v>
      </c>
      <c r="D32" s="830">
        <v>0</v>
      </c>
      <c r="E32" s="830">
        <v>0</v>
      </c>
      <c r="F32" s="829">
        <v>0</v>
      </c>
      <c r="G32" s="830">
        <v>0</v>
      </c>
      <c r="H32" s="830">
        <v>0</v>
      </c>
      <c r="I32" s="830">
        <v>0</v>
      </c>
      <c r="J32" s="830">
        <v>2.96820381259584E-3</v>
      </c>
      <c r="K32" s="830">
        <v>0</v>
      </c>
      <c r="L32" s="830">
        <v>3.4144132042592998E-3</v>
      </c>
      <c r="M32" s="830">
        <v>0</v>
      </c>
      <c r="N32" s="830">
        <v>0</v>
      </c>
      <c r="O32" s="830">
        <v>0</v>
      </c>
      <c r="P32" s="830">
        <v>0</v>
      </c>
      <c r="Q32" s="830">
        <v>0</v>
      </c>
      <c r="R32" s="829">
        <v>6.3826170168551398E-3</v>
      </c>
      <c r="S32" s="830">
        <v>0</v>
      </c>
      <c r="T32" s="830">
        <v>0</v>
      </c>
      <c r="U32" s="830">
        <v>0</v>
      </c>
      <c r="V32" s="829">
        <v>0</v>
      </c>
      <c r="W32" s="829">
        <v>6.3826170168551398E-3</v>
      </c>
      <c r="X32" s="830">
        <v>0</v>
      </c>
      <c r="Y32" s="830">
        <v>0</v>
      </c>
      <c r="Z32" s="830">
        <v>4.9696416000000005E-5</v>
      </c>
      <c r="AA32" s="831">
        <v>0</v>
      </c>
      <c r="AB32" s="831">
        <v>0</v>
      </c>
      <c r="AC32" s="829">
        <v>6.43231343285514E-3</v>
      </c>
    </row>
    <row r="37" spans="8:24">
      <c r="X37" s="858"/>
    </row>
    <row r="38" spans="8:24">
      <c r="H38" s="843"/>
      <c r="X38" s="858"/>
    </row>
    <row r="39" spans="8:24">
      <c r="X39" s="858"/>
    </row>
    <row r="40" spans="8:24">
      <c r="X40" s="858"/>
    </row>
    <row r="41" spans="8:24">
      <c r="X41" s="858"/>
    </row>
    <row r="42" spans="8:24">
      <c r="X42" s="858"/>
    </row>
    <row r="43" spans="8:24">
      <c r="X43" s="858"/>
    </row>
    <row r="44" spans="8:24">
      <c r="X44" s="858"/>
    </row>
    <row r="45" spans="8:24">
      <c r="X45" s="858"/>
    </row>
    <row r="46" spans="8:24">
      <c r="X46" s="32"/>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0" t="s">
        <v>466</v>
      </c>
      <c r="B2" s="1161"/>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3" t="s">
        <v>484</v>
      </c>
    </row>
    <row r="7" spans="1:3" s="11" customFormat="1">
      <c r="A7" s="132"/>
      <c r="B7" s="133"/>
      <c r="C7" s="134"/>
    </row>
    <row r="8" spans="1:3" s="11" customFormat="1" ht="60">
      <c r="A8" s="113" t="s">
        <v>148</v>
      </c>
      <c r="B8" s="130" t="s">
        <v>468</v>
      </c>
      <c r="C8" s="308" t="s">
        <v>485</v>
      </c>
    </row>
    <row r="9" spans="1:3" s="11" customFormat="1">
      <c r="A9" s="132"/>
      <c r="B9" s="133"/>
      <c r="C9" s="134"/>
    </row>
    <row r="10" spans="1:3" s="11" customFormat="1" ht="60">
      <c r="A10" s="113" t="s">
        <v>149</v>
      </c>
      <c r="B10" s="130" t="s">
        <v>468</v>
      </c>
      <c r="C10" s="308" t="s">
        <v>485</v>
      </c>
    </row>
    <row r="11" spans="1:3" s="11" customFormat="1">
      <c r="A11" s="132"/>
      <c r="B11" s="133"/>
      <c r="C11" s="134"/>
    </row>
    <row r="12" spans="1:3" s="11" customFormat="1" ht="60">
      <c r="A12" s="113" t="s">
        <v>377</v>
      </c>
      <c r="B12" s="130" t="s">
        <v>468</v>
      </c>
      <c r="C12" s="308" t="s">
        <v>485</v>
      </c>
    </row>
    <row r="13" spans="1:3" s="11" customFormat="1">
      <c r="A13" s="132"/>
      <c r="B13" s="133"/>
      <c r="C13" s="134"/>
    </row>
    <row r="14" spans="1:3" s="11" customFormat="1" ht="60">
      <c r="A14" s="113" t="s">
        <v>105</v>
      </c>
      <c r="B14" s="130" t="s">
        <v>486</v>
      </c>
      <c r="C14" s="308" t="s">
        <v>485</v>
      </c>
    </row>
    <row r="15" spans="1:3" s="11" customFormat="1" ht="63">
      <c r="A15" s="123"/>
      <c r="B15" s="130" t="s">
        <v>487</v>
      </c>
      <c r="C15" s="308" t="s">
        <v>491</v>
      </c>
    </row>
    <row r="16" spans="1:3" s="11" customFormat="1">
      <c r="A16" s="132"/>
      <c r="B16" s="133"/>
      <c r="C16" s="134"/>
    </row>
    <row r="17" spans="1:3" s="11" customFormat="1" ht="45">
      <c r="A17" s="113" t="s">
        <v>467</v>
      </c>
      <c r="B17" s="130" t="s">
        <v>536</v>
      </c>
      <c r="C17" s="163" t="s">
        <v>537</v>
      </c>
    </row>
    <row r="18" spans="1:3" s="11" customFormat="1">
      <c r="A18" s="132"/>
      <c r="B18" s="133"/>
      <c r="C18" s="134"/>
    </row>
    <row r="19" spans="1:3" s="11" customFormat="1" ht="60">
      <c r="A19" s="113" t="s">
        <v>380</v>
      </c>
      <c r="B19" s="307" t="s">
        <v>534</v>
      </c>
      <c r="C19" s="163" t="s">
        <v>535</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62" t="s">
        <v>187</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2145.9569999999999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532</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21">
        <f>MAX((B5+B6),0)</f>
        <v>2145.9569999999999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0.17420263799879329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373.83137043197644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28"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62" t="s">
        <v>148</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49317.8114879407</v>
      </c>
      <c r="C5" s="17">
        <f>IF(ISERROR('Eigen informatie GS &amp; warmtenet'!B57),0,'Eigen informatie GS &amp; warmtenet'!B57)</f>
        <v>0</v>
      </c>
      <c r="D5" s="30">
        <f>(SUM(HH_hh_gas_kWh,HH_rest_gas_kWh)/1000)*0.902</f>
        <v>85864.204440023634</v>
      </c>
      <c r="E5" s="17">
        <f>B32*B41</f>
        <v>3286.9238810126503</v>
      </c>
      <c r="F5" s="17">
        <f>B36*B45</f>
        <v>100729.33624856631</v>
      </c>
      <c r="G5" s="18"/>
      <c r="H5" s="17"/>
      <c r="I5" s="17"/>
      <c r="J5" s="17">
        <f>B35*B44+C35*C44</f>
        <v>1907.6130588734791</v>
      </c>
      <c r="K5" s="17"/>
      <c r="L5" s="17"/>
      <c r="M5" s="17"/>
      <c r="N5" s="17">
        <f>B34*B43+C34*C43</f>
        <v>17402.249409768185</v>
      </c>
      <c r="O5" s="17">
        <f>B52*B53*B54</f>
        <v>356.44</v>
      </c>
      <c r="P5" s="17">
        <f>B60*B61*B62/1000-B60*B61*B62/1000/B63</f>
        <v>1144</v>
      </c>
    </row>
    <row r="6" spans="1:16">
      <c r="A6" s="16" t="s">
        <v>592</v>
      </c>
      <c r="B6" s="733">
        <f>kWh_PV_kleiner_dan_10kW</f>
        <v>4651.1060106540144</v>
      </c>
      <c r="C6" s="734"/>
      <c r="D6" s="734"/>
      <c r="E6" s="735"/>
      <c r="F6" s="735"/>
      <c r="G6" s="735"/>
      <c r="H6" s="735"/>
      <c r="I6" s="735"/>
      <c r="J6" s="735"/>
      <c r="K6" s="735"/>
      <c r="L6" s="735"/>
      <c r="M6" s="735"/>
      <c r="N6" s="735"/>
      <c r="O6" s="735"/>
      <c r="P6" s="735"/>
    </row>
    <row r="7" spans="1:16">
      <c r="B7" s="19"/>
      <c r="C7" s="19"/>
      <c r="D7" s="19"/>
      <c r="E7" s="19"/>
      <c r="F7" s="19"/>
      <c r="G7" s="19"/>
      <c r="H7" s="19"/>
      <c r="I7" s="19"/>
      <c r="J7" s="19"/>
      <c r="K7" s="19"/>
      <c r="L7" s="19"/>
      <c r="M7" s="19"/>
      <c r="N7" s="19"/>
      <c r="O7" s="19"/>
      <c r="P7" s="19"/>
    </row>
    <row r="8" spans="1:16" s="8" customFormat="1">
      <c r="A8" s="20" t="s">
        <v>205</v>
      </c>
      <c r="B8" s="21">
        <f>B5+B6</f>
        <v>53968.917498594717</v>
      </c>
      <c r="C8" s="21">
        <f>C5</f>
        <v>0</v>
      </c>
      <c r="D8" s="21">
        <f>D5</f>
        <v>85864.204440023634</v>
      </c>
      <c r="E8" s="21">
        <f>E5</f>
        <v>3286.9238810126503</v>
      </c>
      <c r="F8" s="21">
        <f>F5</f>
        <v>100729.33624856631</v>
      </c>
      <c r="G8" s="21"/>
      <c r="H8" s="21"/>
      <c r="I8" s="21"/>
      <c r="J8" s="21">
        <f>J5</f>
        <v>1907.6130588734791</v>
      </c>
      <c r="K8" s="21"/>
      <c r="L8" s="21">
        <f>L5</f>
        <v>0</v>
      </c>
      <c r="M8" s="21">
        <f>M5</f>
        <v>0</v>
      </c>
      <c r="N8" s="21">
        <f>N5</f>
        <v>17402.249409768185</v>
      </c>
      <c r="O8" s="21">
        <f>O5</f>
        <v>356.44</v>
      </c>
      <c r="P8" s="21">
        <f>P5</f>
        <v>1144</v>
      </c>
    </row>
    <row r="9" spans="1:16">
      <c r="B9" s="19"/>
      <c r="C9" s="19"/>
      <c r="D9" s="257"/>
      <c r="E9" s="19"/>
      <c r="F9" s="19"/>
      <c r="G9" s="19"/>
      <c r="H9" s="19"/>
      <c r="I9" s="19"/>
      <c r="J9" s="19"/>
      <c r="K9" s="19"/>
      <c r="L9" s="19"/>
      <c r="M9" s="19"/>
      <c r="N9" s="19"/>
      <c r="O9" s="19"/>
      <c r="P9" s="19"/>
    </row>
    <row r="10" spans="1:16">
      <c r="A10" s="24" t="s">
        <v>207</v>
      </c>
      <c r="B10" s="25">
        <f ca="1">'EF ele_warmte'!B12</f>
        <v>0.17420263799879329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9401.5277981944364</v>
      </c>
      <c r="C12" s="23">
        <f ca="1">C10*C8</f>
        <v>0</v>
      </c>
      <c r="D12" s="23">
        <f>D8*D10</f>
        <v>17344.569296884776</v>
      </c>
      <c r="E12" s="23">
        <f>E10*E8</f>
        <v>746.13172098987161</v>
      </c>
      <c r="F12" s="23">
        <f>F10*F8</f>
        <v>26894.732778367204</v>
      </c>
      <c r="G12" s="23"/>
      <c r="H12" s="23"/>
      <c r="I12" s="23"/>
      <c r="J12" s="23">
        <f>J10*J8</f>
        <v>675.29502284121156</v>
      </c>
      <c r="K12" s="23"/>
      <c r="L12" s="23">
        <f>L10*L8</f>
        <v>0</v>
      </c>
      <c r="M12" s="23">
        <f>M10*M8</f>
        <v>0</v>
      </c>
      <c r="N12" s="23">
        <f>N10*N8</f>
        <v>0</v>
      </c>
      <c r="O12" s="23">
        <f>O10*O8</f>
        <v>0</v>
      </c>
      <c r="P12" s="23">
        <f>P10*P8</f>
        <v>0</v>
      </c>
    </row>
    <row r="15" spans="1:16">
      <c r="A15" s="192" t="s">
        <v>482</v>
      </c>
      <c r="B15" s="202"/>
      <c r="C15" s="202"/>
      <c r="D15" s="224"/>
    </row>
    <row r="16" spans="1:16">
      <c r="A16" s="3"/>
      <c r="B16" s="43"/>
      <c r="C16" s="43"/>
      <c r="D16" s="173"/>
    </row>
    <row r="17" spans="1:5">
      <c r="A17" s="225" t="s">
        <v>882</v>
      </c>
      <c r="B17" s="201" t="s">
        <v>874</v>
      </c>
      <c r="C17" s="201" t="s">
        <v>875</v>
      </c>
      <c r="D17" s="226" t="s">
        <v>175</v>
      </c>
      <c r="E17" s="15"/>
    </row>
    <row r="18" spans="1:5">
      <c r="A18" s="243" t="s">
        <v>77</v>
      </c>
      <c r="B18" s="1025">
        <v>0.74774048386342984</v>
      </c>
      <c r="C18" s="1025"/>
      <c r="D18" s="296" t="s">
        <v>876</v>
      </c>
      <c r="E18" s="15"/>
    </row>
    <row r="19" spans="1:5">
      <c r="A19" s="243" t="s">
        <v>877</v>
      </c>
      <c r="B19" s="1025">
        <v>1.5893147770288954E-2</v>
      </c>
      <c r="C19" s="1025"/>
      <c r="D19" s="228"/>
      <c r="E19" s="15"/>
    </row>
    <row r="20" spans="1:5">
      <c r="A20" s="243" t="s">
        <v>878</v>
      </c>
      <c r="B20" s="1025"/>
      <c r="C20" s="1025"/>
      <c r="D20" s="228"/>
      <c r="E20" s="15"/>
    </row>
    <row r="21" spans="1:5">
      <c r="A21" s="243" t="s">
        <v>879</v>
      </c>
      <c r="B21" s="1025">
        <v>2.5041562056607007E-2</v>
      </c>
      <c r="C21" s="1025"/>
      <c r="D21" s="228"/>
      <c r="E21" s="15"/>
    </row>
    <row r="22" spans="1:5">
      <c r="A22" s="243" t="s">
        <v>880</v>
      </c>
      <c r="B22" s="1025">
        <v>0.16855908237424147</v>
      </c>
      <c r="C22" s="1025"/>
      <c r="D22" s="228"/>
      <c r="E22" s="15"/>
    </row>
    <row r="23" spans="1:5">
      <c r="A23" s="243" t="s">
        <v>78</v>
      </c>
      <c r="B23" s="1025"/>
      <c r="C23" s="1025"/>
      <c r="D23" s="227"/>
      <c r="E23" s="52"/>
    </row>
    <row r="24" spans="1:5">
      <c r="A24" s="243" t="s">
        <v>881</v>
      </c>
      <c r="B24" s="1025">
        <v>4.2765723935432799E-2</v>
      </c>
      <c r="C24" s="1025">
        <v>0.20456006762877887</v>
      </c>
      <c r="D24" s="227"/>
      <c r="E24" s="15"/>
    </row>
    <row r="25" spans="1:5" s="15" customFormat="1">
      <c r="A25" s="170"/>
      <c r="B25" s="29"/>
      <c r="C25" s="36"/>
      <c r="D25" s="227"/>
    </row>
    <row r="26" spans="1:5" s="15" customFormat="1">
      <c r="A26" s="229" t="s">
        <v>696</v>
      </c>
      <c r="B26" s="37">
        <f>aantalHuishoudens</f>
        <v>10648</v>
      </c>
      <c r="C26" s="36"/>
      <c r="D26" s="227"/>
    </row>
    <row r="27" spans="1:5" s="15" customFormat="1">
      <c r="A27" s="229" t="s">
        <v>697</v>
      </c>
      <c r="B27" s="37">
        <f>SUM(HH_hh_gas_aantal,HH_rest_gas_aantal)</f>
        <v>5120</v>
      </c>
      <c r="C27" s="36"/>
      <c r="D27" s="227"/>
    </row>
    <row r="28" spans="1:5" s="15" customFormat="1">
      <c r="A28" s="230"/>
      <c r="B28" s="29"/>
      <c r="C28" s="36"/>
      <c r="D28" s="231"/>
    </row>
    <row r="29" spans="1:5">
      <c r="A29" s="3"/>
      <c r="B29" s="43"/>
      <c r="C29" s="43"/>
      <c r="D29" s="173"/>
    </row>
    <row r="30" spans="1:5">
      <c r="A30" s="171" t="s">
        <v>474</v>
      </c>
      <c r="B30" s="168" t="s">
        <v>650</v>
      </c>
      <c r="C30" s="168" t="s">
        <v>651</v>
      </c>
      <c r="D30" s="173"/>
    </row>
    <row r="31" spans="1:5">
      <c r="A31" s="170" t="s">
        <v>883</v>
      </c>
      <c r="B31" s="33">
        <f>B27-0.05*B27</f>
        <v>4864</v>
      </c>
      <c r="C31" s="34" t="s">
        <v>104</v>
      </c>
      <c r="D31" s="173"/>
    </row>
    <row r="32" spans="1:5">
      <c r="A32" s="170" t="s">
        <v>72</v>
      </c>
      <c r="B32" s="33">
        <f>IF((B21*($B$26-($B$27-0.05*$B$27)-$B$60))&lt;0,0,B21*($B$26-($B$27-0.05*$B$27)-$B$60))</f>
        <v>143.33790121201852</v>
      </c>
      <c r="C32" s="34" t="s">
        <v>104</v>
      </c>
      <c r="D32" s="173"/>
    </row>
    <row r="33" spans="1:6">
      <c r="A33" s="170" t="s">
        <v>73</v>
      </c>
      <c r="B33" s="33">
        <f>IF((B22*($B$26-($B$27-0.05*$B$27)-$B$60))&lt;0,0,B22*($B$26-($B$27-0.05*$B$27)-$B$60))</f>
        <v>964.83218751015818</v>
      </c>
      <c r="C33" s="34" t="s">
        <v>104</v>
      </c>
      <c r="D33" s="173"/>
    </row>
    <row r="34" spans="1:6">
      <c r="A34" s="170" t="s">
        <v>74</v>
      </c>
      <c r="B34" s="33">
        <f>IF((B24*($B$26-($B$27-0.05*$B$27)-$B$60))&lt;0,0,B24*($B$26-($B$27-0.05*$B$27)-$B$60))</f>
        <v>244.79100380641734</v>
      </c>
      <c r="C34" s="33">
        <f>B26*C24</f>
        <v>2178.1556001112376</v>
      </c>
      <c r="D34" s="232"/>
    </row>
    <row r="35" spans="1:6">
      <c r="A35" s="170" t="s">
        <v>76</v>
      </c>
      <c r="B35" s="33">
        <f>IF((B19*($B$26-($B$27-0.05*$B$27)-$B$60))&lt;0,0,B19*($B$26-($B$27-0.05*$B$27)-$B$60))</f>
        <v>90.972377837133976</v>
      </c>
      <c r="C35" s="33">
        <f>B35/2</f>
        <v>45.486188918566988</v>
      </c>
      <c r="D35" s="232"/>
    </row>
    <row r="36" spans="1:6">
      <c r="A36" s="170" t="s">
        <v>77</v>
      </c>
      <c r="B36" s="33">
        <f>IF((B18*($B$26-($B$27-0.05*$B$27)-$B$60))&lt;0,0,B18*($B$26-($B$27-0.05*$B$27)-$B$60))</f>
        <v>4280.0665296342722</v>
      </c>
      <c r="C36" s="34" t="s">
        <v>104</v>
      </c>
      <c r="D36" s="173"/>
    </row>
    <row r="37" spans="1:6">
      <c r="A37" s="170" t="s">
        <v>78</v>
      </c>
      <c r="B37" s="33">
        <f>B60</f>
        <v>60</v>
      </c>
      <c r="C37" s="34" t="s">
        <v>104</v>
      </c>
      <c r="D37" s="173"/>
    </row>
    <row r="38" spans="1:6">
      <c r="A38" s="3"/>
      <c r="B38" s="43"/>
      <c r="C38" s="43"/>
      <c r="D38" s="173"/>
    </row>
    <row r="39" spans="1:6">
      <c r="A39" s="171" t="s">
        <v>477</v>
      </c>
      <c r="B39" s="167" t="s">
        <v>648</v>
      </c>
      <c r="C39" s="167" t="s">
        <v>649</v>
      </c>
      <c r="D39" s="296" t="s">
        <v>876</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475</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228</v>
      </c>
      <c r="C52" s="43"/>
      <c r="D52" s="172"/>
    </row>
    <row r="53" spans="1:4">
      <c r="A53" s="170" t="s">
        <v>472</v>
      </c>
      <c r="B53" s="310">
        <v>4.2</v>
      </c>
      <c r="C53" s="43"/>
      <c r="D53" s="304" t="s">
        <v>502</v>
      </c>
    </row>
    <row r="54" spans="1:4">
      <c r="A54" s="243" t="s">
        <v>473</v>
      </c>
      <c r="B54" s="315">
        <f>1.34/3.6</f>
        <v>0.37222222222222223</v>
      </c>
      <c r="C54" s="43" t="s">
        <v>208</v>
      </c>
      <c r="D54" s="304" t="s">
        <v>502</v>
      </c>
    </row>
    <row r="55" spans="1:4">
      <c r="A55" s="174"/>
      <c r="B55" s="244"/>
      <c r="C55" s="177"/>
      <c r="D55" s="178"/>
    </row>
    <row r="56" spans="1:4">
      <c r="D56" s="166"/>
    </row>
    <row r="57" spans="1:4">
      <c r="A57" s="193" t="s">
        <v>476</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60</v>
      </c>
      <c r="C60" s="32"/>
      <c r="D60" s="176"/>
    </row>
    <row r="61" spans="1:4">
      <c r="A61" s="170" t="s">
        <v>442</v>
      </c>
      <c r="B61" s="310">
        <v>13</v>
      </c>
      <c r="C61" s="32" t="s">
        <v>252</v>
      </c>
      <c r="D61" s="304" t="s">
        <v>502</v>
      </c>
    </row>
    <row r="62" spans="1:4">
      <c r="A62" s="170" t="s">
        <v>443</v>
      </c>
      <c r="B62" s="310">
        <v>2000</v>
      </c>
      <c r="C62" s="32" t="s">
        <v>254</v>
      </c>
      <c r="D62" s="304" t="s">
        <v>502</v>
      </c>
    </row>
    <row r="63" spans="1:4">
      <c r="A63" s="170" t="s">
        <v>403</v>
      </c>
      <c r="B63" s="310">
        <v>3.75</v>
      </c>
      <c r="C63" s="43"/>
      <c r="D63" s="304" t="s">
        <v>502</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149</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21861.153538775965</v>
      </c>
      <c r="C5" s="17">
        <f>IF(ISERROR('Eigen informatie GS &amp; warmtenet'!B58),0,'Eigen informatie GS &amp; warmtenet'!B58)</f>
        <v>0</v>
      </c>
      <c r="D5" s="30">
        <f>SUM(D6:D12)</f>
        <v>27409.283809412053</v>
      </c>
      <c r="E5" s="17">
        <f>SUM(E6:E12)</f>
        <v>128.1033610042407</v>
      </c>
      <c r="F5" s="17">
        <f>SUM(F6:F12)</f>
        <v>2745.2421420029495</v>
      </c>
      <c r="G5" s="18"/>
      <c r="H5" s="17"/>
      <c r="I5" s="17"/>
      <c r="J5" s="17">
        <f>SUM(J6:J12)</f>
        <v>86.390430826470961</v>
      </c>
      <c r="K5" s="17"/>
      <c r="L5" s="17"/>
      <c r="M5" s="17"/>
      <c r="N5" s="17">
        <f>SUM(N6:N12)</f>
        <v>1431.4283765596738</v>
      </c>
      <c r="O5" s="17">
        <f>B38*B39*B40</f>
        <v>7.8166666666666664</v>
      </c>
      <c r="P5" s="17">
        <f>B46*B47*B48/1000-B46*B47*B48/1000/B49</f>
        <v>57.2</v>
      </c>
      <c r="R5" s="32"/>
    </row>
    <row r="6" spans="1:18">
      <c r="A6" s="32" t="s">
        <v>53</v>
      </c>
      <c r="B6" s="37">
        <f>B26</f>
        <v>4593.8302868667597</v>
      </c>
      <c r="C6" s="33"/>
      <c r="D6" s="37">
        <f>IF(ISERROR(TER_kantoor_gas_kWh/1000),0,TER_kantoor_gas_kWh/1000)*0.902</f>
        <v>5231.2644133325857</v>
      </c>
      <c r="E6" s="33">
        <f>$C$26*'E Balans VL '!I12/100/3.6*1000000</f>
        <v>38.775934317978276</v>
      </c>
      <c r="F6" s="33">
        <f>$C$26*('E Balans VL '!L12+'E Balans VL '!N12)/100/3.6*1000000</f>
        <v>615.98177818627858</v>
      </c>
      <c r="G6" s="34"/>
      <c r="H6" s="33"/>
      <c r="I6" s="33"/>
      <c r="J6" s="33">
        <f>$C$26*('E Balans VL '!D12+'E Balans VL '!E12)/100/3.6*1000000</f>
        <v>0</v>
      </c>
      <c r="K6" s="33"/>
      <c r="L6" s="33"/>
      <c r="M6" s="33"/>
      <c r="N6" s="33">
        <f>$C$26*'E Balans VL '!Y12/100/3.6*1000000</f>
        <v>40.401316591586223</v>
      </c>
      <c r="O6" s="33"/>
      <c r="P6" s="33"/>
      <c r="R6" s="32"/>
    </row>
    <row r="7" spans="1:18">
      <c r="A7" s="32" t="s">
        <v>52</v>
      </c>
      <c r="B7" s="37">
        <f t="shared" ref="B7:B12" si="0">B27</f>
        <v>1898.1033396200141</v>
      </c>
      <c r="C7" s="33"/>
      <c r="D7" s="37">
        <f>IF(ISERROR(TER_horeca_gas_kWh/1000),0,TER_horeca_gas_kWh/1000)*0.902</f>
        <v>2524.804578070698</v>
      </c>
      <c r="E7" s="33">
        <f>$C$27*'E Balans VL '!I9/100/3.6*1000000</f>
        <v>24.95626949304539</v>
      </c>
      <c r="F7" s="33">
        <f>$C$27*('E Balans VL '!L9+'E Balans VL '!N9)/100/3.6*1000000</f>
        <v>476.68463841549675</v>
      </c>
      <c r="G7" s="34"/>
      <c r="H7" s="33"/>
      <c r="I7" s="33"/>
      <c r="J7" s="33">
        <f>$C$27*('E Balans VL '!D9+'E Balans VL '!E9)/100/3.6*1000000</f>
        <v>0</v>
      </c>
      <c r="K7" s="33"/>
      <c r="L7" s="33"/>
      <c r="M7" s="33"/>
      <c r="N7" s="33">
        <f>$C$27*'E Balans VL '!Y9/100/3.6*1000000</f>
        <v>0.51673533522730053</v>
      </c>
      <c r="O7" s="33"/>
      <c r="P7" s="33"/>
      <c r="R7" s="32"/>
    </row>
    <row r="8" spans="1:18">
      <c r="A8" s="6" t="s">
        <v>51</v>
      </c>
      <c r="B8" s="37">
        <f t="shared" si="0"/>
        <v>6172.3294824889199</v>
      </c>
      <c r="C8" s="33"/>
      <c r="D8" s="37">
        <f>IF(ISERROR(TER_handel_gas_kWh/1000),0,TER_handel_gas_kWh/1000)*0.902</f>
        <v>1456.7588211078912</v>
      </c>
      <c r="E8" s="33">
        <f>$C$28*'E Balans VL '!I13/100/3.6*1000000</f>
        <v>27.030901412767815</v>
      </c>
      <c r="F8" s="33">
        <f>$C$28*('E Balans VL '!L13+'E Balans VL '!N13)/100/3.6*1000000</f>
        <v>414.87079142024811</v>
      </c>
      <c r="G8" s="34"/>
      <c r="H8" s="33"/>
      <c r="I8" s="33"/>
      <c r="J8" s="33">
        <f>$C$28*('E Balans VL '!D13+'E Balans VL '!E13)/100/3.6*1000000</f>
        <v>0</v>
      </c>
      <c r="K8" s="33"/>
      <c r="L8" s="33"/>
      <c r="M8" s="33"/>
      <c r="N8" s="33">
        <f>$C$28*'E Balans VL '!Y13/100/3.6*1000000</f>
        <v>18.234636953358212</v>
      </c>
      <c r="O8" s="33"/>
      <c r="P8" s="33"/>
      <c r="R8" s="32"/>
    </row>
    <row r="9" spans="1:18">
      <c r="A9" s="32" t="s">
        <v>50</v>
      </c>
      <c r="B9" s="37">
        <f t="shared" si="0"/>
        <v>1648.9298554403804</v>
      </c>
      <c r="C9" s="33"/>
      <c r="D9" s="37">
        <f>IF(ISERROR(TER_gezond_gas_kWh/1000),0,TER_gezond_gas_kWh/1000)*0.902</f>
        <v>4899.7100728231189</v>
      </c>
      <c r="E9" s="33">
        <f>$C$29*'E Balans VL '!I10/100/3.6*1000000</f>
        <v>0.56707425736861061</v>
      </c>
      <c r="F9" s="33">
        <f>$C$29*('E Balans VL '!L10+'E Balans VL '!N10)/100/3.6*1000000</f>
        <v>144.12296417589195</v>
      </c>
      <c r="G9" s="34"/>
      <c r="H9" s="33"/>
      <c r="I9" s="33"/>
      <c r="J9" s="33">
        <f>$C$29*('E Balans VL '!D10+'E Balans VL '!E10)/100/3.6*1000000</f>
        <v>68.399024503872496</v>
      </c>
      <c r="K9" s="33"/>
      <c r="L9" s="33"/>
      <c r="M9" s="33"/>
      <c r="N9" s="33">
        <f>$C$29*'E Balans VL '!Y10/100/3.6*1000000</f>
        <v>17.288420192950056</v>
      </c>
      <c r="O9" s="33"/>
      <c r="P9" s="33"/>
      <c r="R9" s="32"/>
    </row>
    <row r="10" spans="1:18">
      <c r="A10" s="32" t="s">
        <v>49</v>
      </c>
      <c r="B10" s="37">
        <f t="shared" si="0"/>
        <v>1564.097904119767</v>
      </c>
      <c r="C10" s="33"/>
      <c r="D10" s="37">
        <f>IF(ISERROR(TER_ander_gas_kWh/1000),0,TER_ander_gas_kWh/1000)*0.902</f>
        <v>1995.6567834266284</v>
      </c>
      <c r="E10" s="33">
        <f>$C$30*'E Balans VL '!I14/100/3.6*1000000</f>
        <v>0.93022609418215496</v>
      </c>
      <c r="F10" s="33">
        <f>$C$30*('E Balans VL '!L14+'E Balans VL '!N14)/100/3.6*1000000</f>
        <v>276.92844357580628</v>
      </c>
      <c r="G10" s="34"/>
      <c r="H10" s="33"/>
      <c r="I10" s="33"/>
      <c r="J10" s="33">
        <f>$C$30*('E Balans VL '!D14+'E Balans VL '!E14)/100/3.6*1000000</f>
        <v>0</v>
      </c>
      <c r="K10" s="33"/>
      <c r="L10" s="33"/>
      <c r="M10" s="33"/>
      <c r="N10" s="33">
        <f>$C$30*'E Balans VL '!Y14/100/3.6*1000000</f>
        <v>928.70801436302042</v>
      </c>
      <c r="O10" s="33"/>
      <c r="P10" s="33"/>
      <c r="R10" s="32"/>
    </row>
    <row r="11" spans="1:18">
      <c r="A11" s="32" t="s">
        <v>54</v>
      </c>
      <c r="B11" s="37">
        <f t="shared" si="0"/>
        <v>75.833128749893703</v>
      </c>
      <c r="C11" s="33"/>
      <c r="D11" s="37">
        <f>IF(ISERROR(TER_onderwijs_gas_kWh/1000),0,TER_onderwijs_gas_kWh/1000)*0.902</f>
        <v>0</v>
      </c>
      <c r="E11" s="33">
        <f>$C$31*'E Balans VL '!I11/100/3.6*1000000</f>
        <v>5.044048317425219E-2</v>
      </c>
      <c r="F11" s="33">
        <f>$C$31*('E Balans VL '!L11+'E Balans VL '!N11)/100/3.6*1000000</f>
        <v>24.295456857107514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5908.0295414902293</v>
      </c>
      <c r="C12" s="33"/>
      <c r="D12" s="37">
        <f>IF(ISERROR(TER_rest_gas_kWh/1000),0,TER_rest_gas_kWh/1000)*0.902</f>
        <v>11301.089140651131</v>
      </c>
      <c r="E12" s="33">
        <f>$C$32*'E Balans VL '!I8/100/3.6*1000000</f>
        <v>35.792514945724172</v>
      </c>
      <c r="F12" s="33">
        <f>$C$32*('E Balans VL '!L8+'E Balans VL '!N8)/100/3.6*1000000</f>
        <v>792.35806937212021</v>
      </c>
      <c r="G12" s="34"/>
      <c r="H12" s="33"/>
      <c r="I12" s="33"/>
      <c r="J12" s="33">
        <f>$C$32*('E Balans VL '!D8+'E Balans VL '!E8)/100/3.6*1000000</f>
        <v>17.991406322598468</v>
      </c>
      <c r="K12" s="33"/>
      <c r="L12" s="33"/>
      <c r="M12" s="33"/>
      <c r="N12" s="33">
        <f>$C$32*'E Balans VL '!Y8/100/3.6*1000000</f>
        <v>426.27925312353165</v>
      </c>
      <c r="O12" s="33"/>
      <c r="P12" s="33"/>
      <c r="R12" s="32"/>
    </row>
    <row r="13" spans="1:18">
      <c r="A13" s="16" t="s">
        <v>483</v>
      </c>
      <c r="B13" s="245">
        <f ca="1">'lokale energieproductie'!N40+'lokale energieproductie'!N33</f>
        <v>0</v>
      </c>
      <c r="C13" s="245">
        <f ca="1">'lokale energieproductie'!O40+'lokale energieproductie'!O33</f>
        <v>0</v>
      </c>
      <c r="D13" s="305">
        <f ca="1">('lokale energieproductie'!P33+'lokale energieproductie'!P40)*(-1)</f>
        <v>0</v>
      </c>
      <c r="E13" s="246"/>
      <c r="F13" s="305">
        <f ca="1">('lokale energieproductie'!S33+'lokale energieproductie'!S40)*(-1)</f>
        <v>0</v>
      </c>
      <c r="G13" s="247"/>
      <c r="H13" s="246"/>
      <c r="I13" s="246"/>
      <c r="J13" s="246"/>
      <c r="K13" s="246"/>
      <c r="L13" s="305">
        <f ca="1">('lokale energieproductie'!U33+'lokale energieproductie'!T33+'lokale energieproductie'!U40+'lokale energieproductie'!T40)*(-1)</f>
        <v>0</v>
      </c>
      <c r="M13" s="246"/>
      <c r="N13" s="305">
        <f ca="1">('lokale energieproductie'!Q33+'lokale energieproductie'!R33+'lokale energieproductie'!V33+'lokale energieproductie'!Q40+'lokale energieproductie'!R40+'lokale energieproductie'!V40)*(-1)</f>
        <v>0</v>
      </c>
      <c r="O13" s="246"/>
      <c r="P13" s="246"/>
      <c r="R13" s="32"/>
    </row>
    <row r="14" spans="1:18">
      <c r="A14" s="16" t="s">
        <v>497</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21861.153538775965</v>
      </c>
      <c r="C16" s="21">
        <f t="shared" ca="1" si="1"/>
        <v>0</v>
      </c>
      <c r="D16" s="21">
        <f t="shared" ca="1" si="1"/>
        <v>27409.283809412053</v>
      </c>
      <c r="E16" s="21">
        <f t="shared" si="1"/>
        <v>128.1033610042407</v>
      </c>
      <c r="F16" s="21">
        <f t="shared" ca="1" si="1"/>
        <v>2745.2421420029495</v>
      </c>
      <c r="G16" s="21">
        <f t="shared" si="1"/>
        <v>0</v>
      </c>
      <c r="H16" s="21">
        <f t="shared" si="1"/>
        <v>0</v>
      </c>
      <c r="I16" s="21">
        <f t="shared" si="1"/>
        <v>0</v>
      </c>
      <c r="J16" s="21">
        <f t="shared" si="1"/>
        <v>86.390430826470961</v>
      </c>
      <c r="K16" s="21">
        <f t="shared" si="1"/>
        <v>0</v>
      </c>
      <c r="L16" s="21">
        <f t="shared" ca="1" si="1"/>
        <v>0</v>
      </c>
      <c r="M16" s="21">
        <f t="shared" si="1"/>
        <v>0</v>
      </c>
      <c r="N16" s="21">
        <f t="shared" ca="1" si="1"/>
        <v>1431.4283765596738</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0.17420263799879329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3808.2706161514284</v>
      </c>
      <c r="C20" s="23">
        <f t="shared" ref="C20:P20" ca="1" si="2">C16*C18</f>
        <v>0</v>
      </c>
      <c r="D20" s="23">
        <f t="shared" ca="1" si="2"/>
        <v>5536.675329501235</v>
      </c>
      <c r="E20" s="23">
        <f t="shared" si="2"/>
        <v>29.079462947962639</v>
      </c>
      <c r="F20" s="23">
        <f t="shared" ca="1" si="2"/>
        <v>732.97965191478761</v>
      </c>
      <c r="G20" s="23">
        <f t="shared" si="2"/>
        <v>0</v>
      </c>
      <c r="H20" s="23">
        <f t="shared" si="2"/>
        <v>0</v>
      </c>
      <c r="I20" s="23">
        <f t="shared" si="2"/>
        <v>0</v>
      </c>
      <c r="J20" s="23">
        <f t="shared" si="2"/>
        <v>30.58221251257072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482</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4593.8302868667597</v>
      </c>
      <c r="C26" s="39">
        <f>IF(ISERROR(B26*3.6/1000000/'E Balans VL '!Z12*100),0,B26*3.6/1000000/'E Balans VL '!Z12*100)</f>
        <v>9.6280979761478105E-2</v>
      </c>
      <c r="D26" s="235" t="s">
        <v>647</v>
      </c>
      <c r="F26" s="6"/>
    </row>
    <row r="27" spans="1:18">
      <c r="A27" s="230" t="s">
        <v>52</v>
      </c>
      <c r="B27" s="33">
        <f>IF(ISERROR(TER_horeca_ele_kWh/1000),0,TER_horeca_ele_kWh/1000)</f>
        <v>1898.1033396200141</v>
      </c>
      <c r="C27" s="39">
        <f>IF(ISERROR(B27*3.6/1000000/'E Balans VL '!Z9*100),0,B27*3.6/1000000/'E Balans VL '!Z9*100)</f>
        <v>0.1455272564409571</v>
      </c>
      <c r="D27" s="235" t="s">
        <v>647</v>
      </c>
      <c r="F27" s="6"/>
    </row>
    <row r="28" spans="1:18">
      <c r="A28" s="170" t="s">
        <v>51</v>
      </c>
      <c r="B28" s="33">
        <f>IF(ISERROR(TER_handel_ele_kWh/1000),0,TER_handel_ele_kWh/1000)</f>
        <v>6172.3294824889199</v>
      </c>
      <c r="C28" s="39">
        <f>IF(ISERROR(B28*3.6/1000000/'E Balans VL '!Z13*100),0,B28*3.6/1000000/'E Balans VL '!Z13*100)</f>
        <v>0.17413052024288331</v>
      </c>
      <c r="D28" s="235" t="s">
        <v>647</v>
      </c>
      <c r="F28" s="6"/>
    </row>
    <row r="29" spans="1:18">
      <c r="A29" s="230" t="s">
        <v>50</v>
      </c>
      <c r="B29" s="33">
        <f>IF(ISERROR(TER_gezond_ele_kWh/1000),0,TER_gezond_ele_kWh/1000)</f>
        <v>1648.9298554403804</v>
      </c>
      <c r="C29" s="39">
        <f>IF(ISERROR(B29*3.6/1000000/'E Balans VL '!Z10*100),0,B29*3.6/1000000/'E Balans VL '!Z10*100)</f>
        <v>0.18309315265709022</v>
      </c>
      <c r="D29" s="235" t="s">
        <v>647</v>
      </c>
      <c r="F29" s="6"/>
    </row>
    <row r="30" spans="1:18">
      <c r="A30" s="230" t="s">
        <v>49</v>
      </c>
      <c r="B30" s="33">
        <f>IF(ISERROR(TER_ander_ele_kWh/1000),0,TER_ander_ele_kWh/1000)</f>
        <v>1564.097904119767</v>
      </c>
      <c r="C30" s="39">
        <f>IF(ISERROR(B30*3.6/1000000/'E Balans VL '!Z14*100),0,B30*3.6/1000000/'E Balans VL '!Z14*100)</f>
        <v>0.11285815626612838</v>
      </c>
      <c r="D30" s="235" t="s">
        <v>647</v>
      </c>
      <c r="F30" s="6"/>
    </row>
    <row r="31" spans="1:18">
      <c r="A31" s="230" t="s">
        <v>54</v>
      </c>
      <c r="B31" s="33">
        <f>IF(ISERROR(TER_onderwijs_ele_kWh/1000),0,TER_onderwijs_ele_kWh/1000)</f>
        <v>75.833128749893703</v>
      </c>
      <c r="C31" s="39">
        <f>IF(ISERROR(B31*3.6/1000000/'E Balans VL '!Z11*100),0,B31*3.6/1000000/'E Balans VL '!Z11*100)</f>
        <v>2.1020342607362914E-2</v>
      </c>
      <c r="D31" s="235" t="s">
        <v>647</v>
      </c>
    </row>
    <row r="32" spans="1:18">
      <c r="A32" s="230" t="s">
        <v>249</v>
      </c>
      <c r="B32" s="33">
        <f>IF(ISERROR(TER_rest_ele_kWh/1000),0,TER_rest_ele_kWh/1000)</f>
        <v>5908.0295414902293</v>
      </c>
      <c r="C32" s="39">
        <f>IF(ISERROR(B32*3.6/1000000/'E Balans VL '!Z8*100),0,B32*3.6/1000000/'E Balans VL '!Z8*100)</f>
        <v>4.8160091876058284E-2</v>
      </c>
      <c r="D32" s="235" t="s">
        <v>647</v>
      </c>
    </row>
    <row r="33" spans="1:4">
      <c r="A33" s="238"/>
      <c r="B33" s="179"/>
      <c r="C33" s="179"/>
      <c r="D33" s="239"/>
    </row>
    <row r="34" spans="1:4">
      <c r="A34" s="32"/>
      <c r="B34" s="32"/>
      <c r="C34" s="32"/>
    </row>
    <row r="35" spans="1:4">
      <c r="A35" s="192" t="s">
        <v>475</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5</v>
      </c>
      <c r="C38" s="43"/>
      <c r="D38" s="231"/>
    </row>
    <row r="39" spans="1:4">
      <c r="A39" s="170" t="s">
        <v>472</v>
      </c>
      <c r="B39" s="310">
        <v>4.2</v>
      </c>
      <c r="C39" s="43"/>
      <c r="D39" s="304" t="s">
        <v>502</v>
      </c>
    </row>
    <row r="40" spans="1:4">
      <c r="A40" s="6" t="s">
        <v>473</v>
      </c>
      <c r="B40" s="315">
        <f>1.34/3.6</f>
        <v>0.37222222222222223</v>
      </c>
      <c r="C40" s="43" t="s">
        <v>208</v>
      </c>
      <c r="D40" s="304" t="s">
        <v>502</v>
      </c>
    </row>
    <row r="41" spans="1:4">
      <c r="A41" s="238"/>
      <c r="B41" s="179"/>
      <c r="C41" s="179"/>
      <c r="D41" s="239"/>
    </row>
    <row r="43" spans="1:4">
      <c r="A43" s="193" t="s">
        <v>476</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3</v>
      </c>
      <c r="C46" s="32"/>
      <c r="D46" s="231"/>
    </row>
    <row r="47" spans="1:4">
      <c r="A47" s="170" t="s">
        <v>442</v>
      </c>
      <c r="B47" s="533">
        <v>13</v>
      </c>
      <c r="C47" s="32" t="s">
        <v>252</v>
      </c>
      <c r="D47" s="304" t="s">
        <v>502</v>
      </c>
    </row>
    <row r="48" spans="1:4">
      <c r="A48" s="170" t="s">
        <v>443</v>
      </c>
      <c r="B48" s="533">
        <v>2000</v>
      </c>
      <c r="C48" s="32" t="s">
        <v>254</v>
      </c>
      <c r="D48" s="304" t="s">
        <v>502</v>
      </c>
    </row>
    <row r="49" spans="1:4">
      <c r="A49" s="170" t="s">
        <v>403</v>
      </c>
      <c r="B49" s="533">
        <v>3.75</v>
      </c>
      <c r="C49" s="32"/>
      <c r="D49" s="304" t="s">
        <v>502</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156</v>
      </c>
      <c r="B1" s="1163" t="s">
        <v>188</v>
      </c>
      <c r="C1" s="1164"/>
      <c r="D1" s="1164"/>
      <c r="E1" s="1164"/>
      <c r="F1" s="1164"/>
      <c r="G1" s="1164"/>
      <c r="H1" s="1164"/>
      <c r="I1" s="1164"/>
      <c r="J1" s="1164"/>
      <c r="K1" s="1164"/>
      <c r="L1" s="1164"/>
      <c r="M1" s="1164"/>
      <c r="N1" s="1164"/>
      <c r="O1" s="1164"/>
      <c r="P1" s="1164"/>
      <c r="R1" s="716"/>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c r="R2" s="716"/>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16"/>
    </row>
    <row r="4" spans="1:18" ht="15.75">
      <c r="A4" s="13"/>
      <c r="B4" s="14"/>
      <c r="C4" s="14"/>
      <c r="D4" s="14"/>
      <c r="E4" s="14"/>
      <c r="F4" s="14"/>
      <c r="G4" s="14"/>
      <c r="H4" s="14"/>
      <c r="I4" s="14"/>
      <c r="J4" s="14"/>
      <c r="K4" s="14"/>
      <c r="L4" s="14"/>
      <c r="M4" s="14"/>
      <c r="N4" s="14"/>
      <c r="O4" s="14"/>
      <c r="P4" s="14"/>
      <c r="R4" s="6"/>
    </row>
    <row r="5" spans="1:18">
      <c r="A5" s="16" t="s">
        <v>258</v>
      </c>
      <c r="B5" s="30">
        <f>SUM(B6:B15)</f>
        <v>26460.692317563986</v>
      </c>
      <c r="C5" s="17">
        <f>IF(ISERROR('Eigen informatie GS &amp; warmtenet'!B59),0,'Eigen informatie GS &amp; warmtenet'!B59)</f>
        <v>0</v>
      </c>
      <c r="D5" s="30">
        <f>SUM(D6:D15)</f>
        <v>25493.056914581317</v>
      </c>
      <c r="E5" s="17">
        <f>SUM(E6:E15)</f>
        <v>2390.7804900065612</v>
      </c>
      <c r="F5" s="17">
        <f>SUM(F6:F15)</f>
        <v>30424.166454774975</v>
      </c>
      <c r="G5" s="18"/>
      <c r="H5" s="17"/>
      <c r="I5" s="17"/>
      <c r="J5" s="17">
        <f>SUM(J6:J15)</f>
        <v>14.390917698026566</v>
      </c>
      <c r="K5" s="17"/>
      <c r="L5" s="17"/>
      <c r="M5" s="17"/>
      <c r="N5" s="17">
        <f>SUM(N6:N15)</f>
        <v>5917.4261175992615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153.738535415727</v>
      </c>
      <c r="C8" s="33"/>
      <c r="D8" s="37">
        <f>IF( ISERROR(IND_metaal_Gas_kWH/1000),0,IND_metaal_Gas_kWH/1000)*0.902</f>
        <v>93.059349353235788</v>
      </c>
      <c r="E8" s="33">
        <f>C30*'E Balans VL '!I18/100/3.6*1000000</f>
        <v>4.4159478008082926</v>
      </c>
      <c r="F8" s="33">
        <f>C30*'E Balans VL '!L18/100/3.6*1000000+C30*'E Balans VL '!N18/100/3.6*1000000</f>
        <v>39.430977517169971</v>
      </c>
      <c r="G8" s="34"/>
      <c r="H8" s="33"/>
      <c r="I8" s="33"/>
      <c r="J8" s="40">
        <f>C30*'E Balans VL '!D18/100/3.6*1000000+C30*'E Balans VL '!E18/100/3.6*1000000</f>
        <v>0</v>
      </c>
      <c r="K8" s="33"/>
      <c r="L8" s="33"/>
      <c r="M8" s="33"/>
      <c r="N8" s="33">
        <f>C30*'E Balans VL '!Y18/100/3.6*1000000</f>
        <v>4.1743150613497564</v>
      </c>
      <c r="O8" s="33"/>
      <c r="P8" s="33"/>
      <c r="R8" s="32"/>
    </row>
    <row r="9" spans="1:18">
      <c r="A9" s="6" t="s">
        <v>32</v>
      </c>
      <c r="B9" s="37">
        <f t="shared" si="0"/>
        <v>2077.0188800557389</v>
      </c>
      <c r="C9" s="33"/>
      <c r="D9" s="37">
        <f>IF( ISERROR(IND_andere_gas_kWh/1000),0,IND_andere_gas_kWh/1000)*0.902</f>
        <v>1334.0417125793028</v>
      </c>
      <c r="E9" s="33">
        <f>C31*'E Balans VL '!I19/100/3.6*1000000</f>
        <v>562.19794308387793</v>
      </c>
      <c r="F9" s="33">
        <f>C31*'E Balans VL '!L19/100/3.6*1000000+C31*'E Balans VL '!N19/100/3.6*1000000</f>
        <v>1383.5143686275624</v>
      </c>
      <c r="G9" s="34"/>
      <c r="H9" s="33"/>
      <c r="I9" s="33"/>
      <c r="J9" s="40">
        <f>C31*'E Balans VL '!D19/100/3.6*1000000+C31*'E Balans VL '!E19/100/3.6*1000000</f>
        <v>0</v>
      </c>
      <c r="K9" s="33"/>
      <c r="L9" s="33"/>
      <c r="M9" s="33"/>
      <c r="N9" s="33">
        <f>C31*'E Balans VL '!Y19/100/3.6*1000000</f>
        <v>175.59818762978784</v>
      </c>
      <c r="O9" s="33"/>
      <c r="P9" s="33"/>
      <c r="R9" s="32"/>
    </row>
    <row r="10" spans="1:18">
      <c r="A10" s="6" t="s">
        <v>40</v>
      </c>
      <c r="B10" s="37">
        <f t="shared" si="0"/>
        <v>18572.65822915217</v>
      </c>
      <c r="C10" s="33"/>
      <c r="D10" s="37">
        <f>IF( ISERROR(IND_voed_gas_kWh/1000),0,IND_voed_gas_kWh/1000)*0.902</f>
        <v>8404.6978552230612</v>
      </c>
      <c r="E10" s="33">
        <f>C32*'E Balans VL '!I20/100/3.6*1000000</f>
        <v>1514.8286747416125</v>
      </c>
      <c r="F10" s="33">
        <f>C32*'E Balans VL '!L20/100/3.6*1000000+C32*'E Balans VL '!N20/100/3.6*1000000</f>
        <v>27693.5184788675</v>
      </c>
      <c r="G10" s="34"/>
      <c r="H10" s="33"/>
      <c r="I10" s="33"/>
      <c r="J10" s="40">
        <f>C32*'E Balans VL '!D20/100/3.6*1000000+C32*'E Balans VL '!E20/100/3.6*1000000</f>
        <v>0.24569372418890892</v>
      </c>
      <c r="K10" s="33"/>
      <c r="L10" s="33"/>
      <c r="M10" s="33"/>
      <c r="N10" s="33">
        <f>C32*'E Balans VL '!Y20/100/3.6*1000000</f>
        <v>5455.9916292819007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138.40156072941201</v>
      </c>
      <c r="C13" s="33"/>
      <c r="D13" s="37">
        <f>IF( ISERROR(IND_papier_gas_kWh/1000),0,IND_papier_gas_kWh/1000)*0.902</f>
        <v>0</v>
      </c>
      <c r="E13" s="33">
        <f>C35*'E Balans VL '!I23/100/3.6*1000000</f>
        <v>1.4500084855133921</v>
      </c>
      <c r="F13" s="33">
        <f>C35*'E Balans VL '!L23/100/3.6*1000000+C35*'E Balans VL '!N23/100/3.6*1000000</f>
        <v>10.327548992756327</v>
      </c>
      <c r="G13" s="34"/>
      <c r="H13" s="33"/>
      <c r="I13" s="33"/>
      <c r="J13" s="40">
        <f>C35*'E Balans VL '!D23/100/3.6*1000000+C35*'E Balans VL '!E23/100/3.6*1000000</f>
        <v>0</v>
      </c>
      <c r="K13" s="33"/>
      <c r="L13" s="33"/>
      <c r="M13" s="33"/>
      <c r="N13" s="33">
        <f>C35*'E Balans VL '!Y23/100/3.6*1000000</f>
        <v>25.532095369395982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5518.8751122109361</v>
      </c>
      <c r="C15" s="33"/>
      <c r="D15" s="37">
        <f>IF( ISERROR(IND_rest_gas_kWh/1000),0,IND_rest_gas_kWh/1000)*0.902</f>
        <v>15661.257997425717</v>
      </c>
      <c r="E15" s="33">
        <f>C37*'E Balans VL '!I15/100/3.6*1000000</f>
        <v>307.88791589474891</v>
      </c>
      <c r="F15" s="33">
        <f>C37*'E Balans VL '!L15/100/3.6*1000000+C37*'E Balans VL '!N15/100/3.6*1000000</f>
        <v>1297.3750807699887</v>
      </c>
      <c r="G15" s="34"/>
      <c r="H15" s="33"/>
      <c r="I15" s="33"/>
      <c r="J15" s="40">
        <f>C37*'E Balans VL '!D15/100/3.6*1000000+C37*'E Balans VL '!E15/100/3.6*1000000</f>
        <v>14.145223973837657</v>
      </c>
      <c r="K15" s="33"/>
      <c r="L15" s="33"/>
      <c r="M15" s="33"/>
      <c r="N15" s="33">
        <f>C37*'E Balans VL '!Y15/100/3.6*1000000</f>
        <v>256.12989025682651</v>
      </c>
      <c r="O15" s="33"/>
      <c r="P15" s="33"/>
      <c r="R15" s="32"/>
    </row>
    <row r="16" spans="1:18">
      <c r="A16" s="16" t="s">
        <v>483</v>
      </c>
      <c r="B16" s="245">
        <f>'lokale energieproductie'!N39+'lokale energieproductie'!N32</f>
        <v>0</v>
      </c>
      <c r="C16" s="245">
        <f>'lokale energieproductie'!O39+'lokale energieproductie'!O32</f>
        <v>0</v>
      </c>
      <c r="D16" s="305">
        <f>('lokale energieproductie'!P32+'lokale energieproductie'!P39)*(-1)</f>
        <v>0</v>
      </c>
      <c r="E16" s="246"/>
      <c r="F16" s="305">
        <f>('lokale energieproductie'!S32+'lokale energieproductie'!S39)*(-1)</f>
        <v>0</v>
      </c>
      <c r="G16" s="247"/>
      <c r="H16" s="246"/>
      <c r="I16" s="246"/>
      <c r="J16" s="246"/>
      <c r="K16" s="246"/>
      <c r="L16" s="305">
        <f>('lokale energieproductie'!T32+'lokale energieproductie'!U32+'lokale energieproductie'!T39+'lokale energieproductie'!U39)*(-1)</f>
        <v>0</v>
      </c>
      <c r="M16" s="246"/>
      <c r="N16" s="305">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26460.692317563986</v>
      </c>
      <c r="C18" s="21">
        <f>C5+C16</f>
        <v>0</v>
      </c>
      <c r="D18" s="21">
        <f>MAX((D5+D16),0)</f>
        <v>25493.056914581317</v>
      </c>
      <c r="E18" s="21">
        <f>MAX((E5+E16),0)</f>
        <v>2390.7804900065612</v>
      </c>
      <c r="F18" s="21">
        <f>MAX((F5+F16),0)</f>
        <v>30424.166454774975</v>
      </c>
      <c r="G18" s="21"/>
      <c r="H18" s="21"/>
      <c r="I18" s="21"/>
      <c r="J18" s="21">
        <f>MAX((J5+J16),0)</f>
        <v>14.390917698026566</v>
      </c>
      <c r="K18" s="21"/>
      <c r="L18" s="21">
        <f>MAX((L5+L16),0)</f>
        <v>0</v>
      </c>
      <c r="M18" s="21"/>
      <c r="N18" s="21">
        <f>MAX((N5+N16),0)</f>
        <v>5917.4261175992615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0.17420263799879329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4609.5224049940498</v>
      </c>
      <c r="C22" s="23">
        <f ca="1">C18*C20</f>
        <v>0</v>
      </c>
      <c r="D22" s="23">
        <f>D18*D20</f>
        <v>5149.5974967454267</v>
      </c>
      <c r="E22" s="23">
        <f>E18*E20</f>
        <v>542.70717123148938</v>
      </c>
      <c r="F22" s="23">
        <f>F18*F20</f>
        <v>8123.252443424919</v>
      </c>
      <c r="G22" s="23"/>
      <c r="H22" s="23"/>
      <c r="I22" s="23"/>
      <c r="J22" s="23">
        <f>J18*J20</f>
        <v>5.0943848651014045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482</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647</v>
      </c>
    </row>
    <row r="29" spans="1:18">
      <c r="A29" s="170" t="s">
        <v>37</v>
      </c>
      <c r="B29" s="37">
        <f>IF( ISERROR(IND_nonf_ele_kWh/1000),0,IND_nonf_ele_kWh/1000)</f>
        <v>0</v>
      </c>
      <c r="C29" s="39">
        <f>IF(ISERROR(B29*3.6/1000000/'E Balans VL '!Z17*100),0,B29*3.6/1000000/'E Balans VL '!Z17*100)</f>
        <v>0</v>
      </c>
      <c r="D29" s="235" t="s">
        <v>647</v>
      </c>
    </row>
    <row r="30" spans="1:18">
      <c r="A30" s="170" t="s">
        <v>35</v>
      </c>
      <c r="B30" s="37">
        <f>IF( ISERROR(IND_metaal_ele_kWh/1000),0,IND_metaal_ele_kWh/1000)</f>
        <v>153.738535415727</v>
      </c>
      <c r="C30" s="39">
        <f>IF(ISERROR(B30*3.6/1000000/'E Balans VL '!Z18*100),0,B30*3.6/1000000/'E Balans VL '!Z18*100)</f>
        <v>1.5127479432232666E-2</v>
      </c>
      <c r="D30" s="235" t="s">
        <v>647</v>
      </c>
    </row>
    <row r="31" spans="1:18">
      <c r="A31" s="6" t="s">
        <v>32</v>
      </c>
      <c r="B31" s="37">
        <f>IF( ISERROR(IND_ander_ele_kWh/1000),0,IND_ander_ele_kWh/1000)</f>
        <v>2077.0188800557389</v>
      </c>
      <c r="C31" s="39">
        <f>IF(ISERROR(B31*3.6/1000000/'E Balans VL '!Z19*100),0,B31*3.6/1000000/'E Balans VL '!Z19*100)</f>
        <v>9.0452515404787576E-2</v>
      </c>
      <c r="D31" s="235" t="s">
        <v>647</v>
      </c>
    </row>
    <row r="32" spans="1:18">
      <c r="A32" s="170" t="s">
        <v>40</v>
      </c>
      <c r="B32" s="37">
        <f>IF( ISERROR(IND_voed_ele_kWh/1000),0,IND_voed_ele_kWh/1000)</f>
        <v>18572.65822915217</v>
      </c>
      <c r="C32" s="39">
        <f>IF(ISERROR(B32*3.6/1000000/'E Balans VL '!Z20*100),0,B32*3.6/1000000/'E Balans VL '!Z20*100)</f>
        <v>3.5238940521117028</v>
      </c>
      <c r="D32" s="235" t="s">
        <v>647</v>
      </c>
    </row>
    <row r="33" spans="1:5">
      <c r="A33" s="170" t="s">
        <v>39</v>
      </c>
      <c r="B33" s="37">
        <f>IF( ISERROR(IND_textiel_ele_kWh/1000),0,IND_textiel_ele_kWh/1000)</f>
        <v>0</v>
      </c>
      <c r="C33" s="39">
        <f>IF(ISERROR(B33*3.6/1000000/'E Balans VL '!Z21*100),0,B33*3.6/1000000/'E Balans VL '!Z21*100)</f>
        <v>0</v>
      </c>
      <c r="D33" s="235" t="s">
        <v>647</v>
      </c>
    </row>
    <row r="34" spans="1:5">
      <c r="A34" s="170" t="s">
        <v>36</v>
      </c>
      <c r="B34" s="37">
        <f>IF( ISERROR(IND_min_ele_kWh/1000),0,IND_min_ele_kWh/1000)</f>
        <v>0</v>
      </c>
      <c r="C34" s="39">
        <f>IF(ISERROR(B34*3.6/1000000/'E Balans VL '!Z22*100),0,B34*3.6/1000000/'E Balans VL '!Z22*100)</f>
        <v>0</v>
      </c>
      <c r="D34" s="235" t="s">
        <v>647</v>
      </c>
    </row>
    <row r="35" spans="1:5">
      <c r="A35" s="170" t="s">
        <v>38</v>
      </c>
      <c r="B35" s="37">
        <f>IF( ISERROR(IND_papier_ele_kWh/1000),0,IND_papier_ele_kWh/1000)</f>
        <v>138.40156072941201</v>
      </c>
      <c r="C35" s="39">
        <f>IF(ISERROR(B35*3.6/1000000/'E Balans VL '!Z22*100),0,B35*3.6/1000000/'E Balans VL '!Z22*100)</f>
        <v>1.9460649223709086E-2</v>
      </c>
      <c r="D35" s="235" t="s">
        <v>647</v>
      </c>
    </row>
    <row r="36" spans="1:5">
      <c r="A36" s="170" t="s">
        <v>33</v>
      </c>
      <c r="B36" s="37">
        <f>IF( ISERROR(IND_chemie_ele_kWh/1000),0,IND_chemie_ele_kWh/1000)</f>
        <v>0</v>
      </c>
      <c r="C36" s="39">
        <f>IF(ISERROR(B36*3.6/1000000/'E Balans VL '!Z24*100),0,B36*3.6/1000000/'E Balans VL '!Z24*100)</f>
        <v>0</v>
      </c>
      <c r="D36" s="235" t="s">
        <v>647</v>
      </c>
    </row>
    <row r="37" spans="1:5">
      <c r="A37" s="170" t="s">
        <v>259</v>
      </c>
      <c r="B37" s="37">
        <f>IF( ISERROR(IND_rest_ele_kWh/1000),0,IND_rest_ele_kWh/1000)</f>
        <v>5518.8751122109361</v>
      </c>
      <c r="C37" s="39">
        <f>IF(ISERROR(B37*3.6/1000000/'E Balans VL '!Z15*100),0,B37*3.6/1000000/'E Balans VL '!Z15*100)</f>
        <v>4.2529711315481063E-2</v>
      </c>
      <c r="D37" s="235" t="s">
        <v>647</v>
      </c>
    </row>
    <row r="38" spans="1:5">
      <c r="A38" s="238"/>
      <c r="B38" s="179"/>
      <c r="C38" s="179"/>
      <c r="D38" s="239"/>
    </row>
    <row r="39" spans="1:5">
      <c r="A39" s="230"/>
      <c r="B39" s="32"/>
      <c r="C39" s="32"/>
      <c r="D39" s="32"/>
      <c r="E39" s="32"/>
    </row>
    <row r="40" spans="1:5">
      <c r="A40" s="192" t="s">
        <v>475</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472</v>
      </c>
      <c r="B44" s="310">
        <v>4.2</v>
      </c>
      <c r="C44" s="43"/>
      <c r="D44" s="304" t="s">
        <v>502</v>
      </c>
    </row>
    <row r="45" spans="1:5">
      <c r="A45" s="6" t="s">
        <v>473</v>
      </c>
      <c r="B45" s="315">
        <f>1.34/3.6</f>
        <v>0.37222222222222223</v>
      </c>
      <c r="C45" s="43" t="s">
        <v>208</v>
      </c>
      <c r="D45" s="304" t="s">
        <v>502</v>
      </c>
    </row>
    <row r="46" spans="1:5" s="32" customFormat="1">
      <c r="A46" s="174"/>
      <c r="B46" s="244"/>
      <c r="C46" s="179"/>
      <c r="D46" s="239"/>
    </row>
    <row r="48" spans="1:5">
      <c r="A48" s="193" t="s">
        <v>476</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502</v>
      </c>
    </row>
    <row r="53" spans="1:4">
      <c r="A53" s="170" t="s">
        <v>253</v>
      </c>
      <c r="B53" s="310">
        <v>2000</v>
      </c>
      <c r="C53" s="32" t="s">
        <v>254</v>
      </c>
      <c r="D53" s="304" t="s">
        <v>502</v>
      </c>
    </row>
    <row r="54" spans="1:4">
      <c r="A54" s="170" t="s">
        <v>403</v>
      </c>
      <c r="B54" s="310">
        <v>3.75</v>
      </c>
      <c r="C54" s="32"/>
      <c r="D54" s="304" t="s">
        <v>502</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260</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4743.5749554210652</v>
      </c>
      <c r="C5" s="17">
        <f>'Eigen informatie GS &amp; warmtenet'!B60</f>
        <v>0</v>
      </c>
      <c r="D5" s="30">
        <f>IF(ISERROR(SUM(LB_lb_gas_kWh,LB_rest_gas_kWh)/1000),0,SUM(LB_lb_gas_kWh,LB_rest_gas_kWh)/1000)*0.902</f>
        <v>326.23483309764521</v>
      </c>
      <c r="E5" s="17">
        <f>B17*'E Balans VL '!I25/3.6*1000000/100</f>
        <v>98.498959054755062</v>
      </c>
      <c r="F5" s="17">
        <f>B17*('E Balans VL '!L25/3.6*1000000+'E Balans VL '!N25/3.6*1000000)/100</f>
        <v>16763.914934635715</v>
      </c>
      <c r="G5" s="18"/>
      <c r="H5" s="17"/>
      <c r="I5" s="17"/>
      <c r="J5" s="17">
        <f>('E Balans VL '!D25+'E Balans VL '!E25)/3.6*1000000*landbouw!B17/100</f>
        <v>544.05804508006304</v>
      </c>
      <c r="K5" s="17"/>
      <c r="L5" s="17">
        <f>L6*(-1)</f>
        <v>0</v>
      </c>
      <c r="M5" s="17"/>
      <c r="N5" s="17">
        <f>N6*(-1)</f>
        <v>50241.857142857138</v>
      </c>
      <c r="O5" s="17"/>
      <c r="P5" s="17"/>
      <c r="R5" s="32"/>
    </row>
    <row r="6" spans="1:18">
      <c r="A6" s="16" t="s">
        <v>483</v>
      </c>
      <c r="B6" s="17" t="s">
        <v>204</v>
      </c>
      <c r="C6" s="17">
        <f>'lokale energieproductie'!O41+'lokale energieproductie'!O34</f>
        <v>25120.928571428569</v>
      </c>
      <c r="D6" s="305">
        <f>('lokale energieproductie'!P34+'lokale energieproductie'!P41)*(-1)</f>
        <v>0</v>
      </c>
      <c r="E6" s="246"/>
      <c r="F6" s="305">
        <f>('lokale energieproductie'!S34+'lokale energieproductie'!S41)*(-1)</f>
        <v>0</v>
      </c>
      <c r="G6" s="247"/>
      <c r="H6" s="246"/>
      <c r="I6" s="246"/>
      <c r="J6" s="246"/>
      <c r="K6" s="246"/>
      <c r="L6" s="305">
        <f>('lokale energieproductie'!T34+'lokale energieproductie'!U34+'lokale energieproductie'!T41+'lokale energieproductie'!U41)*(-1)</f>
        <v>0</v>
      </c>
      <c r="M6" s="246"/>
      <c r="N6" s="978">
        <f>('lokale energieproductie'!V34+'lokale energieproductie'!R34+'lokale energieproductie'!Q34+'lokale energieproductie'!Q41+'lokale energieproductie'!R41+'lokale energieproductie'!V41)*(-1)</f>
        <v>-50241.857142857138</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4743.5749554210652</v>
      </c>
      <c r="C8" s="21">
        <f>C5+C6</f>
        <v>25120.928571428569</v>
      </c>
      <c r="D8" s="21">
        <f>MAX((D5+D6),0)</f>
        <v>326.23483309764521</v>
      </c>
      <c r="E8" s="21">
        <f>MAX((E5+E6),0)</f>
        <v>98.498959054755062</v>
      </c>
      <c r="F8" s="21">
        <f>MAX((F5+F6),0)</f>
        <v>16763.914934635715</v>
      </c>
      <c r="G8" s="21"/>
      <c r="H8" s="21"/>
      <c r="I8" s="21"/>
      <c r="J8" s="21">
        <f>MAX((J5+J6),0)</f>
        <v>544.05804508006304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0.17420263799879329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826.34327077935779</v>
      </c>
      <c r="C12" s="23">
        <f ca="1">C8*C10</f>
        <v>0</v>
      </c>
      <c r="D12" s="23">
        <f>D8*D10</f>
        <v>65.899436285724335</v>
      </c>
      <c r="E12" s="23">
        <f>E8*E10</f>
        <v>22.359263705429399</v>
      </c>
      <c r="F12" s="23">
        <f>F8*F10</f>
        <v>4475.9652875477359</v>
      </c>
      <c r="G12" s="23"/>
      <c r="H12" s="23"/>
      <c r="I12" s="23"/>
      <c r="J12" s="23">
        <f>J8*J10</f>
        <v>192.59654795834231</v>
      </c>
      <c r="K12" s="23"/>
      <c r="L12" s="23">
        <f>L8*L10</f>
        <v>0</v>
      </c>
      <c r="M12" s="23">
        <f>M8*M10</f>
        <v>0</v>
      </c>
      <c r="N12" s="23">
        <f>N8*N10</f>
        <v>0</v>
      </c>
      <c r="O12" s="23"/>
      <c r="P12" s="23"/>
    </row>
    <row r="14" spans="1:18">
      <c r="A14" s="192" t="s">
        <v>489</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0.6615791974770765</v>
      </c>
      <c r="C17" s="235" t="s">
        <v>647</v>
      </c>
      <c r="D17" s="250"/>
    </row>
    <row r="18" spans="1:4">
      <c r="A18" s="238"/>
      <c r="B18" s="251"/>
      <c r="C18" s="239"/>
    </row>
    <row r="19" spans="1:4">
      <c r="A19" s="32"/>
      <c r="B19" s="48"/>
      <c r="C19" s="32"/>
    </row>
    <row r="20" spans="1:4">
      <c r="A20" s="32"/>
      <c r="B20" s="48"/>
      <c r="C20" s="32"/>
    </row>
    <row r="21" spans="1:4" ht="15.75" thickBot="1">
      <c r="B21" s="32"/>
    </row>
    <row r="22" spans="1:4" ht="15.75" customHeight="1">
      <c r="A22" s="1170" t="s">
        <v>292</v>
      </c>
      <c r="B22" s="1173" t="s">
        <v>293</v>
      </c>
      <c r="C22" s="1173" t="s">
        <v>488</v>
      </c>
    </row>
    <row r="23" spans="1:4">
      <c r="A23" s="1171"/>
      <c r="B23" s="1174"/>
      <c r="C23" s="1174"/>
    </row>
    <row r="24" spans="1:4" ht="15.75" thickBot="1">
      <c r="A24" s="1172"/>
      <c r="B24" s="1175"/>
      <c r="C24" s="1175"/>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1074.4787491918237</v>
      </c>
      <c r="C26" s="245">
        <f>B26*'GWP N2O_CH4'!B5</f>
        <v>22564.053733028297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376.9281285829054</v>
      </c>
      <c r="C27" s="245">
        <f>B27*'GWP N2O_CH4'!B5</f>
        <v>7915.4907002410137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15.706499027963876</v>
      </c>
      <c r="C28" s="245">
        <f>B28*'GWP N2O_CH4'!B4</f>
        <v>4869.0146986688014</v>
      </c>
      <c r="D28" s="50"/>
    </row>
    <row r="29" spans="1:4">
      <c r="A29" s="41" t="s">
        <v>266</v>
      </c>
      <c r="B29" s="245">
        <f>B34*'ha_N2O bodem landbouw'!B4</f>
        <v>31.337799683024524</v>
      </c>
      <c r="C29" s="245">
        <f>B29*'GWP N2O_CH4'!B4</f>
        <v>9714.717901737602</v>
      </c>
      <c r="D29" s="50"/>
    </row>
    <row r="31" spans="1:4">
      <c r="A31" s="192" t="s">
        <v>490</v>
      </c>
      <c r="B31" s="202"/>
      <c r="C31" s="224"/>
    </row>
    <row r="32" spans="1:4">
      <c r="A32" s="234"/>
      <c r="B32" s="32"/>
      <c r="C32" s="235"/>
    </row>
    <row r="33" spans="1:5">
      <c r="A33" s="236"/>
      <c r="B33" s="223" t="s">
        <v>595</v>
      </c>
      <c r="C33" s="237" t="s">
        <v>175</v>
      </c>
    </row>
    <row r="34" spans="1:5">
      <c r="A34" s="255" t="s">
        <v>105</v>
      </c>
      <c r="B34" s="35">
        <f>IF(ISERROR(aantalCultuurgronden/'ha_N2O bodem landbouw'!B5),0,aantalCultuurgronden/'ha_N2O bodem landbouw'!B5)</f>
        <v>7.8247354448170974E-3</v>
      </c>
      <c r="C34" s="256" t="s">
        <v>639</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62" t="s">
        <v>492</v>
      </c>
      <c r="B1" s="1163" t="s">
        <v>540</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4.501407975557826E-5</v>
      </c>
      <c r="C5" s="434" t="s">
        <v>204</v>
      </c>
      <c r="D5" s="419">
        <f>SUM(D6:D11)</f>
        <v>5.0498930480227932E-5</v>
      </c>
      <c r="E5" s="419">
        <f>SUM(E6:E11)</f>
        <v>1.7766692748857561E-3</v>
      </c>
      <c r="F5" s="432" t="s">
        <v>204</v>
      </c>
      <c r="G5" s="419">
        <f>SUM(G6:G11)</f>
        <v>0.4827551515020872</v>
      </c>
      <c r="H5" s="419">
        <f>SUM(H6:H11)</f>
        <v>9.0884673068671248E-2</v>
      </c>
      <c r="I5" s="434" t="s">
        <v>204</v>
      </c>
      <c r="J5" s="434" t="s">
        <v>204</v>
      </c>
      <c r="K5" s="434" t="s">
        <v>204</v>
      </c>
      <c r="L5" s="434" t="s">
        <v>204</v>
      </c>
      <c r="M5" s="419">
        <f>SUM(M6:M11)</f>
        <v>2.5939853236903145E-2</v>
      </c>
      <c r="N5" s="434" t="s">
        <v>204</v>
      </c>
      <c r="O5" s="434" t="s">
        <v>204</v>
      </c>
      <c r="P5" s="435" t="s">
        <v>204</v>
      </c>
    </row>
    <row r="6" spans="1:18">
      <c r="A6" s="260" t="s">
        <v>680</v>
      </c>
      <c r="B6" s="83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1.8622333610085224E-5</v>
      </c>
      <c r="C6" s="836"/>
      <c r="D6" s="83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1.6518157841925142E-5</v>
      </c>
      <c r="E6" s="836">
        <f>vkm_GW_PW*SUMIFS(TableVerdeelsleutelVkm[LPG],TableVerdeelsleutelVkm[Voertuigtype],"Lichte voertuigen")*SUMIFS(TableECFTransport[EnergieConsumptieFactor (PJ per km)],TableECFTransport[Index],CONCATENATE($A6,"_LPG_LPG"))</f>
        <v>5.9315341520489295E-4</v>
      </c>
      <c r="F6" s="422"/>
      <c r="G6" s="83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0.11791559574941775</v>
      </c>
      <c r="H6" s="83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3.0439193480784901E-2</v>
      </c>
      <c r="I6" s="836"/>
      <c r="J6" s="836"/>
      <c r="K6" s="836"/>
      <c r="L6" s="836"/>
      <c r="M6" s="83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6.711598695959684E-3</v>
      </c>
      <c r="N6" s="420"/>
      <c r="O6" s="420"/>
      <c r="P6" s="421"/>
    </row>
    <row r="7" spans="1:18">
      <c r="A7" s="260" t="s">
        <v>682</v>
      </c>
      <c r="B7" s="83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5.5883281330342612E-7</v>
      </c>
      <c r="C7" s="836"/>
      <c r="D7" s="836">
        <f>vkm_GW_ZV*SUMIFS(TableVerdeelsleutelVkm[CNG],TableVerdeelsleutelVkm[Voertuigtype],"Zware voertuigen")*SUMIFS(TableECFTransport[EnergieConsumptieFactor (PJ per km)],TableECFTransport[Index],CONCATENATE($A7,"_CNG_CNG"))</f>
        <v>0</v>
      </c>
      <c r="E7" s="836">
        <f>vkm_GW_ZV*SUMIFS(TableVerdeelsleutelVkm[LPG],TableVerdeelsleutelVkm[Voertuigtype],"Zware voertuigen")*SUMIFS(TableECFTransport[EnergieConsumptieFactor (PJ per km)],TableECFTransport[Index],CONCATENATE($A7,"_LPG_LPG"))</f>
        <v>0</v>
      </c>
      <c r="F7" s="422"/>
      <c r="G7" s="83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8.744902621901135E-2</v>
      </c>
      <c r="H7" s="83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2.3003981702955497E-6</v>
      </c>
      <c r="I7" s="836"/>
      <c r="J7" s="836"/>
      <c r="K7" s="836"/>
      <c r="L7" s="836"/>
      <c r="M7" s="83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3.9484722742154955E-3</v>
      </c>
      <c r="N7" s="420"/>
      <c r="O7" s="420"/>
      <c r="P7" s="421"/>
    </row>
    <row r="8" spans="1:18">
      <c r="A8" s="260" t="s">
        <v>683</v>
      </c>
      <c r="B8" s="83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2.2618128104605692E-5</v>
      </c>
      <c r="C8" s="836"/>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3.1564159278671203E-5</v>
      </c>
      <c r="E8" s="422">
        <f>vkm_NGW_PW*SUMIFS(TableVerdeelsleutelVkm[LPG],TableVerdeelsleutelVkm[Voertuigtype],"Lichte voertuigen")*SUMIFS(TableECFTransport[EnergieConsumptieFactor (PJ per km)],TableECFTransport[Index],CONCATENATE($A8,"_LPG_LPG"))</f>
        <v>1.0760695466966901E-3</v>
      </c>
      <c r="F8" s="422"/>
      <c r="G8" s="83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0.20181521894981339</v>
      </c>
      <c r="H8" s="83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5.5752557112303362E-2</v>
      </c>
      <c r="I8" s="836"/>
      <c r="J8" s="836"/>
      <c r="K8" s="836"/>
      <c r="L8" s="836"/>
      <c r="M8" s="83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1.1653684781865428E-2</v>
      </c>
      <c r="N8" s="420"/>
      <c r="O8" s="420"/>
      <c r="P8" s="421"/>
    </row>
    <row r="9" spans="1:18">
      <c r="A9" s="260" t="s">
        <v>684</v>
      </c>
      <c r="B9" s="83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2.1983209553353322E-7</v>
      </c>
      <c r="C9" s="836"/>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3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4.4187988193095128E-2</v>
      </c>
      <c r="H9" s="83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1.0922666173418909E-6</v>
      </c>
      <c r="I9" s="836"/>
      <c r="J9" s="836"/>
      <c r="K9" s="836"/>
      <c r="L9" s="836"/>
      <c r="M9" s="83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1.9951596286410535E-3</v>
      </c>
      <c r="N9" s="420"/>
      <c r="O9" s="420"/>
      <c r="P9" s="421"/>
    </row>
    <row r="10" spans="1:18">
      <c r="A10" s="260" t="s">
        <v>685</v>
      </c>
      <c r="B10" s="83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2.9156428635605607E-6</v>
      </c>
      <c r="C10" s="836"/>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2.4166133596315856E-6</v>
      </c>
      <c r="E10" s="422">
        <f>vkm_SW_PW*SUMIFS(TableVerdeelsleutelVkm[LPG],TableVerdeelsleutelVkm[Voertuigtype],"Lichte voertuigen")*SUMIFS(TableECFTransport[EnergieConsumptieFactor (PJ per km)],TableECFTransport[Index],CONCATENATE($A10,"_LPG_LPG"))</f>
        <v>1.0744631298417308E-4</v>
      </c>
      <c r="F10" s="422"/>
      <c r="G10" s="83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1.9562353825132824E-2</v>
      </c>
      <c r="H10" s="83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4.6891937785343962E-3</v>
      </c>
      <c r="I10" s="836"/>
      <c r="J10" s="836"/>
      <c r="K10" s="836"/>
      <c r="L10" s="836"/>
      <c r="M10" s="83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1.0970192743143036E-3</v>
      </c>
      <c r="N10" s="420"/>
      <c r="O10" s="420"/>
      <c r="P10" s="421"/>
    </row>
    <row r="11" spans="1:18">
      <c r="A11" s="4" t="s">
        <v>686</v>
      </c>
      <c r="B11" s="83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7.9310268489816184E-8</v>
      </c>
      <c r="C11" s="837"/>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3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1.1824968565616848E-2</v>
      </c>
      <c r="H11" s="83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3.3603226094061295E-7</v>
      </c>
      <c r="I11" s="837"/>
      <c r="J11" s="837"/>
      <c r="K11" s="837"/>
      <c r="L11" s="837"/>
      <c r="M11" s="83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5.3391858190717943E-4</v>
      </c>
      <c r="N11" s="423"/>
      <c r="O11" s="423"/>
      <c r="P11" s="425"/>
    </row>
    <row r="12" spans="1:18">
      <c r="A12" s="326" t="s">
        <v>538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12.503911043216185</v>
      </c>
      <c r="C14" s="21"/>
      <c r="D14" s="21">
        <f t="shared" ref="D14:M14" si="0">((D5)*10^9/3600)+D12</f>
        <v>14.027480688952203</v>
      </c>
      <c r="E14" s="21">
        <f t="shared" si="0"/>
        <v>493.51924302382116</v>
      </c>
      <c r="F14" s="21"/>
      <c r="G14" s="21">
        <f t="shared" si="0"/>
        <v>134098.65319502421</v>
      </c>
      <c r="H14" s="21">
        <f t="shared" si="0"/>
        <v>25245.742519075346</v>
      </c>
      <c r="I14" s="21"/>
      <c r="J14" s="21"/>
      <c r="K14" s="21"/>
      <c r="L14" s="21"/>
      <c r="M14" s="21">
        <f t="shared" si="0"/>
        <v>7205.5147880286513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0.17420263799879329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2.1782142890305027</v>
      </c>
      <c r="C18" s="23"/>
      <c r="D18" s="23">
        <f t="shared" ref="D18:M18" si="1">D14*D16</f>
        <v>2.833551099168345</v>
      </c>
      <c r="E18" s="23">
        <f t="shared" si="1"/>
        <v>112.02886816640741</v>
      </c>
      <c r="F18" s="23"/>
      <c r="G18" s="23">
        <f t="shared" si="1"/>
        <v>35804.340403071466</v>
      </c>
      <c r="H18" s="23">
        <f t="shared" si="1"/>
        <v>6286.1898872497613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24"/>
    </row>
    <row r="21" spans="1:18">
      <c r="A21" s="261" t="s">
        <v>494</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862" t="s">
        <v>298</v>
      </c>
      <c r="C23" s="862" t="s">
        <v>688</v>
      </c>
      <c r="D23" s="862" t="s">
        <v>689</v>
      </c>
      <c r="E23" s="862" t="s">
        <v>690</v>
      </c>
      <c r="F23" s="862" t="s">
        <v>629</v>
      </c>
      <c r="G23" s="862" t="s">
        <v>691</v>
      </c>
      <c r="H23" s="862" t="s">
        <v>692</v>
      </c>
      <c r="I23" s="862" t="s">
        <v>112</v>
      </c>
      <c r="J23" s="862" t="s">
        <v>693</v>
      </c>
      <c r="K23" s="862" t="s">
        <v>694</v>
      </c>
      <c r="L23" s="863" t="s">
        <v>695</v>
      </c>
      <c r="M23" s="129" t="s">
        <v>175</v>
      </c>
      <c r="N23" s="267" t="s">
        <v>305</v>
      </c>
    </row>
    <row r="24" spans="1:18">
      <c r="A24" s="32" t="s">
        <v>679</v>
      </c>
      <c r="B24" s="1010">
        <v>9.0584094997558823E-5</v>
      </c>
      <c r="C24" s="1010">
        <v>0.79255752765054543</v>
      </c>
      <c r="D24" s="1010" t="s">
        <v>856</v>
      </c>
      <c r="E24" s="1010">
        <v>3.7876965279153736E-5</v>
      </c>
      <c r="F24" s="1011"/>
      <c r="G24" s="1010">
        <v>3.379640669428631E-4</v>
      </c>
      <c r="H24" s="1010" t="s">
        <v>856</v>
      </c>
      <c r="I24" s="1010">
        <v>3.6821160983672081E-3</v>
      </c>
      <c r="J24" s="1010">
        <v>0.20098925657405553</v>
      </c>
      <c r="K24" s="1010">
        <v>2.2620093728658659E-3</v>
      </c>
      <c r="L24" s="1010">
        <v>4.2665176946103459E-5</v>
      </c>
      <c r="M24" s="1002" t="s">
        <v>894</v>
      </c>
      <c r="N24" s="835">
        <f>SUM(B24:L24)</f>
        <v>0.99999999999999967</v>
      </c>
    </row>
    <row r="25" spans="1:18">
      <c r="A25" s="32" t="s">
        <v>681</v>
      </c>
      <c r="B25" s="1010" t="s">
        <v>856</v>
      </c>
      <c r="C25" s="1010">
        <v>0.99994545913891242</v>
      </c>
      <c r="D25" s="1010" t="s">
        <v>856</v>
      </c>
      <c r="E25" s="1010" t="s">
        <v>856</v>
      </c>
      <c r="F25" s="1011"/>
      <c r="G25" s="1010">
        <v>1.3549007354225309E-5</v>
      </c>
      <c r="H25" s="1010" t="s">
        <v>856</v>
      </c>
      <c r="I25" s="1010" t="s">
        <v>856</v>
      </c>
      <c r="J25" s="1010">
        <v>4.099185373343652E-5</v>
      </c>
      <c r="K25" s="1010" t="s">
        <v>856</v>
      </c>
      <c r="L25" s="1010" t="s">
        <v>856</v>
      </c>
      <c r="M25" s="1002" t="s">
        <v>894</v>
      </c>
      <c r="N25" s="835">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495</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32">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03" t="s">
        <v>871</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32">
        <f>C30</f>
        <v>2013</v>
      </c>
      <c r="D37" s="272" t="s">
        <v>307</v>
      </c>
      <c r="E37" s="864"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176" t="s">
        <v>493</v>
      </c>
      <c r="B46" s="1177" t="s">
        <v>539</v>
      </c>
      <c r="C46" s="1178"/>
      <c r="D46" s="1178"/>
      <c r="E46" s="1178"/>
      <c r="F46" s="1178"/>
      <c r="G46" s="1178"/>
      <c r="H46" s="1178"/>
      <c r="I46" s="1178"/>
      <c r="J46" s="1178"/>
      <c r="K46" s="1178"/>
      <c r="L46" s="1178"/>
      <c r="M46" s="1178"/>
      <c r="N46" s="1178"/>
      <c r="O46" s="1178"/>
      <c r="P46" s="1178"/>
    </row>
    <row r="47" spans="1:16" s="15" customFormat="1" ht="15.75" thickTop="1">
      <c r="A47" s="1176"/>
      <c r="B47" s="1179" t="s">
        <v>20</v>
      </c>
      <c r="C47" s="1179" t="s">
        <v>189</v>
      </c>
      <c r="D47" s="1181" t="s">
        <v>190</v>
      </c>
      <c r="E47" s="1182"/>
      <c r="F47" s="1182"/>
      <c r="G47" s="1182"/>
      <c r="H47" s="1182"/>
      <c r="I47" s="1182"/>
      <c r="J47" s="1182"/>
      <c r="K47" s="1183"/>
      <c r="L47" s="1181" t="s">
        <v>191</v>
      </c>
      <c r="M47" s="1182"/>
      <c r="N47" s="1182"/>
      <c r="O47" s="1182"/>
      <c r="P47" s="1183"/>
    </row>
    <row r="48" spans="1:16" s="15" customFormat="1" ht="45">
      <c r="A48" s="1176"/>
      <c r="B48" s="1180"/>
      <c r="C48" s="118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3.4924069440206812E-5</v>
      </c>
      <c r="C50" s="316">
        <f t="shared" ref="C50:P50" si="2">SUM(C51:C52)</f>
        <v>0</v>
      </c>
      <c r="D50" s="316">
        <f t="shared" si="2"/>
        <v>0</v>
      </c>
      <c r="E50" s="316">
        <f t="shared" si="2"/>
        <v>0</v>
      </c>
      <c r="F50" s="316">
        <f t="shared" si="2"/>
        <v>0</v>
      </c>
      <c r="G50" s="316">
        <f t="shared" si="2"/>
        <v>6.7977725024250014E-3</v>
      </c>
      <c r="H50" s="316">
        <f t="shared" si="2"/>
        <v>0</v>
      </c>
      <c r="I50" s="316">
        <f t="shared" si="2"/>
        <v>0</v>
      </c>
      <c r="J50" s="316">
        <f t="shared" si="2"/>
        <v>0</v>
      </c>
      <c r="K50" s="316">
        <f t="shared" si="2"/>
        <v>0</v>
      </c>
      <c r="L50" s="316">
        <f t="shared" si="2"/>
        <v>0</v>
      </c>
      <c r="M50" s="316">
        <f t="shared" si="2"/>
        <v>3.0481783094123816E-4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3.4924069440206812E-5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6.7977725024250014E-3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3.0481783094123816E-4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9.7011304000574476</v>
      </c>
      <c r="C54" s="21">
        <f t="shared" ref="C54:P54" si="3">(C50)*10^9/3600</f>
        <v>0</v>
      </c>
      <c r="D54" s="21">
        <f t="shared" si="3"/>
        <v>0</v>
      </c>
      <c r="E54" s="21">
        <f t="shared" si="3"/>
        <v>0</v>
      </c>
      <c r="F54" s="21">
        <f t="shared" si="3"/>
        <v>0</v>
      </c>
      <c r="G54" s="21">
        <f t="shared" si="3"/>
        <v>1888.2701395625004</v>
      </c>
      <c r="H54" s="21">
        <f t="shared" si="3"/>
        <v>0</v>
      </c>
      <c r="I54" s="21">
        <f t="shared" si="3"/>
        <v>0</v>
      </c>
      <c r="J54" s="21">
        <f t="shared" si="3"/>
        <v>0</v>
      </c>
      <c r="K54" s="21">
        <f t="shared" si="3"/>
        <v>0</v>
      </c>
      <c r="L54" s="21">
        <f t="shared" si="3"/>
        <v>0</v>
      </c>
      <c r="M54" s="21">
        <f t="shared" si="3"/>
        <v>84.671619705899488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0.17420263799879329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1.6899625072602964</v>
      </c>
      <c r="C58" s="23">
        <f t="shared" ref="C58:P58" ca="1" si="4">C54*C56</f>
        <v>0</v>
      </c>
      <c r="D58" s="23">
        <f t="shared" si="4"/>
        <v>0</v>
      </c>
      <c r="E58" s="23">
        <f t="shared" si="4"/>
        <v>0</v>
      </c>
      <c r="F58" s="23">
        <f t="shared" si="4"/>
        <v>0</v>
      </c>
      <c r="G58" s="23">
        <f t="shared" si="4"/>
        <v>504.16812726318761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553</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855</v>
      </c>
      <c r="B65" s="1009">
        <v>2.1999999999999999E-2</v>
      </c>
      <c r="C65" s="173" t="s">
        <v>709</v>
      </c>
    </row>
    <row r="66" spans="1:12" s="15" customFormat="1">
      <c r="A66" s="285"/>
      <c r="B66" s="268"/>
      <c r="C66" s="231"/>
    </row>
    <row r="67" spans="1:12">
      <c r="A67" s="288" t="s">
        <v>305</v>
      </c>
      <c r="B67" s="289">
        <f>SUM(B64:B65)</f>
        <v>1</v>
      </c>
      <c r="C67" s="175"/>
    </row>
    <row r="70" spans="1:12">
      <c r="A70" s="261" t="s">
        <v>495</v>
      </c>
      <c r="B70" s="263"/>
      <c r="C70" s="263"/>
      <c r="D70" s="263"/>
      <c r="E70" s="263"/>
      <c r="F70" s="263"/>
      <c r="G70" s="263"/>
      <c r="H70" s="263"/>
      <c r="I70" s="263"/>
      <c r="J70" s="263"/>
      <c r="K70" s="263"/>
      <c r="L70" s="264"/>
    </row>
    <row r="71" spans="1:12">
      <c r="A71" s="416" t="s">
        <v>554</v>
      </c>
    </row>
    <row r="72" spans="1:12">
      <c r="A72" s="260"/>
      <c r="B72" s="265"/>
      <c r="C72" s="265"/>
      <c r="D72" s="265"/>
      <c r="E72" s="265"/>
    </row>
    <row r="73" spans="1:12">
      <c r="A73" s="271"/>
      <c r="B73" s="272" t="s">
        <v>306</v>
      </c>
      <c r="C73" s="832">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B53"/>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34" customFormat="1" ht="17.45" customHeight="1" thickTop="1" thickBot="1">
      <c r="A1" s="1184" t="s">
        <v>230</v>
      </c>
      <c r="B1" s="1187" t="s">
        <v>231</v>
      </c>
      <c r="C1" s="1196" t="s">
        <v>232</v>
      </c>
      <c r="D1" s="1197"/>
      <c r="E1" s="1197"/>
      <c r="F1" s="1197"/>
      <c r="G1" s="1197"/>
      <c r="H1" s="1197"/>
      <c r="I1" s="1197"/>
      <c r="J1" s="1197"/>
      <c r="K1" s="1197"/>
      <c r="L1" s="1197"/>
      <c r="M1" s="1197"/>
      <c r="N1" s="1198"/>
      <c r="O1" s="1199" t="s">
        <v>233</v>
      </c>
      <c r="P1" s="1187" t="s">
        <v>541</v>
      </c>
      <c r="Q1" s="1199"/>
      <c r="S1" s="1205"/>
      <c r="T1" s="1205"/>
      <c r="U1" s="1205"/>
    </row>
    <row r="2" spans="1:21" s="534" customFormat="1" ht="15.75" thickBot="1">
      <c r="A2" s="1185"/>
      <c r="B2" s="1185"/>
      <c r="C2" s="1189" t="s">
        <v>190</v>
      </c>
      <c r="D2" s="1190"/>
      <c r="E2" s="1190"/>
      <c r="F2" s="1190"/>
      <c r="G2" s="1191"/>
      <c r="H2" s="1192" t="s">
        <v>234</v>
      </c>
      <c r="I2" s="1194" t="s">
        <v>235</v>
      </c>
      <c r="J2" s="1194" t="s">
        <v>223</v>
      </c>
      <c r="K2" s="1194" t="s">
        <v>236</v>
      </c>
      <c r="L2" s="1194" t="s">
        <v>120</v>
      </c>
      <c r="M2" s="1194" t="s">
        <v>810</v>
      </c>
      <c r="N2" s="1208" t="s">
        <v>811</v>
      </c>
      <c r="O2" s="1200"/>
      <c r="P2" s="1202"/>
      <c r="Q2" s="1200"/>
      <c r="S2" s="1205"/>
      <c r="T2" s="1205"/>
      <c r="U2" s="1205"/>
    </row>
    <row r="3" spans="1:21" s="534" customFormat="1" ht="53.45" customHeight="1" thickBot="1">
      <c r="A3" s="1186"/>
      <c r="B3" s="1188"/>
      <c r="C3" s="535" t="s">
        <v>192</v>
      </c>
      <c r="D3" s="974" t="s">
        <v>193</v>
      </c>
      <c r="E3" s="536" t="s">
        <v>194</v>
      </c>
      <c r="F3" s="537" t="s">
        <v>196</v>
      </c>
      <c r="G3" s="538" t="s">
        <v>197</v>
      </c>
      <c r="H3" s="1193"/>
      <c r="I3" s="1195"/>
      <c r="J3" s="1195"/>
      <c r="K3" s="1195"/>
      <c r="L3" s="1195"/>
      <c r="M3" s="1195"/>
      <c r="N3" s="1209"/>
      <c r="O3" s="1201"/>
      <c r="P3" s="1188"/>
      <c r="Q3" s="1201"/>
      <c r="S3" s="1205"/>
      <c r="T3" s="1205"/>
      <c r="U3" s="1205"/>
    </row>
    <row r="4" spans="1:21" s="534" customFormat="1" ht="15.75" thickTop="1">
      <c r="A4" s="539" t="s">
        <v>238</v>
      </c>
      <c r="B4" s="540">
        <f>IF(ISERROR(kWh_wind_land),0,kWh_wind_land)</f>
        <v>0</v>
      </c>
      <c r="C4" s="1210"/>
      <c r="D4" s="1213"/>
      <c r="E4" s="1213"/>
      <c r="F4" s="1216"/>
      <c r="G4" s="1219"/>
      <c r="H4" s="1222"/>
      <c r="I4" s="1213"/>
      <c r="J4" s="1213"/>
      <c r="K4" s="1213"/>
      <c r="L4" s="1213"/>
      <c r="M4" s="1213"/>
      <c r="N4" s="961"/>
      <c r="O4" s="541"/>
      <c r="P4" s="1225"/>
      <c r="Q4" s="1226"/>
      <c r="S4" s="975"/>
      <c r="T4" s="1227"/>
      <c r="U4" s="1227"/>
    </row>
    <row r="5" spans="1:21" s="534" customFormat="1">
      <c r="A5" s="542" t="s">
        <v>239</v>
      </c>
      <c r="B5" s="540">
        <f>IF(ISERROR(kWh_waterkracht),0,kWh_waterkracht)</f>
        <v>0</v>
      </c>
      <c r="C5" s="1211"/>
      <c r="D5" s="1214"/>
      <c r="E5" s="1214"/>
      <c r="F5" s="1217"/>
      <c r="G5" s="1220"/>
      <c r="H5" s="1223"/>
      <c r="I5" s="1214"/>
      <c r="J5" s="1214"/>
      <c r="K5" s="1214"/>
      <c r="L5" s="1214"/>
      <c r="M5" s="1214"/>
      <c r="N5" s="961"/>
      <c r="O5" s="543"/>
      <c r="P5" s="1206"/>
      <c r="Q5" s="1207"/>
      <c r="S5" s="975"/>
      <c r="T5" s="1227"/>
      <c r="U5" s="1227"/>
    </row>
    <row r="6" spans="1:21" s="534" customFormat="1">
      <c r="A6" s="542" t="s">
        <v>240</v>
      </c>
      <c r="B6" s="540">
        <f>IF(ISERROR((kWh_PV_kleiner_dan_10kW+kWh_PV_groter_dan_10kW)),0,(kWh_PV_kleiner_dan_10kW+kWh_PV_groter_dan_10kW))</f>
        <v>5915.8688380224366</v>
      </c>
      <c r="C6" s="1211"/>
      <c r="D6" s="1214"/>
      <c r="E6" s="1214"/>
      <c r="F6" s="1217"/>
      <c r="G6" s="1220"/>
      <c r="H6" s="1223"/>
      <c r="I6" s="1214"/>
      <c r="J6" s="1214"/>
      <c r="K6" s="1214"/>
      <c r="L6" s="1214"/>
      <c r="M6" s="1214"/>
      <c r="N6" s="961"/>
      <c r="O6" s="543"/>
      <c r="P6" s="1206"/>
      <c r="Q6" s="1207"/>
      <c r="S6" s="975"/>
      <c r="T6" s="1227"/>
      <c r="U6" s="1227"/>
    </row>
    <row r="7" spans="1:21" s="534" customFormat="1">
      <c r="A7" s="542" t="s">
        <v>809</v>
      </c>
      <c r="B7" s="540"/>
      <c r="C7" s="1212"/>
      <c r="D7" s="1215"/>
      <c r="E7" s="1215"/>
      <c r="F7" s="1218"/>
      <c r="G7" s="1221"/>
      <c r="H7" s="1224"/>
      <c r="I7" s="1215"/>
      <c r="J7" s="1215"/>
      <c r="K7" s="1215"/>
      <c r="L7" s="1215"/>
      <c r="M7" s="1215"/>
      <c r="N7" s="962"/>
      <c r="O7" s="543"/>
      <c r="P7" s="972"/>
      <c r="Q7" s="973"/>
      <c r="S7" s="975"/>
      <c r="T7" s="975"/>
      <c r="U7" s="975"/>
    </row>
    <row r="8" spans="1:21" s="534" customFormat="1">
      <c r="A8" s="544" t="s">
        <v>241</v>
      </c>
      <c r="B8" s="545">
        <f>N31</f>
        <v>17584.650000000001</v>
      </c>
      <c r="C8" s="546">
        <f>B50</f>
        <v>0</v>
      </c>
      <c r="D8" s="963"/>
      <c r="E8" s="963">
        <f>E50</f>
        <v>0</v>
      </c>
      <c r="F8" s="964"/>
      <c r="G8" s="547"/>
      <c r="H8" s="963">
        <f>I50</f>
        <v>0</v>
      </c>
      <c r="I8" s="963">
        <f>G50+F50</f>
        <v>0</v>
      </c>
      <c r="J8" s="963">
        <f>H50+D50+C50</f>
        <v>20687.823529411766</v>
      </c>
      <c r="K8" s="963"/>
      <c r="L8" s="963"/>
      <c r="M8" s="963"/>
      <c r="N8" s="548"/>
      <c r="O8" s="549">
        <f>C8*$C$12+D8*$D$12+E8*$E$12+F8*$F$12+G8*$G$12+H8*$H$12+I8*$I$12+J8*$J$12</f>
        <v>0</v>
      </c>
      <c r="P8" s="1206"/>
      <c r="Q8" s="1207"/>
      <c r="S8" s="975"/>
      <c r="T8" s="1227"/>
      <c r="U8" s="1227"/>
    </row>
    <row r="9" spans="1:21" s="534" customFormat="1" ht="17.45" customHeight="1" thickBot="1">
      <c r="A9" s="550" t="s">
        <v>237</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65"/>
      <c r="O9" s="549">
        <f>C9*$C$12+D9*$D$12+E9*$E$12+F9*$F$12+G9*$G$12+H9*$H$12+I9*$I$12+J9*$J$12</f>
        <v>0</v>
      </c>
      <c r="P9" s="1203"/>
      <c r="Q9" s="1204"/>
      <c r="R9" s="556"/>
      <c r="S9" s="975"/>
      <c r="T9" s="1227"/>
      <c r="U9" s="1227"/>
    </row>
    <row r="10" spans="1:21" s="534" customFormat="1" ht="16.5" thickTop="1" thickBot="1">
      <c r="A10" s="557" t="s">
        <v>109</v>
      </c>
      <c r="B10" s="558">
        <f>SUM(B4:B9)</f>
        <v>23500.518838022439</v>
      </c>
      <c r="C10" s="559">
        <f t="shared" ref="C10:L10" si="0">SUM(C8:C9)</f>
        <v>0</v>
      </c>
      <c r="D10" s="559">
        <f t="shared" si="0"/>
        <v>0</v>
      </c>
      <c r="E10" s="559">
        <f t="shared" si="0"/>
        <v>0</v>
      </c>
      <c r="F10" s="559">
        <f t="shared" si="0"/>
        <v>0</v>
      </c>
      <c r="G10" s="559">
        <f t="shared" si="0"/>
        <v>0</v>
      </c>
      <c r="H10" s="559">
        <f t="shared" si="0"/>
        <v>0</v>
      </c>
      <c r="I10" s="559">
        <f t="shared" si="0"/>
        <v>0</v>
      </c>
      <c r="J10" s="559">
        <f t="shared" si="0"/>
        <v>20687.823529411766</v>
      </c>
      <c r="K10" s="559">
        <f t="shared" si="0"/>
        <v>0</v>
      </c>
      <c r="L10" s="559">
        <f t="shared" si="0"/>
        <v>0</v>
      </c>
      <c r="M10" s="966"/>
      <c r="N10" s="966"/>
      <c r="O10" s="560">
        <f>SUM(O4:O9)</f>
        <v>0</v>
      </c>
      <c r="P10" s="561"/>
      <c r="R10" s="976"/>
      <c r="S10" s="975"/>
      <c r="T10" s="976"/>
      <c r="U10" s="976"/>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967" t="s">
        <v>279</v>
      </c>
      <c r="B12" s="968"/>
      <c r="C12" s="968">
        <f>EF_CO2_aardgas</f>
        <v>0.20200000000000001</v>
      </c>
      <c r="D12" s="968">
        <f>EF_VLgas_CO2</f>
        <v>0.22700000000000001</v>
      </c>
      <c r="E12" s="968">
        <f>EF_stookolie_CO2</f>
        <v>0.26700000000000002</v>
      </c>
      <c r="F12" s="968">
        <f>EF_bruinkool_CO2</f>
        <v>0.35099999999999998</v>
      </c>
      <c r="G12" s="968">
        <f>EF_steenkool_CO2</f>
        <v>0.35399999999999998</v>
      </c>
      <c r="H12" s="968">
        <f>'EF brandstof'!M4</f>
        <v>0.33</v>
      </c>
      <c r="I12" s="968">
        <f>'EF brandstof'!J4</f>
        <v>0</v>
      </c>
      <c r="J12" s="968">
        <f>'EF brandstof'!L4</f>
        <v>0</v>
      </c>
      <c r="K12" s="968">
        <f>'EF brandstof'!L4</f>
        <v>0</v>
      </c>
      <c r="L12" s="968"/>
      <c r="M12" s="968"/>
      <c r="N12" s="968"/>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184" t="s">
        <v>242</v>
      </c>
      <c r="B14" s="1184" t="s">
        <v>243</v>
      </c>
      <c r="C14" s="1228" t="s">
        <v>244</v>
      </c>
      <c r="D14" s="1229"/>
      <c r="E14" s="1229"/>
      <c r="F14" s="1229"/>
      <c r="G14" s="1229"/>
      <c r="H14" s="1229"/>
      <c r="I14" s="1229"/>
      <c r="J14" s="1229"/>
      <c r="K14" s="1229"/>
      <c r="L14" s="1229"/>
      <c r="M14" s="1229"/>
      <c r="N14" s="1230"/>
      <c r="O14" s="1199" t="s">
        <v>233</v>
      </c>
      <c r="P14" s="1187" t="s">
        <v>245</v>
      </c>
      <c r="Q14" s="1199"/>
      <c r="R14" s="1205"/>
      <c r="S14" s="1205"/>
      <c r="T14" s="1205"/>
    </row>
    <row r="15" spans="1:21" s="534" customFormat="1" ht="15.75" customHeight="1" thickBot="1">
      <c r="A15" s="1185"/>
      <c r="B15" s="1185"/>
      <c r="C15" s="1231" t="s">
        <v>190</v>
      </c>
      <c r="D15" s="1232"/>
      <c r="E15" s="1232"/>
      <c r="F15" s="1232"/>
      <c r="G15" s="1233"/>
      <c r="H15" s="1234" t="s">
        <v>234</v>
      </c>
      <c r="I15" s="1234" t="s">
        <v>235</v>
      </c>
      <c r="J15" s="1234" t="s">
        <v>223</v>
      </c>
      <c r="K15" s="1234" t="s">
        <v>246</v>
      </c>
      <c r="L15" s="1234" t="s">
        <v>120</v>
      </c>
      <c r="M15" s="1234" t="s">
        <v>810</v>
      </c>
      <c r="N15" s="1208" t="s">
        <v>811</v>
      </c>
      <c r="O15" s="1200"/>
      <c r="P15" s="1202"/>
      <c r="Q15" s="1200"/>
      <c r="R15" s="1205"/>
      <c r="S15" s="1205"/>
      <c r="T15" s="1205"/>
    </row>
    <row r="16" spans="1:21" s="534" customFormat="1" ht="40.700000000000003" customHeight="1" thickBot="1">
      <c r="A16" s="1186"/>
      <c r="B16" s="1186"/>
      <c r="C16" s="567" t="s">
        <v>192</v>
      </c>
      <c r="D16" s="974" t="s">
        <v>193</v>
      </c>
      <c r="E16" s="937" t="s">
        <v>194</v>
      </c>
      <c r="F16" s="974" t="s">
        <v>196</v>
      </c>
      <c r="G16" s="568" t="s">
        <v>197</v>
      </c>
      <c r="H16" s="1193"/>
      <c r="I16" s="1193"/>
      <c r="J16" s="1193"/>
      <c r="K16" s="1193"/>
      <c r="L16" s="1193"/>
      <c r="M16" s="1193"/>
      <c r="N16" s="1209"/>
      <c r="O16" s="1201"/>
      <c r="P16" s="1188"/>
      <c r="Q16" s="1201"/>
      <c r="R16" s="1205"/>
      <c r="S16" s="1205"/>
      <c r="T16" s="1205"/>
    </row>
    <row r="17" spans="1:27" s="534" customFormat="1" ht="15.75" thickTop="1">
      <c r="A17" s="569" t="s">
        <v>241</v>
      </c>
      <c r="B17" s="570">
        <f>O31</f>
        <v>25120.928571428569</v>
      </c>
      <c r="C17" s="571">
        <f>B51</f>
        <v>0</v>
      </c>
      <c r="D17" s="572"/>
      <c r="E17" s="572">
        <f>E51</f>
        <v>0</v>
      </c>
      <c r="F17" s="969"/>
      <c r="G17" s="573"/>
      <c r="H17" s="571">
        <f>I51</f>
        <v>0</v>
      </c>
      <c r="I17" s="572">
        <f>G51+F51</f>
        <v>0</v>
      </c>
      <c r="J17" s="572">
        <f>H51+D51+C51</f>
        <v>29554.033613445372</v>
      </c>
      <c r="K17" s="572"/>
      <c r="L17" s="572"/>
      <c r="M17" s="572"/>
      <c r="N17" s="970"/>
      <c r="O17" s="574">
        <f>C17*$C$22+E17*$E$22+H17*$H$22+I17*$I$22+J17*$J$22+D17*$D$22+F17*$F$22+G17*$G$22+K17*$K$22+L17*$L$22</f>
        <v>0</v>
      </c>
      <c r="P17" s="1243"/>
      <c r="Q17" s="1244"/>
      <c r="R17" s="977"/>
      <c r="S17" s="1238"/>
      <c r="T17" s="1238"/>
    </row>
    <row r="18" spans="1:27" s="534" customFormat="1">
      <c r="A18" s="575" t="s">
        <v>247</v>
      </c>
      <c r="B18" s="576">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4">
        <f>C18*$C$22+E18*$E$22+H18*$H$22+I18*$I$22+J18*$J$22+D18*$D$22+F18*$F$22+G18*$G$22+K18*$K$22+L18*$L$22</f>
        <v>0</v>
      </c>
      <c r="P18" s="1239"/>
      <c r="Q18" s="1240"/>
      <c r="R18" s="975"/>
      <c r="S18" s="1227"/>
      <c r="T18" s="1227"/>
    </row>
    <row r="19" spans="1:27"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71"/>
      <c r="O19" s="574">
        <f>C19*$C$22+E19*$E$22+H19*$H$22+I19*$I$22+J19*$J$22+D19*$D$22+F19*$F$22+G19*$G$22+K19*$K$22+L19*$L$22</f>
        <v>0</v>
      </c>
      <c r="P19" s="1241"/>
      <c r="Q19" s="1242"/>
      <c r="R19" s="975"/>
      <c r="S19" s="1227"/>
      <c r="T19" s="1227"/>
    </row>
    <row r="20" spans="1:27" s="534" customFormat="1" ht="16.5" thickTop="1" thickBot="1">
      <c r="A20" s="557" t="s">
        <v>109</v>
      </c>
      <c r="B20" s="558">
        <f>SUM(B17:B19)</f>
        <v>25120.928571428569</v>
      </c>
      <c r="C20" s="558">
        <f>SUM(C17:C19)</f>
        <v>0</v>
      </c>
      <c r="D20" s="558">
        <f t="shared" ref="D20:L20" si="1">SUM(D17:D19)</f>
        <v>0</v>
      </c>
      <c r="E20" s="558">
        <f t="shared" si="1"/>
        <v>0</v>
      </c>
      <c r="F20" s="558">
        <f t="shared" si="1"/>
        <v>0</v>
      </c>
      <c r="G20" s="558">
        <f t="shared" si="1"/>
        <v>0</v>
      </c>
      <c r="H20" s="558">
        <f t="shared" si="1"/>
        <v>0</v>
      </c>
      <c r="I20" s="558">
        <f t="shared" si="1"/>
        <v>0</v>
      </c>
      <c r="J20" s="558">
        <f t="shared" si="1"/>
        <v>29554.033613445372</v>
      </c>
      <c r="K20" s="558">
        <f t="shared" si="1"/>
        <v>0</v>
      </c>
      <c r="L20" s="558">
        <f t="shared" si="1"/>
        <v>0</v>
      </c>
      <c r="M20" s="558"/>
      <c r="N20" s="558"/>
      <c r="O20" s="578">
        <f>SUM(O17:O19)</f>
        <v>0</v>
      </c>
      <c r="P20" s="1235"/>
      <c r="Q20" s="1236"/>
      <c r="R20" s="975"/>
      <c r="S20" s="1237"/>
      <c r="T20" s="1237"/>
    </row>
    <row r="21" spans="1:27" s="534" customFormat="1" ht="15.75" thickTop="1">
      <c r="A21" s="977"/>
      <c r="B21" s="975"/>
      <c r="C21" s="975"/>
      <c r="D21" s="975"/>
      <c r="E21" s="975"/>
      <c r="F21" s="975"/>
      <c r="G21" s="975"/>
      <c r="H21" s="975"/>
      <c r="I21" s="975"/>
      <c r="J21" s="975"/>
      <c r="K21" s="975"/>
      <c r="L21" s="975"/>
      <c r="M21" s="975"/>
      <c r="N21" s="975"/>
      <c r="O21" s="975"/>
      <c r="P21" s="976"/>
      <c r="Q21" s="976"/>
      <c r="R21" s="975"/>
      <c r="S21" s="976"/>
      <c r="T21" s="976"/>
    </row>
    <row r="22" spans="1:27" s="564" customFormat="1">
      <c r="A22" s="967" t="s">
        <v>279</v>
      </c>
      <c r="B22" s="968"/>
      <c r="C22" s="968">
        <f>EF_CO2_aardgas</f>
        <v>0.20200000000000001</v>
      </c>
      <c r="D22" s="968">
        <f>EF_VLgas_CO2</f>
        <v>0.22700000000000001</v>
      </c>
      <c r="E22" s="968">
        <f>EF_stookolie_CO2</f>
        <v>0.26700000000000002</v>
      </c>
      <c r="F22" s="968">
        <f>EF_bruinkool_CO2</f>
        <v>0.35099999999999998</v>
      </c>
      <c r="G22" s="968">
        <f>EF_steenkool_CO2</f>
        <v>0.35399999999999998</v>
      </c>
      <c r="H22" s="968">
        <f>'EF brandstof'!M4</f>
        <v>0.33</v>
      </c>
      <c r="I22" s="968">
        <f>'EF brandstof'!J4</f>
        <v>0</v>
      </c>
      <c r="J22" s="968">
        <f>'EF brandstof'!L4</f>
        <v>0</v>
      </c>
      <c r="K22" s="968">
        <f>'EF brandstof'!L4</f>
        <v>0</v>
      </c>
      <c r="L22" s="968"/>
      <c r="M22" s="968"/>
      <c r="N22" s="968"/>
      <c r="O22" s="565"/>
      <c r="P22" s="565"/>
      <c r="Q22" s="565"/>
      <c r="R22" s="565"/>
      <c r="S22" s="534"/>
    </row>
    <row r="23" spans="1:27" s="564" customFormat="1">
      <c r="A23" s="566"/>
      <c r="B23" s="565"/>
      <c r="C23" s="565"/>
      <c r="D23" s="565"/>
      <c r="E23" s="565"/>
      <c r="F23" s="565"/>
      <c r="G23" s="565"/>
      <c r="H23" s="565"/>
      <c r="I23" s="565"/>
      <c r="J23" s="565"/>
      <c r="K23" s="565"/>
      <c r="L23" s="565"/>
      <c r="M23" s="565"/>
      <c r="N23" s="565"/>
      <c r="O23" s="565"/>
      <c r="P23" s="565"/>
      <c r="Q23" s="565"/>
      <c r="R23" s="565"/>
      <c r="S23" s="534"/>
    </row>
    <row r="24" spans="1:27" s="564" customFormat="1">
      <c r="A24" s="566"/>
      <c r="B24" s="565"/>
      <c r="C24" s="565"/>
      <c r="D24" s="579"/>
      <c r="E24" s="579"/>
      <c r="F24" s="579"/>
      <c r="G24" s="565"/>
      <c r="H24" s="565"/>
      <c r="I24" s="565"/>
      <c r="J24" s="565"/>
      <c r="K24" s="565"/>
      <c r="L24" s="565"/>
      <c r="M24" s="565"/>
      <c r="N24" s="565"/>
      <c r="O24" s="565"/>
      <c r="P24" s="565"/>
      <c r="Q24" s="565"/>
      <c r="R24" s="565"/>
    </row>
    <row r="25" spans="1:27" s="564" customFormat="1">
      <c r="A25" s="566"/>
      <c r="B25" s="565"/>
      <c r="C25" s="565"/>
      <c r="D25" s="579"/>
      <c r="E25" s="579"/>
      <c r="F25" s="579"/>
      <c r="G25" s="565"/>
      <c r="H25" s="565"/>
      <c r="I25" s="565"/>
      <c r="J25" s="565"/>
      <c r="K25" s="565"/>
      <c r="L25" s="565"/>
      <c r="M25" s="565"/>
      <c r="N25" s="565"/>
      <c r="O25" s="565"/>
      <c r="P25" s="565"/>
      <c r="Q25" s="565"/>
      <c r="R25" s="565"/>
    </row>
    <row r="26" spans="1:27" s="534" customFormat="1" ht="15.75" thickBot="1">
      <c r="B26" s="579"/>
      <c r="C26" s="579"/>
      <c r="D26" s="579"/>
      <c r="E26" s="579"/>
      <c r="F26" s="579"/>
      <c r="G26" s="579"/>
      <c r="H26" s="579"/>
      <c r="I26" s="579"/>
      <c r="J26" s="579"/>
      <c r="K26" s="579"/>
      <c r="L26" s="579"/>
      <c r="M26" s="579"/>
      <c r="N26" s="579"/>
      <c r="O26" s="579"/>
      <c r="P26" s="579"/>
      <c r="Q26" s="580"/>
      <c r="R26" s="580"/>
    </row>
    <row r="27" spans="1:27"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528</v>
      </c>
      <c r="Q27" s="627" t="s">
        <v>96</v>
      </c>
      <c r="R27" s="627" t="s">
        <v>97</v>
      </c>
      <c r="S27" s="627" t="s">
        <v>98</v>
      </c>
      <c r="T27" s="627" t="s">
        <v>99</v>
      </c>
      <c r="U27" s="627" t="s">
        <v>100</v>
      </c>
      <c r="V27" s="627" t="s">
        <v>101</v>
      </c>
      <c r="W27" s="626" t="s">
        <v>102</v>
      </c>
      <c r="X27" s="626" t="s">
        <v>907</v>
      </c>
      <c r="Y27" s="626" t="s">
        <v>288</v>
      </c>
      <c r="Z27" s="626" t="s">
        <v>103</v>
      </c>
      <c r="AA27" s="628" t="s">
        <v>289</v>
      </c>
    </row>
    <row r="28" spans="1:27" s="583" customFormat="1" ht="25.5" hidden="1">
      <c r="A28" s="582"/>
      <c r="B28" s="741">
        <v>44080</v>
      </c>
      <c r="C28" s="741">
        <v>9930</v>
      </c>
      <c r="D28" s="630"/>
      <c r="E28" s="629"/>
      <c r="F28" s="629"/>
      <c r="G28" s="629" t="s">
        <v>908</v>
      </c>
      <c r="H28" s="629" t="s">
        <v>909</v>
      </c>
      <c r="I28" s="629"/>
      <c r="J28" s="740"/>
      <c r="K28" s="740"/>
      <c r="L28" s="629" t="s">
        <v>910</v>
      </c>
      <c r="M28" s="629">
        <v>1038</v>
      </c>
      <c r="N28" s="629">
        <v>4671</v>
      </c>
      <c r="O28" s="629">
        <v>6672.8571428571431</v>
      </c>
      <c r="P28" s="629">
        <v>0</v>
      </c>
      <c r="Q28" s="629">
        <v>13345.714285714286</v>
      </c>
      <c r="R28" s="629">
        <v>0</v>
      </c>
      <c r="S28" s="629">
        <v>0</v>
      </c>
      <c r="T28" s="629">
        <v>0</v>
      </c>
      <c r="U28" s="629">
        <v>0</v>
      </c>
      <c r="V28" s="629">
        <v>0</v>
      </c>
      <c r="W28" s="629">
        <v>0</v>
      </c>
      <c r="X28" s="629"/>
      <c r="Y28" s="629">
        <v>10</v>
      </c>
      <c r="Z28" s="629" t="s">
        <v>105</v>
      </c>
      <c r="AA28" s="631" t="s">
        <v>105</v>
      </c>
    </row>
    <row r="29" spans="1:27" s="583" customFormat="1" ht="25.5" hidden="1">
      <c r="A29" s="582"/>
      <c r="B29" s="741">
        <v>44080</v>
      </c>
      <c r="C29" s="741">
        <v>9930</v>
      </c>
      <c r="D29" s="630"/>
      <c r="E29" s="629"/>
      <c r="F29" s="629"/>
      <c r="G29" s="629" t="s">
        <v>908</v>
      </c>
      <c r="H29" s="629" t="s">
        <v>909</v>
      </c>
      <c r="I29" s="629"/>
      <c r="J29" s="740"/>
      <c r="K29" s="740"/>
      <c r="L29" s="629" t="s">
        <v>910</v>
      </c>
      <c r="M29" s="629">
        <v>2860</v>
      </c>
      <c r="N29" s="629">
        <v>12870</v>
      </c>
      <c r="O29" s="629">
        <v>18385.714285714286</v>
      </c>
      <c r="P29" s="629">
        <v>0</v>
      </c>
      <c r="Q29" s="629">
        <v>36771.428571428572</v>
      </c>
      <c r="R29" s="629">
        <v>0</v>
      </c>
      <c r="S29" s="629">
        <v>0</v>
      </c>
      <c r="T29" s="629">
        <v>0</v>
      </c>
      <c r="U29" s="629">
        <v>0</v>
      </c>
      <c r="V29" s="629">
        <v>0</v>
      </c>
      <c r="W29" s="629">
        <v>0</v>
      </c>
      <c r="X29" s="629"/>
      <c r="Y29" s="629">
        <v>10</v>
      </c>
      <c r="Z29" s="629" t="s">
        <v>105</v>
      </c>
      <c r="AA29" s="631" t="s">
        <v>105</v>
      </c>
    </row>
    <row r="30" spans="1:27" s="583" customFormat="1" ht="25.5" hidden="1">
      <c r="A30" s="582"/>
      <c r="B30" s="741">
        <v>44080</v>
      </c>
      <c r="C30" s="741">
        <v>9931</v>
      </c>
      <c r="D30" s="630"/>
      <c r="E30" s="629"/>
      <c r="F30" s="629"/>
      <c r="G30" s="629" t="s">
        <v>908</v>
      </c>
      <c r="H30" s="629" t="s">
        <v>909</v>
      </c>
      <c r="I30" s="629"/>
      <c r="J30" s="740"/>
      <c r="K30" s="740"/>
      <c r="L30" s="629" t="s">
        <v>910</v>
      </c>
      <c r="M30" s="629">
        <v>9.6999999999999993</v>
      </c>
      <c r="N30" s="629">
        <v>43.649999999999991</v>
      </c>
      <c r="O30" s="629">
        <v>62.357142857142847</v>
      </c>
      <c r="P30" s="629">
        <v>0</v>
      </c>
      <c r="Q30" s="629">
        <v>124.71428571428569</v>
      </c>
      <c r="R30" s="629">
        <v>0</v>
      </c>
      <c r="S30" s="629">
        <v>0</v>
      </c>
      <c r="T30" s="629">
        <v>0</v>
      </c>
      <c r="U30" s="629">
        <v>0</v>
      </c>
      <c r="V30" s="629">
        <v>0</v>
      </c>
      <c r="W30" s="629">
        <v>0</v>
      </c>
      <c r="X30" s="629"/>
      <c r="Y30" s="629">
        <v>10</v>
      </c>
      <c r="Z30" s="629" t="s">
        <v>105</v>
      </c>
      <c r="AA30" s="631" t="s">
        <v>105</v>
      </c>
    </row>
    <row r="31" spans="1:27" s="566" customFormat="1" hidden="1">
      <c r="A31" s="585" t="s">
        <v>269</v>
      </c>
      <c r="B31" s="586"/>
      <c r="C31" s="586"/>
      <c r="D31" s="586"/>
      <c r="E31" s="586"/>
      <c r="F31" s="586"/>
      <c r="G31" s="586"/>
      <c r="H31" s="586"/>
      <c r="I31" s="586"/>
      <c r="J31" s="586"/>
      <c r="K31" s="586"/>
      <c r="L31" s="587"/>
      <c r="M31" s="587">
        <f>SUM(M28:M30)</f>
        <v>3907.7</v>
      </c>
      <c r="N31" s="587">
        <f>SUM(N28:N30)</f>
        <v>17584.650000000001</v>
      </c>
      <c r="O31" s="587">
        <f>SUM(O28:O30)</f>
        <v>25120.928571428569</v>
      </c>
      <c r="P31" s="587">
        <f>SUM(P28:P30)</f>
        <v>0</v>
      </c>
      <c r="Q31" s="587">
        <f>SUM(Q28:Q30)</f>
        <v>50241.857142857138</v>
      </c>
      <c r="R31" s="587">
        <f>SUM(R28:R30)</f>
        <v>0</v>
      </c>
      <c r="S31" s="587">
        <f>SUM(S28:S30)</f>
        <v>0</v>
      </c>
      <c r="T31" s="587">
        <f>SUM(T28:T30)</f>
        <v>0</v>
      </c>
      <c r="U31" s="587">
        <f>SUM(U28:U30)</f>
        <v>0</v>
      </c>
      <c r="V31" s="587">
        <f>SUM(V28:V30)</f>
        <v>0</v>
      </c>
      <c r="W31" s="587">
        <f>SUM(W28:W30)</f>
        <v>0</v>
      </c>
      <c r="X31" s="587"/>
      <c r="Y31" s="588"/>
      <c r="Z31" s="588"/>
      <c r="AA31" s="589"/>
    </row>
    <row r="32" spans="1:27" s="566" customFormat="1">
      <c r="A32" s="585" t="s">
        <v>276</v>
      </c>
      <c r="B32" s="586"/>
      <c r="C32" s="586"/>
      <c r="D32" s="586"/>
      <c r="E32" s="586"/>
      <c r="F32" s="586"/>
      <c r="G32" s="586"/>
      <c r="H32" s="586"/>
      <c r="I32" s="586"/>
      <c r="J32" s="586"/>
      <c r="K32" s="586"/>
      <c r="L32" s="587"/>
      <c r="M32" s="587">
        <f>SUMIF($AA$28:$AA$30,"industrie",M28:M30)</f>
        <v>0</v>
      </c>
      <c r="N32" s="587">
        <f>SUMIF($AA$28:$AA$30,"industrie",N28:N30)</f>
        <v>0</v>
      </c>
      <c r="O32" s="587">
        <f>SUMIF($AA$28:$AA$30,"industrie",O28:O30)</f>
        <v>0</v>
      </c>
      <c r="P32" s="587">
        <f>SUMIF($AA$28:$AA$30,"industrie",P28:P30)</f>
        <v>0</v>
      </c>
      <c r="Q32" s="587">
        <f>SUMIF($AA$28:$AA$30,"industrie",Q28:Q30)</f>
        <v>0</v>
      </c>
      <c r="R32" s="587">
        <f>SUMIF($AA$28:$AA$30,"industrie",R28:R30)</f>
        <v>0</v>
      </c>
      <c r="S32" s="587">
        <f>SUMIF($AA$28:$AA$30,"industrie",S28:S30)</f>
        <v>0</v>
      </c>
      <c r="T32" s="587">
        <f>SUMIF($AA$28:$AA$30,"industrie",T28:T30)</f>
        <v>0</v>
      </c>
      <c r="U32" s="587">
        <f>SUMIF($AA$28:$AA$30,"industrie",U28:U30)</f>
        <v>0</v>
      </c>
      <c r="V32" s="587">
        <f>SUMIF($AA$28:$AA$30,"industrie",V28:V30)</f>
        <v>0</v>
      </c>
      <c r="W32" s="587">
        <f>SUMIF($AA$28:$AA$30,"industrie",W28:W30)</f>
        <v>0</v>
      </c>
      <c r="X32" s="587"/>
      <c r="Y32" s="588"/>
      <c r="Z32" s="588"/>
      <c r="AA32" s="589"/>
    </row>
    <row r="33" spans="1:28" s="566" customFormat="1">
      <c r="A33" s="585" t="s">
        <v>277</v>
      </c>
      <c r="B33" s="586"/>
      <c r="C33" s="586"/>
      <c r="D33" s="586"/>
      <c r="E33" s="586"/>
      <c r="F33" s="586"/>
      <c r="G33" s="586"/>
      <c r="H33" s="586"/>
      <c r="I33" s="586"/>
      <c r="J33" s="586"/>
      <c r="K33" s="586"/>
      <c r="L33" s="587"/>
      <c r="M33" s="587">
        <f ca="1">SUMIF($AA$28:AD30,"tertiair",M28:M30)</f>
        <v>0</v>
      </c>
      <c r="N33" s="587">
        <f ca="1">SUMIF($AA$28:AE30,"tertiair",N28:N30)</f>
        <v>0</v>
      </c>
      <c r="O33" s="587">
        <f ca="1">SUMIF($AA$28:AF30,"tertiair",O28:O30)</f>
        <v>0</v>
      </c>
      <c r="P33" s="587">
        <f ca="1">SUMIF($AA$28:AG30,"tertiair",P28:P30)</f>
        <v>0</v>
      </c>
      <c r="Q33" s="587">
        <f ca="1">SUMIF($AA$28:AH30,"tertiair",Q28:Q30)</f>
        <v>0</v>
      </c>
      <c r="R33" s="587">
        <f ca="1">SUMIF($AA$28:AI30,"tertiair",R28:R30)</f>
        <v>0</v>
      </c>
      <c r="S33" s="587">
        <f ca="1">SUMIF($AA$28:AJ30,"tertiair",S28:S30)</f>
        <v>0</v>
      </c>
      <c r="T33" s="587">
        <f ca="1">SUMIF($AA$28:AK30,"tertiair",T28:T30)</f>
        <v>0</v>
      </c>
      <c r="U33" s="587">
        <f ca="1">SUMIF($AA$28:AL30,"tertiair",U28:U30)</f>
        <v>0</v>
      </c>
      <c r="V33" s="587">
        <f ca="1">SUMIF($AA$28:AM30,"tertiair",V28:V30)</f>
        <v>0</v>
      </c>
      <c r="W33" s="587">
        <f ca="1">SUMIF($AA$28:AN30,"tertiair",W28:W30)</f>
        <v>0</v>
      </c>
      <c r="X33" s="587"/>
      <c r="Y33" s="588"/>
      <c r="Z33" s="588"/>
      <c r="AA33" s="589"/>
    </row>
    <row r="34" spans="1:28" s="566" customFormat="1" ht="15.75" thickBot="1">
      <c r="A34" s="590" t="s">
        <v>278</v>
      </c>
      <c r="B34" s="591"/>
      <c r="C34" s="591"/>
      <c r="D34" s="591"/>
      <c r="E34" s="591"/>
      <c r="F34" s="591"/>
      <c r="G34" s="591"/>
      <c r="H34" s="591"/>
      <c r="I34" s="591"/>
      <c r="J34" s="591"/>
      <c r="K34" s="591"/>
      <c r="L34" s="592"/>
      <c r="M34" s="592">
        <f>SUMIF($AA$28:$AA$30,"landbouw",M28:M30)</f>
        <v>3907.7</v>
      </c>
      <c r="N34" s="592">
        <f>SUMIF($AA$28:$AA$30,"landbouw",N28:N30)</f>
        <v>17584.650000000001</v>
      </c>
      <c r="O34" s="592">
        <f>SUMIF($AA$28:$AA$30,"landbouw",O28:O30)</f>
        <v>25120.928571428569</v>
      </c>
      <c r="P34" s="592">
        <f>SUMIF($AA$28:$AA$30,"landbouw",P28:P30)</f>
        <v>0</v>
      </c>
      <c r="Q34" s="592">
        <f>SUMIF($AA$28:$AA$30,"landbouw",Q28:Q30)</f>
        <v>50241.857142857138</v>
      </c>
      <c r="R34" s="592">
        <f>SUMIF($AA$28:$AA$30,"landbouw",R28:R30)</f>
        <v>0</v>
      </c>
      <c r="S34" s="592">
        <f>SUMIF($AA$28:$AA$30,"landbouw",S28:S30)</f>
        <v>0</v>
      </c>
      <c r="T34" s="592">
        <f>SUMIF($AA$28:$AA$30,"landbouw",T28:T30)</f>
        <v>0</v>
      </c>
      <c r="U34" s="592">
        <f>SUMIF($AA$28:$AA$30,"landbouw",U28:U30)</f>
        <v>0</v>
      </c>
      <c r="V34" s="592">
        <f>SUMIF($AA$28:$AA$30,"landbouw",V28:V30)</f>
        <v>0</v>
      </c>
      <c r="W34" s="592">
        <f>SUMIF($AA$28:$AA$30,"landbouw",W28:W30)</f>
        <v>0</v>
      </c>
      <c r="X34" s="592"/>
      <c r="Y34" s="593"/>
      <c r="Z34" s="593"/>
      <c r="AA34" s="594"/>
    </row>
    <row r="35" spans="1:28" s="534" customFormat="1" ht="15.75" thickBot="1">
      <c r="A35" s="595"/>
      <c r="B35" s="596"/>
      <c r="C35" s="596"/>
      <c r="D35" s="596"/>
      <c r="E35" s="596"/>
      <c r="F35" s="596"/>
      <c r="G35" s="596"/>
      <c r="H35" s="596"/>
      <c r="I35" s="596"/>
      <c r="J35" s="596"/>
      <c r="K35" s="596"/>
      <c r="L35" s="579"/>
      <c r="M35" s="579"/>
      <c r="N35" s="579"/>
      <c r="O35" s="580"/>
      <c r="P35" s="580"/>
    </row>
    <row r="36" spans="1:28" s="534" customFormat="1" ht="45">
      <c r="A36" s="597" t="s">
        <v>270</v>
      </c>
      <c r="B36" s="626" t="s">
        <v>89</v>
      </c>
      <c r="C36" s="626" t="s">
        <v>90</v>
      </c>
      <c r="D36" s="626"/>
      <c r="E36" s="626"/>
      <c r="F36" s="626"/>
      <c r="G36" s="626" t="s">
        <v>91</v>
      </c>
      <c r="H36" s="626" t="s">
        <v>92</v>
      </c>
      <c r="I36" s="626"/>
      <c r="J36" s="626"/>
      <c r="K36" s="626"/>
      <c r="L36" s="626" t="s">
        <v>93</v>
      </c>
      <c r="M36" s="627" t="s">
        <v>287</v>
      </c>
      <c r="N36" s="627" t="s">
        <v>94</v>
      </c>
      <c r="O36" s="627" t="s">
        <v>95</v>
      </c>
      <c r="P36" s="627" t="s">
        <v>528</v>
      </c>
      <c r="Q36" s="627" t="s">
        <v>96</v>
      </c>
      <c r="R36" s="627" t="s">
        <v>97</v>
      </c>
      <c r="S36" s="627" t="s">
        <v>98</v>
      </c>
      <c r="T36" s="627" t="s">
        <v>99</v>
      </c>
      <c r="U36" s="627" t="s">
        <v>100</v>
      </c>
      <c r="V36" s="627" t="s">
        <v>101</v>
      </c>
      <c r="W36" s="626" t="s">
        <v>102</v>
      </c>
      <c r="X36" s="626" t="s">
        <v>907</v>
      </c>
      <c r="Y36" s="626" t="s">
        <v>288</v>
      </c>
      <c r="Z36" s="626" t="s">
        <v>103</v>
      </c>
      <c r="AA36" s="628" t="s">
        <v>289</v>
      </c>
    </row>
    <row r="37" spans="1:28" s="598" customFormat="1" ht="12.75" hidden="1">
      <c r="A37" s="584"/>
      <c r="B37" s="741"/>
      <c r="C37" s="741"/>
      <c r="D37" s="632"/>
      <c r="E37" s="632"/>
      <c r="F37" s="632"/>
      <c r="G37" s="632"/>
      <c r="H37" s="632"/>
      <c r="I37" s="632"/>
      <c r="J37" s="740"/>
      <c r="K37" s="740"/>
      <c r="L37" s="632"/>
      <c r="M37" s="632"/>
      <c r="N37" s="632"/>
      <c r="O37" s="632"/>
      <c r="P37" s="632"/>
      <c r="Q37" s="632"/>
      <c r="R37" s="632"/>
      <c r="S37" s="632"/>
      <c r="T37" s="632"/>
      <c r="U37" s="632"/>
      <c r="V37" s="632"/>
      <c r="W37" s="632"/>
      <c r="X37" s="632"/>
      <c r="Y37" s="632"/>
      <c r="Z37" s="632"/>
      <c r="AA37" s="633"/>
    </row>
    <row r="38" spans="1:28" s="566" customFormat="1" hidden="1">
      <c r="A38" s="585" t="s">
        <v>269</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7"/>
      <c r="Y38" s="588"/>
      <c r="Z38" s="588"/>
      <c r="AA38" s="589"/>
    </row>
    <row r="39" spans="1:28" s="566" customFormat="1">
      <c r="A39" s="585" t="s">
        <v>276</v>
      </c>
      <c r="B39" s="586"/>
      <c r="C39" s="586"/>
      <c r="D39" s="586"/>
      <c r="E39" s="586"/>
      <c r="F39" s="586"/>
      <c r="G39" s="586"/>
      <c r="H39" s="586"/>
      <c r="I39" s="586"/>
      <c r="J39" s="586"/>
      <c r="K39" s="586"/>
      <c r="L39" s="587"/>
      <c r="M39" s="587">
        <f>SUMIF($AA$37:$AA$37,"industrie",M37:M37)</f>
        <v>0</v>
      </c>
      <c r="N39" s="587">
        <f>SUMIF($AA$37:$AA$37,"industrie",N37:N37)</f>
        <v>0</v>
      </c>
      <c r="O39" s="587">
        <f>SUMIF($AA$37:$AA$37,"industrie",O37:O37)</f>
        <v>0</v>
      </c>
      <c r="P39" s="587">
        <f>SUMIF($AA$37:$AA$37,"industrie",P37:P37)</f>
        <v>0</v>
      </c>
      <c r="Q39" s="587">
        <f>SUMIF($AA$37:$AA$37,"industrie",Q37:Q37)</f>
        <v>0</v>
      </c>
      <c r="R39" s="587">
        <f>SUMIF($AA$37:$AA$37,"industrie",R37:R37)</f>
        <v>0</v>
      </c>
      <c r="S39" s="587">
        <f>SUMIF($AA$37:$AA$37,"industrie",S37:S37)</f>
        <v>0</v>
      </c>
      <c r="T39" s="587">
        <f>SUMIF($AA$37:$AA$37,"industrie",T37:T37)</f>
        <v>0</v>
      </c>
      <c r="U39" s="587">
        <f>SUMIF($AA$37:$AA$37,"industrie",U37:U37)</f>
        <v>0</v>
      </c>
      <c r="V39" s="587">
        <f>SUMIF($AA$37:$AA$37,"industrie",V37:V37)</f>
        <v>0</v>
      </c>
      <c r="W39" s="587">
        <f>SUMIF($AA$37:$AA$37,"industrie",W37:W37)</f>
        <v>0</v>
      </c>
      <c r="X39" s="587"/>
      <c r="Y39" s="588"/>
      <c r="Z39" s="588"/>
      <c r="AA39" s="589"/>
    </row>
    <row r="40" spans="1:28" s="566" customFormat="1">
      <c r="A40" s="585" t="s">
        <v>277</v>
      </c>
      <c r="B40" s="586"/>
      <c r="C40" s="586"/>
      <c r="D40" s="586"/>
      <c r="E40" s="586"/>
      <c r="F40" s="586"/>
      <c r="G40" s="586"/>
      <c r="H40" s="586"/>
      <c r="I40" s="586"/>
      <c r="J40" s="586"/>
      <c r="K40" s="586"/>
      <c r="L40" s="587"/>
      <c r="M40" s="587">
        <f>SUMIF($AA$37:$AA$38,"tertiair",M37:M38)</f>
        <v>0</v>
      </c>
      <c r="N40" s="587">
        <f>SUMIF($AA$37:$AA$38,"tertiair",N37:N38)</f>
        <v>0</v>
      </c>
      <c r="O40" s="587">
        <f>SUMIF($AA$37:$AA$38,"tertiair",O37:O38)</f>
        <v>0</v>
      </c>
      <c r="P40" s="587">
        <f>SUMIF($AA$37:$AA$38,"tertiair",P37:P38)</f>
        <v>0</v>
      </c>
      <c r="Q40" s="587">
        <f>SUMIF($AA$37:$AA$38,"tertiair",Q37:Q38)</f>
        <v>0</v>
      </c>
      <c r="R40" s="587">
        <f>SUMIF($AA$37:$AA$38,"tertiair",R37:R38)</f>
        <v>0</v>
      </c>
      <c r="S40" s="587">
        <f>SUMIF($AA$37:$AA$38,"tertiair",S37:S38)</f>
        <v>0</v>
      </c>
      <c r="T40" s="587">
        <f>SUMIF($AA$37:$AA$38,"tertiair",T37:T38)</f>
        <v>0</v>
      </c>
      <c r="U40" s="587">
        <f>SUMIF($AA$37:$AA$38,"tertiair",U37:U38)</f>
        <v>0</v>
      </c>
      <c r="V40" s="587">
        <f>SUMIF($AA$37:$AA$38,"tertiair",V37:V38)</f>
        <v>0</v>
      </c>
      <c r="W40" s="587">
        <f>SUMIF($AA$37:$AA$38,"tertiair",W37:W38)</f>
        <v>0</v>
      </c>
      <c r="X40" s="587"/>
      <c r="Y40" s="588"/>
      <c r="Z40" s="588"/>
      <c r="AA40" s="589"/>
    </row>
    <row r="41" spans="1:28" s="566" customFormat="1" ht="15.75" thickBot="1">
      <c r="A41" s="590" t="s">
        <v>278</v>
      </c>
      <c r="B41" s="591"/>
      <c r="C41" s="591"/>
      <c r="D41" s="591"/>
      <c r="E41" s="591"/>
      <c r="F41" s="591"/>
      <c r="G41" s="591"/>
      <c r="H41" s="591"/>
      <c r="I41" s="591"/>
      <c r="J41" s="591"/>
      <c r="K41" s="591"/>
      <c r="L41" s="592"/>
      <c r="M41" s="592">
        <f>SUMIF($AA$37:$AA$39,"landbouw",M37:M39)</f>
        <v>0</v>
      </c>
      <c r="N41" s="592">
        <f>SUMIF($AA$37:$AA$39,"landbouw",N37:N39)</f>
        <v>0</v>
      </c>
      <c r="O41" s="592">
        <f>SUMIF($AA$37:$AA$39,"landbouw",O37:O39)</f>
        <v>0</v>
      </c>
      <c r="P41" s="592">
        <f>SUMIF($AA$37:$AA$39,"landbouw",P37:P39)</f>
        <v>0</v>
      </c>
      <c r="Q41" s="592">
        <f>SUMIF($AA$37:$AA$39,"landbouw",Q37:Q39)</f>
        <v>0</v>
      </c>
      <c r="R41" s="592">
        <f>SUMIF($AA$37:$AA$39,"landbouw",R37:R39)</f>
        <v>0</v>
      </c>
      <c r="S41" s="592">
        <f>SUMIF($AA$37:$AA$39,"landbouw",S37:S39)</f>
        <v>0</v>
      </c>
      <c r="T41" s="592">
        <f>SUMIF($AA$37:$AA$39,"landbouw",T37:T39)</f>
        <v>0</v>
      </c>
      <c r="U41" s="592">
        <f>SUMIF($AA$37:$AA$39,"landbouw",U37:U39)</f>
        <v>0</v>
      </c>
      <c r="V41" s="592">
        <f>SUMIF($AA$37:$AA$39,"landbouw",V37:V39)</f>
        <v>0</v>
      </c>
      <c r="W41" s="592">
        <f>SUMIF($AA$37:$AA$39,"landbouw",W37:W39)</f>
        <v>0</v>
      </c>
      <c r="X41" s="592"/>
      <c r="Y41" s="593"/>
      <c r="Z41" s="593"/>
      <c r="AA41" s="594"/>
    </row>
    <row r="42" spans="1:28"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row>
    <row r="43" spans="1:28"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row>
    <row r="44" spans="1:28">
      <c r="A44" s="600" t="s">
        <v>271</v>
      </c>
      <c r="B44" s="601"/>
      <c r="C44" s="601"/>
      <c r="D44" s="601"/>
      <c r="E44" s="601"/>
      <c r="F44" s="601"/>
      <c r="G44" s="601"/>
      <c r="H44" s="601"/>
      <c r="I44" s="602"/>
      <c r="J44" s="603"/>
      <c r="K44" s="603"/>
      <c r="L44" s="604"/>
      <c r="M44" s="604"/>
      <c r="N44" s="604"/>
      <c r="O44" s="604"/>
      <c r="P44" s="604"/>
    </row>
    <row r="45" spans="1:28">
      <c r="A45" s="606"/>
      <c r="B45" s="596"/>
      <c r="C45" s="596"/>
      <c r="D45" s="596"/>
      <c r="E45" s="596"/>
      <c r="F45" s="596"/>
      <c r="G45" s="596"/>
      <c r="H45" s="596"/>
      <c r="I45" s="607"/>
      <c r="J45" s="596"/>
      <c r="K45" s="596"/>
      <c r="L45" s="604"/>
      <c r="M45" s="604"/>
      <c r="N45" s="604"/>
      <c r="O45" s="604"/>
      <c r="P45" s="604"/>
    </row>
    <row r="46" spans="1:28">
      <c r="A46" s="608"/>
      <c r="B46" s="609" t="s">
        <v>272</v>
      </c>
      <c r="C46" s="609" t="s">
        <v>273</v>
      </c>
      <c r="D46" s="609"/>
      <c r="E46" s="609"/>
      <c r="F46" s="609"/>
      <c r="G46" s="609"/>
      <c r="H46" s="609"/>
      <c r="I46" s="610"/>
      <c r="J46" s="609"/>
      <c r="K46" s="609"/>
      <c r="L46" s="609"/>
      <c r="M46" s="609"/>
      <c r="N46" s="609"/>
      <c r="O46" s="609"/>
      <c r="P46" s="604"/>
    </row>
    <row r="47" spans="1:28">
      <c r="A47" s="606" t="s">
        <v>269</v>
      </c>
      <c r="B47" s="611">
        <f>IF(ISERROR(O31/(O31+N31)),0,O31/(O31+N31))</f>
        <v>0.58823529411764697</v>
      </c>
      <c r="C47" s="612">
        <f>IF(ISERROR(N31/(O31+N31)),0,N31/(N31+O31))</f>
        <v>0.41176470588235298</v>
      </c>
      <c r="D47" s="579"/>
      <c r="E47" s="579"/>
      <c r="F47" s="579"/>
      <c r="G47" s="579"/>
      <c r="H47" s="579"/>
      <c r="I47" s="613"/>
      <c r="J47" s="579"/>
      <c r="K47" s="579"/>
      <c r="L47" s="614"/>
      <c r="M47" s="614"/>
      <c r="N47" s="614"/>
      <c r="O47" s="614"/>
      <c r="P47" s="604"/>
    </row>
    <row r="48" spans="1:28">
      <c r="A48" s="606"/>
      <c r="B48" s="615"/>
      <c r="C48" s="615"/>
      <c r="D48" s="615"/>
      <c r="E48" s="615"/>
      <c r="F48" s="615"/>
      <c r="G48" s="615"/>
      <c r="H48" s="615"/>
      <c r="I48" s="616"/>
      <c r="J48" s="615"/>
      <c r="K48" s="615"/>
      <c r="L48" s="617"/>
      <c r="M48" s="617"/>
      <c r="N48" s="617"/>
      <c r="O48" s="617"/>
      <c r="P48" s="604"/>
    </row>
    <row r="49" spans="1:16" ht="30">
      <c r="A49" s="618"/>
      <c r="B49" s="619" t="s">
        <v>528</v>
      </c>
      <c r="C49" s="619" t="s">
        <v>96</v>
      </c>
      <c r="D49" s="619" t="s">
        <v>97</v>
      </c>
      <c r="E49" s="619" t="s">
        <v>98</v>
      </c>
      <c r="F49" s="619" t="s">
        <v>99</v>
      </c>
      <c r="G49" s="619" t="s">
        <v>100</v>
      </c>
      <c r="H49" s="619" t="s">
        <v>101</v>
      </c>
      <c r="I49" s="620" t="s">
        <v>102</v>
      </c>
      <c r="J49" s="609"/>
      <c r="K49" s="609"/>
      <c r="L49" s="617"/>
      <c r="M49" s="617"/>
      <c r="N49" s="617"/>
      <c r="O49" s="604"/>
      <c r="P49" s="604"/>
    </row>
    <row r="50" spans="1:16">
      <c r="A50" s="608" t="s">
        <v>274</v>
      </c>
      <c r="B50" s="621">
        <f t="shared" ref="B50:I50" si="2">$C$47*P31</f>
        <v>0</v>
      </c>
      <c r="C50" s="621">
        <f t="shared" si="2"/>
        <v>20687.823529411766</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275</v>
      </c>
      <c r="B51" s="624">
        <f t="shared" ref="B51:I51" si="3">$B$47*P31</f>
        <v>0</v>
      </c>
      <c r="C51" s="624">
        <f t="shared" si="3"/>
        <v>29554.033613445372</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4"/>
      <c r="K52" s="564"/>
      <c r="L52" s="564"/>
      <c r="M52" s="564"/>
      <c r="N52" s="564"/>
    </row>
    <row r="53" spans="1:16">
      <c r="J53" s="564"/>
      <c r="K53" s="564"/>
      <c r="L53" s="564"/>
      <c r="M53" s="564"/>
      <c r="N53"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5"/>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405</v>
      </c>
      <c r="B1" s="348" t="s">
        <v>412</v>
      </c>
      <c r="C1" s="348" t="s">
        <v>411</v>
      </c>
      <c r="D1" s="348" t="s">
        <v>410</v>
      </c>
      <c r="E1" s="349" t="s">
        <v>406</v>
      </c>
      <c r="F1" s="350" t="s">
        <v>407</v>
      </c>
      <c r="G1" s="350" t="s">
        <v>408</v>
      </c>
      <c r="H1" s="350" t="s">
        <v>409</v>
      </c>
    </row>
    <row r="2" spans="1:9" s="11" customFormat="1">
      <c r="A2" s="1016" t="s">
        <v>842</v>
      </c>
      <c r="B2" s="1017" t="s">
        <v>862</v>
      </c>
      <c r="C2" s="1016" t="s">
        <v>631</v>
      </c>
      <c r="D2" s="1016" t="s">
        <v>716</v>
      </c>
      <c r="E2" s="344"/>
      <c r="F2" s="871" t="s">
        <v>723</v>
      </c>
      <c r="G2" s="871" t="s">
        <v>724</v>
      </c>
      <c r="H2" s="342" t="s">
        <v>725</v>
      </c>
      <c r="I2" s="833"/>
    </row>
    <row r="3" spans="1:9" s="11" customFormat="1">
      <c r="A3" s="1016" t="s">
        <v>871</v>
      </c>
      <c r="B3" s="1017" t="s">
        <v>872</v>
      </c>
      <c r="C3" s="1016" t="s">
        <v>186</v>
      </c>
      <c r="D3" s="1018" t="s">
        <v>873</v>
      </c>
      <c r="E3" s="867"/>
      <c r="F3" s="844" t="s">
        <v>703</v>
      </c>
      <c r="G3" s="844" t="s">
        <v>704</v>
      </c>
      <c r="H3" s="844" t="s">
        <v>705</v>
      </c>
    </row>
    <row r="4" spans="1:9" s="833" customFormat="1">
      <c r="A4" s="866" t="s">
        <v>398</v>
      </c>
      <c r="B4" s="873">
        <v>2014</v>
      </c>
      <c r="C4" s="866" t="s">
        <v>398</v>
      </c>
      <c r="D4" s="866" t="s">
        <v>721</v>
      </c>
      <c r="E4" s="867"/>
      <c r="F4" s="868" t="s">
        <v>706</v>
      </c>
      <c r="G4" s="868" t="s">
        <v>707</v>
      </c>
      <c r="H4" s="868" t="s">
        <v>708</v>
      </c>
    </row>
    <row r="5" spans="1:9">
      <c r="A5" s="338" t="s">
        <v>389</v>
      </c>
      <c r="B5" s="339" t="s">
        <v>634</v>
      </c>
      <c r="C5" s="338" t="s">
        <v>389</v>
      </c>
      <c r="D5" s="338" t="s">
        <v>640</v>
      </c>
      <c r="E5" s="340"/>
      <c r="F5" s="341" t="s">
        <v>390</v>
      </c>
      <c r="G5" s="341" t="s">
        <v>391</v>
      </c>
      <c r="H5" s="342" t="s">
        <v>392</v>
      </c>
    </row>
    <row r="6" spans="1:9">
      <c r="A6" s="338" t="s">
        <v>393</v>
      </c>
      <c r="B6" s="339" t="s">
        <v>634</v>
      </c>
      <c r="C6" s="338" t="s">
        <v>393</v>
      </c>
      <c r="D6" s="338" t="s">
        <v>641</v>
      </c>
      <c r="E6" s="340"/>
      <c r="F6" s="341" t="s">
        <v>395</v>
      </c>
      <c r="G6" s="341" t="s">
        <v>396</v>
      </c>
      <c r="H6" s="342" t="s">
        <v>394</v>
      </c>
    </row>
    <row r="7" spans="1:9">
      <c r="A7" s="343" t="s">
        <v>424</v>
      </c>
      <c r="B7" s="346" t="s">
        <v>425</v>
      </c>
      <c r="C7" s="343" t="s">
        <v>427</v>
      </c>
      <c r="D7" s="343" t="s">
        <v>423</v>
      </c>
      <c r="E7" s="340" t="s">
        <v>426</v>
      </c>
      <c r="F7" s="341"/>
      <c r="G7" s="341"/>
      <c r="H7" s="342"/>
    </row>
    <row r="8" spans="1:9" s="11" customFormat="1">
      <c r="A8" s="343" t="s">
        <v>720</v>
      </c>
      <c r="B8" s="875">
        <v>2014</v>
      </c>
      <c r="C8" s="343" t="s">
        <v>398</v>
      </c>
      <c r="D8" s="343" t="s">
        <v>863</v>
      </c>
      <c r="E8" s="867" t="s">
        <v>722</v>
      </c>
      <c r="F8" s="844"/>
      <c r="G8" s="844"/>
      <c r="H8" s="844"/>
    </row>
    <row r="9" spans="1:9" s="11" customFormat="1">
      <c r="A9" s="343" t="s">
        <v>741</v>
      </c>
      <c r="B9" s="744" t="s">
        <v>742</v>
      </c>
      <c r="C9" s="343" t="s">
        <v>743</v>
      </c>
      <c r="D9" s="343" t="s">
        <v>739</v>
      </c>
      <c r="E9" s="345" t="s">
        <v>738</v>
      </c>
      <c r="F9" s="844"/>
      <c r="G9" s="844"/>
      <c r="H9" s="844"/>
    </row>
    <row r="10" spans="1:9">
      <c r="A10" s="343" t="s">
        <v>598</v>
      </c>
      <c r="B10" s="840" t="s">
        <v>642</v>
      </c>
      <c r="C10" s="343" t="s">
        <v>603</v>
      </c>
      <c r="D10" s="343" t="s">
        <v>604</v>
      </c>
      <c r="E10" s="340"/>
      <c r="F10" s="341" t="s">
        <v>600</v>
      </c>
      <c r="G10" s="341" t="s">
        <v>601</v>
      </c>
      <c r="H10" s="342" t="s">
        <v>602</v>
      </c>
    </row>
    <row r="11" spans="1:9" s="833" customFormat="1">
      <c r="A11" s="869" t="s">
        <v>710</v>
      </c>
      <c r="B11" s="870" t="s">
        <v>711</v>
      </c>
      <c r="C11" s="869" t="s">
        <v>712</v>
      </c>
      <c r="D11" s="1012" t="s">
        <v>864</v>
      </c>
      <c r="E11" s="639"/>
      <c r="F11" s="871" t="s">
        <v>713</v>
      </c>
      <c r="G11" s="871" t="s">
        <v>714</v>
      </c>
      <c r="H11" s="342" t="s">
        <v>715</v>
      </c>
    </row>
    <row r="12" spans="1:9" s="833" customFormat="1">
      <c r="A12" s="866" t="s">
        <v>726</v>
      </c>
      <c r="B12" s="873">
        <v>2017</v>
      </c>
      <c r="C12" s="866" t="s">
        <v>417</v>
      </c>
      <c r="D12" s="866" t="s">
        <v>727</v>
      </c>
      <c r="E12" s="874"/>
      <c r="F12" s="871" t="s">
        <v>723</v>
      </c>
      <c r="G12" s="871" t="s">
        <v>724</v>
      </c>
      <c r="H12" s="342" t="s">
        <v>725</v>
      </c>
    </row>
    <row r="13" spans="1:9" s="10" customFormat="1">
      <c r="A13" s="343" t="s">
        <v>400</v>
      </c>
      <c r="B13" s="339" t="s">
        <v>416</v>
      </c>
      <c r="C13" s="338"/>
      <c r="D13" s="347" t="s">
        <v>415</v>
      </c>
      <c r="E13" s="340"/>
      <c r="F13" s="341"/>
      <c r="G13" s="341"/>
      <c r="H13" s="342"/>
    </row>
    <row r="14" spans="1:9">
      <c r="A14" s="338" t="s">
        <v>383</v>
      </c>
      <c r="B14" s="339" t="s">
        <v>599</v>
      </c>
      <c r="C14" s="338"/>
      <c r="D14" s="338" t="s">
        <v>388</v>
      </c>
      <c r="E14" s="345" t="s">
        <v>384</v>
      </c>
      <c r="F14" s="341" t="s">
        <v>385</v>
      </c>
      <c r="G14" s="341" t="s">
        <v>386</v>
      </c>
      <c r="H14" s="341" t="s">
        <v>387</v>
      </c>
    </row>
    <row r="15" spans="1:9">
      <c r="A15" s="338" t="s">
        <v>399</v>
      </c>
      <c r="B15" s="339" t="s">
        <v>634</v>
      </c>
      <c r="C15" s="338" t="s">
        <v>399</v>
      </c>
      <c r="D15" s="338" t="s">
        <v>413</v>
      </c>
      <c r="E15" s="340"/>
      <c r="F15" s="341" t="s">
        <v>753</v>
      </c>
      <c r="G15" s="341" t="s">
        <v>754</v>
      </c>
      <c r="H15" s="342" t="s">
        <v>755</v>
      </c>
    </row>
    <row r="16" spans="1:9" s="841" customFormat="1">
      <c r="A16" s="845" t="s">
        <v>501</v>
      </c>
      <c r="B16" s="846" t="s">
        <v>368</v>
      </c>
      <c r="C16" s="845" t="s">
        <v>366</v>
      </c>
      <c r="D16" s="847" t="s">
        <v>367</v>
      </c>
      <c r="E16" s="848" t="s">
        <v>369</v>
      </c>
      <c r="F16" s="872" t="s">
        <v>717</v>
      </c>
      <c r="G16" s="872" t="s">
        <v>718</v>
      </c>
      <c r="H16" s="342" t="s">
        <v>719</v>
      </c>
    </row>
    <row r="17" spans="1:8" s="841" customFormat="1">
      <c r="A17" s="845" t="s">
        <v>501</v>
      </c>
      <c r="B17" s="846" t="s">
        <v>747</v>
      </c>
      <c r="C17" s="845" t="s">
        <v>749</v>
      </c>
      <c r="D17" s="847" t="s">
        <v>750</v>
      </c>
      <c r="E17" s="848"/>
      <c r="F17" s="872" t="s">
        <v>717</v>
      </c>
      <c r="G17" s="872" t="s">
        <v>718</v>
      </c>
      <c r="H17" s="342" t="s">
        <v>719</v>
      </c>
    </row>
    <row r="18" spans="1:8" s="11" customFormat="1">
      <c r="A18" s="343" t="s">
        <v>500</v>
      </c>
      <c r="B18" s="346" t="s">
        <v>634</v>
      </c>
      <c r="C18" s="343" t="s">
        <v>417</v>
      </c>
      <c r="D18" s="343" t="s">
        <v>645</v>
      </c>
      <c r="E18" s="344"/>
      <c r="F18" s="868" t="s">
        <v>717</v>
      </c>
      <c r="G18" s="872" t="s">
        <v>718</v>
      </c>
      <c r="H18" s="342" t="s">
        <v>719</v>
      </c>
    </row>
    <row r="19" spans="1:8" s="11" customFormat="1">
      <c r="A19" s="343" t="s">
        <v>889</v>
      </c>
      <c r="B19" s="346" t="s">
        <v>890</v>
      </c>
      <c r="C19" s="343" t="s">
        <v>891</v>
      </c>
      <c r="D19" s="343"/>
      <c r="E19" s="345" t="s">
        <v>892</v>
      </c>
      <c r="F19" s="868"/>
      <c r="G19" s="872"/>
      <c r="H19" s="342"/>
    </row>
    <row r="20" spans="1:8">
      <c r="A20" s="343" t="s">
        <v>186</v>
      </c>
      <c r="B20" s="744" t="s">
        <v>655</v>
      </c>
      <c r="C20" s="343" t="s">
        <v>418</v>
      </c>
      <c r="D20" s="343" t="s">
        <v>419</v>
      </c>
      <c r="E20" s="340"/>
      <c r="F20" s="341" t="s">
        <v>420</v>
      </c>
      <c r="G20" s="341" t="s">
        <v>421</v>
      </c>
      <c r="H20" s="342" t="s">
        <v>422</v>
      </c>
    </row>
    <row r="21" spans="1:8" s="11" customFormat="1">
      <c r="A21" s="1023" t="s">
        <v>894</v>
      </c>
      <c r="B21" s="1024" t="s">
        <v>895</v>
      </c>
      <c r="C21" s="1023" t="s">
        <v>186</v>
      </c>
      <c r="D21" s="1023" t="s">
        <v>896</v>
      </c>
      <c r="E21" s="340"/>
      <c r="F21" s="844" t="s">
        <v>703</v>
      </c>
      <c r="G21" s="844" t="s">
        <v>704</v>
      </c>
      <c r="H21" s="844" t="s">
        <v>705</v>
      </c>
    </row>
    <row r="22" spans="1:8" s="833" customFormat="1">
      <c r="A22" s="343" t="s">
        <v>399</v>
      </c>
      <c r="B22" s="744" t="s">
        <v>747</v>
      </c>
      <c r="C22" s="343" t="s">
        <v>399</v>
      </c>
      <c r="D22" s="343" t="s">
        <v>751</v>
      </c>
      <c r="E22" s="340"/>
      <c r="F22" s="341" t="s">
        <v>756</v>
      </c>
      <c r="G22" s="341" t="s">
        <v>757</v>
      </c>
      <c r="H22" s="342" t="s">
        <v>758</v>
      </c>
    </row>
    <row r="23" spans="1:8" s="833" customFormat="1">
      <c r="A23" s="343" t="s">
        <v>399</v>
      </c>
      <c r="B23" s="744" t="s">
        <v>748</v>
      </c>
      <c r="C23" s="343" t="s">
        <v>399</v>
      </c>
      <c r="D23" s="343" t="s">
        <v>752</v>
      </c>
      <c r="E23" s="340"/>
      <c r="F23" s="341" t="s">
        <v>759</v>
      </c>
      <c r="G23" s="341" t="s">
        <v>760</v>
      </c>
      <c r="H23" s="342" t="s">
        <v>761</v>
      </c>
    </row>
    <row r="24" spans="1:8">
      <c r="A24" s="343" t="s">
        <v>397</v>
      </c>
      <c r="B24" s="339" t="s">
        <v>609</v>
      </c>
      <c r="C24" s="343" t="s">
        <v>397</v>
      </c>
      <c r="D24" s="343" t="s">
        <v>643</v>
      </c>
      <c r="E24" s="340" t="s">
        <v>644</v>
      </c>
      <c r="F24" s="341" t="s">
        <v>762</v>
      </c>
      <c r="G24" s="341" t="s">
        <v>763</v>
      </c>
      <c r="H24" s="342" t="s">
        <v>764</v>
      </c>
    </row>
    <row r="25" spans="1:8">
      <c r="A25" s="338" t="s">
        <v>397</v>
      </c>
      <c r="B25" s="840" t="s">
        <v>609</v>
      </c>
      <c r="C25" s="338" t="s">
        <v>397</v>
      </c>
      <c r="D25" s="347" t="s">
        <v>610</v>
      </c>
      <c r="E25" s="340" t="s">
        <v>414</v>
      </c>
      <c r="F25" s="341" t="s">
        <v>762</v>
      </c>
      <c r="G25" s="341" t="s">
        <v>763</v>
      </c>
      <c r="H25" s="342" t="s">
        <v>764</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 ref="E19" r:id="rId10" xr:uid="{07811CBD-80EF-48A6-9676-7BAA4557DDB2}"/>
  </hyperlinks>
  <pageMargins left="0.7" right="0.7" top="0.75" bottom="0.75" header="0.3" footer="0.3"/>
  <pageSetup paperSize="9" orientation="portrait" r:id="rId11"/>
  <ignoredErrors>
    <ignoredError sqref="B7 B13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6"/>
  <sheetViews>
    <sheetView topLeftCell="A34" workbookViewId="0">
      <selection activeCell="D46" sqref="D46"/>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49" t="s">
        <v>588</v>
      </c>
      <c r="B1" s="849" t="s">
        <v>589</v>
      </c>
      <c r="C1" s="849" t="s">
        <v>591</v>
      </c>
      <c r="D1" s="849" t="s">
        <v>590</v>
      </c>
    </row>
    <row r="2" spans="1:4" s="833" customFormat="1">
      <c r="A2" s="833" t="s">
        <v>637</v>
      </c>
      <c r="B2" s="722">
        <v>42283</v>
      </c>
      <c r="C2" s="833" t="s">
        <v>667</v>
      </c>
      <c r="D2" s="838" t="s">
        <v>661</v>
      </c>
    </row>
    <row r="3" spans="1:4" s="833" customFormat="1">
      <c r="A3" s="833" t="s">
        <v>637</v>
      </c>
      <c r="B3" s="722">
        <v>42282</v>
      </c>
      <c r="C3" s="833" t="s">
        <v>666</v>
      </c>
      <c r="D3" s="838" t="s">
        <v>657</v>
      </c>
    </row>
    <row r="4" spans="1:4" s="833" customFormat="1">
      <c r="A4" s="833" t="s">
        <v>637</v>
      </c>
      <c r="B4" s="722">
        <v>42282</v>
      </c>
      <c r="C4" s="833" t="s">
        <v>665</v>
      </c>
      <c r="D4" s="838" t="s">
        <v>658</v>
      </c>
    </row>
    <row r="5" spans="1:4" s="833" customFormat="1">
      <c r="A5" s="833" t="s">
        <v>637</v>
      </c>
      <c r="B5" s="722">
        <v>42282</v>
      </c>
      <c r="C5" s="833" t="s">
        <v>664</v>
      </c>
      <c r="D5" s="838" t="s">
        <v>659</v>
      </c>
    </row>
    <row r="6" spans="1:4" s="833" customFormat="1">
      <c r="A6" s="833" t="s">
        <v>637</v>
      </c>
      <c r="B6" s="722">
        <v>42282</v>
      </c>
      <c r="C6" s="833" t="s">
        <v>663</v>
      </c>
      <c r="D6" s="838" t="s">
        <v>660</v>
      </c>
    </row>
    <row r="7" spans="1:4">
      <c r="A7" t="s">
        <v>637</v>
      </c>
      <c r="B7" s="722">
        <v>42275</v>
      </c>
      <c r="C7" t="s">
        <v>656</v>
      </c>
      <c r="D7" s="723" t="s">
        <v>607</v>
      </c>
    </row>
    <row r="8" spans="1:4">
      <c r="A8" t="s">
        <v>637</v>
      </c>
      <c r="B8" s="722">
        <v>42234</v>
      </c>
      <c r="C8" t="s">
        <v>638</v>
      </c>
      <c r="D8" s="723" t="s">
        <v>608</v>
      </c>
    </row>
    <row r="9" spans="1:4" s="841" customFormat="1">
      <c r="A9" s="841" t="s">
        <v>637</v>
      </c>
      <c r="B9" s="842">
        <v>42234</v>
      </c>
      <c r="C9" s="841" t="s">
        <v>652</v>
      </c>
      <c r="D9" s="838" t="s">
        <v>624</v>
      </c>
    </row>
    <row r="10" spans="1:4" s="841" customFormat="1">
      <c r="A10" s="841" t="s">
        <v>637</v>
      </c>
      <c r="B10" s="842">
        <v>42234</v>
      </c>
      <c r="C10" s="841" t="s">
        <v>653</v>
      </c>
      <c r="D10" s="838" t="s">
        <v>625</v>
      </c>
    </row>
    <row r="11" spans="1:4" s="841" customFormat="1">
      <c r="A11" s="841" t="s">
        <v>668</v>
      </c>
      <c r="B11" s="842">
        <v>42430</v>
      </c>
      <c r="C11" s="841" t="s">
        <v>669</v>
      </c>
      <c r="D11" s="838" t="s">
        <v>659</v>
      </c>
    </row>
    <row r="12" spans="1:4" s="7" customFormat="1">
      <c r="A12" s="841" t="s">
        <v>668</v>
      </c>
      <c r="B12" s="842">
        <v>42468</v>
      </c>
      <c r="C12" s="841" t="s">
        <v>670</v>
      </c>
      <c r="D12" s="857" t="s">
        <v>624</v>
      </c>
    </row>
    <row r="13" spans="1:4" s="7" customFormat="1">
      <c r="A13" s="841" t="s">
        <v>668</v>
      </c>
      <c r="B13" s="859">
        <v>42538</v>
      </c>
      <c r="C13" s="859" t="s">
        <v>671</v>
      </c>
      <c r="D13" s="859"/>
    </row>
    <row r="14" spans="1:4" s="7" customFormat="1">
      <c r="A14" s="841" t="s">
        <v>668</v>
      </c>
      <c r="B14" s="859">
        <v>42538</v>
      </c>
      <c r="C14" s="859" t="s">
        <v>672</v>
      </c>
      <c r="D14" s="860" t="s">
        <v>673</v>
      </c>
    </row>
    <row r="15" spans="1:4" s="7" customFormat="1">
      <c r="A15" s="841" t="s">
        <v>668</v>
      </c>
      <c r="B15" s="859">
        <v>42538</v>
      </c>
      <c r="C15" s="859" t="s">
        <v>674</v>
      </c>
      <c r="D15" s="861" t="s">
        <v>675</v>
      </c>
    </row>
    <row r="16" spans="1:4" s="7" customFormat="1">
      <c r="A16" s="841" t="s">
        <v>668</v>
      </c>
      <c r="B16" s="859">
        <v>42538</v>
      </c>
      <c r="C16" s="859" t="s">
        <v>676</v>
      </c>
      <c r="D16" s="860" t="s">
        <v>677</v>
      </c>
    </row>
    <row r="17" spans="1:4" s="7" customFormat="1">
      <c r="A17" s="841" t="s">
        <v>698</v>
      </c>
      <c r="B17" s="859">
        <v>42583</v>
      </c>
      <c r="C17" s="859" t="s">
        <v>699</v>
      </c>
      <c r="D17" s="838" t="s">
        <v>624</v>
      </c>
    </row>
    <row r="18" spans="1:4" s="7" customFormat="1">
      <c r="A18" s="841" t="s">
        <v>700</v>
      </c>
      <c r="B18" s="722">
        <v>42877</v>
      </c>
      <c r="C18" s="833" t="s">
        <v>744</v>
      </c>
      <c r="D18" s="838" t="s">
        <v>660</v>
      </c>
    </row>
    <row r="19" spans="1:4" s="7" customFormat="1">
      <c r="A19" s="841" t="s">
        <v>700</v>
      </c>
      <c r="B19" s="722">
        <v>42877</v>
      </c>
      <c r="C19" s="833" t="s">
        <v>745</v>
      </c>
      <c r="D19" s="865" t="s">
        <v>701</v>
      </c>
    </row>
    <row r="20" spans="1:4" s="7" customFormat="1">
      <c r="A20" s="841" t="s">
        <v>700</v>
      </c>
      <c r="B20" s="722">
        <v>42877</v>
      </c>
      <c r="C20" s="833" t="s">
        <v>746</v>
      </c>
      <c r="D20" s="838" t="s">
        <v>702</v>
      </c>
    </row>
    <row r="21" spans="1:4" s="7" customFormat="1">
      <c r="A21" s="841" t="s">
        <v>728</v>
      </c>
      <c r="B21" s="859">
        <v>43167</v>
      </c>
      <c r="C21" s="859" t="s">
        <v>729</v>
      </c>
      <c r="D21" s="865" t="s">
        <v>730</v>
      </c>
    </row>
    <row r="22" spans="1:4" s="7" customFormat="1">
      <c r="A22" s="841" t="s">
        <v>728</v>
      </c>
      <c r="B22" s="859">
        <v>43167</v>
      </c>
      <c r="C22" s="859" t="s">
        <v>731</v>
      </c>
      <c r="D22" s="838" t="s">
        <v>732</v>
      </c>
    </row>
    <row r="23" spans="1:4">
      <c r="A23" s="841" t="s">
        <v>728</v>
      </c>
      <c r="B23" s="859">
        <v>43167</v>
      </c>
      <c r="C23" s="859" t="s">
        <v>733</v>
      </c>
      <c r="D23" s="838" t="s">
        <v>734</v>
      </c>
    </row>
    <row r="24" spans="1:4">
      <c r="A24" s="841" t="s">
        <v>728</v>
      </c>
      <c r="B24" s="859">
        <v>43167</v>
      </c>
      <c r="C24" s="859" t="s">
        <v>735</v>
      </c>
      <c r="D24" s="838" t="s">
        <v>736</v>
      </c>
    </row>
    <row r="25" spans="1:4">
      <c r="A25" s="841" t="s">
        <v>728</v>
      </c>
      <c r="B25" s="859">
        <v>43278</v>
      </c>
      <c r="C25" s="859" t="s">
        <v>765</v>
      </c>
      <c r="D25" s="865"/>
    </row>
    <row r="26" spans="1:4">
      <c r="A26" s="841" t="s">
        <v>766</v>
      </c>
      <c r="B26" s="722">
        <v>43425</v>
      </c>
      <c r="C26" s="859" t="s">
        <v>767</v>
      </c>
    </row>
    <row r="27" spans="1:4">
      <c r="A27" s="841" t="s">
        <v>766</v>
      </c>
      <c r="B27" s="722">
        <v>43444</v>
      </c>
      <c r="C27" s="859" t="s">
        <v>802</v>
      </c>
      <c r="D27" s="865" t="s">
        <v>803</v>
      </c>
    </row>
    <row r="28" spans="1:4">
      <c r="A28" s="841" t="s">
        <v>813</v>
      </c>
      <c r="B28" s="722">
        <v>43573</v>
      </c>
      <c r="C28" s="859" t="s">
        <v>814</v>
      </c>
    </row>
    <row r="29" spans="1:4">
      <c r="A29" s="841" t="s">
        <v>835</v>
      </c>
      <c r="B29" s="722">
        <v>43678</v>
      </c>
      <c r="C29" s="859" t="s">
        <v>836</v>
      </c>
      <c r="D29" s="838" t="s">
        <v>837</v>
      </c>
    </row>
    <row r="30" spans="1:4">
      <c r="A30" s="1001" t="s">
        <v>841</v>
      </c>
      <c r="B30" s="1007">
        <v>43930</v>
      </c>
      <c r="C30" s="1004" t="s">
        <v>838</v>
      </c>
      <c r="D30" s="1006" t="s">
        <v>839</v>
      </c>
    </row>
    <row r="31" spans="1:4">
      <c r="A31" s="1001" t="s">
        <v>841</v>
      </c>
      <c r="B31" s="1007">
        <v>43930</v>
      </c>
      <c r="C31" s="1004" t="s">
        <v>840</v>
      </c>
      <c r="D31" s="1006" t="s">
        <v>839</v>
      </c>
    </row>
    <row r="32" spans="1:4">
      <c r="A32" s="1008" t="s">
        <v>841</v>
      </c>
      <c r="B32" s="1007">
        <v>43943</v>
      </c>
      <c r="C32" s="1004" t="s">
        <v>843</v>
      </c>
      <c r="D32" s="1005" t="s">
        <v>660</v>
      </c>
    </row>
    <row r="33" spans="1:4">
      <c r="A33" s="1008" t="s">
        <v>841</v>
      </c>
      <c r="B33" s="1007">
        <v>43943</v>
      </c>
      <c r="C33" s="1004" t="s">
        <v>844</v>
      </c>
      <c r="D33" s="1006" t="s">
        <v>701</v>
      </c>
    </row>
    <row r="34" spans="1:4" ht="14.25" customHeight="1">
      <c r="A34" s="1008" t="s">
        <v>841</v>
      </c>
      <c r="B34" s="1007">
        <v>43943</v>
      </c>
      <c r="C34" s="1004" t="s">
        <v>845</v>
      </c>
      <c r="D34" s="1006" t="s">
        <v>702</v>
      </c>
    </row>
    <row r="35" spans="1:4">
      <c r="A35" s="1008" t="s">
        <v>841</v>
      </c>
      <c r="B35" s="1007">
        <v>43943</v>
      </c>
      <c r="C35" s="1004" t="s">
        <v>846</v>
      </c>
      <c r="D35" s="1006" t="s">
        <v>847</v>
      </c>
    </row>
    <row r="36" spans="1:4">
      <c r="A36" s="1008" t="s">
        <v>841</v>
      </c>
      <c r="B36" s="1007">
        <v>43951</v>
      </c>
      <c r="C36" t="s">
        <v>848</v>
      </c>
      <c r="D36" s="1006" t="s">
        <v>849</v>
      </c>
    </row>
    <row r="37" spans="1:4">
      <c r="A37" s="1008" t="s">
        <v>841</v>
      </c>
      <c r="B37" s="1007">
        <v>43965</v>
      </c>
      <c r="C37" t="s">
        <v>850</v>
      </c>
      <c r="D37" s="1005" t="s">
        <v>624</v>
      </c>
    </row>
    <row r="38" spans="1:4">
      <c r="A38" s="1008" t="s">
        <v>853</v>
      </c>
      <c r="B38" s="1007">
        <v>44315</v>
      </c>
      <c r="C38" t="s">
        <v>854</v>
      </c>
      <c r="D38" s="1005" t="s">
        <v>607</v>
      </c>
    </row>
    <row r="39" spans="1:4">
      <c r="A39" s="1019" t="s">
        <v>853</v>
      </c>
      <c r="B39" s="1020">
        <v>44326</v>
      </c>
      <c r="C39" t="s">
        <v>865</v>
      </c>
      <c r="D39" s="1021" t="s">
        <v>869</v>
      </c>
    </row>
    <row r="40" spans="1:4">
      <c r="A40" s="1019" t="s">
        <v>853</v>
      </c>
      <c r="B40" s="1020">
        <v>44326</v>
      </c>
      <c r="C40" t="s">
        <v>866</v>
      </c>
      <c r="D40" s="1021" t="s">
        <v>870</v>
      </c>
    </row>
    <row r="41" spans="1:4">
      <c r="A41" s="1019" t="s">
        <v>853</v>
      </c>
      <c r="B41" s="1020">
        <v>44326</v>
      </c>
      <c r="C41" t="s">
        <v>867</v>
      </c>
      <c r="D41" s="1021" t="s">
        <v>701</v>
      </c>
    </row>
    <row r="42" spans="1:4">
      <c r="A42" s="1019" t="s">
        <v>853</v>
      </c>
      <c r="B42" s="1020">
        <v>44326</v>
      </c>
      <c r="C42" t="s">
        <v>868</v>
      </c>
      <c r="D42" s="1022" t="s">
        <v>660</v>
      </c>
    </row>
    <row r="43" spans="1:4">
      <c r="A43" s="1019" t="s">
        <v>885</v>
      </c>
      <c r="B43" s="1020">
        <v>44699</v>
      </c>
      <c r="C43" t="s">
        <v>886</v>
      </c>
    </row>
    <row r="44" spans="1:4">
      <c r="A44" s="1019" t="s">
        <v>885</v>
      </c>
      <c r="B44" s="722">
        <v>44768</v>
      </c>
      <c r="C44" s="1026" t="s">
        <v>897</v>
      </c>
      <c r="D44" s="1021" t="s">
        <v>701</v>
      </c>
    </row>
    <row r="45" spans="1:4">
      <c r="A45" s="1019" t="s">
        <v>885</v>
      </c>
      <c r="B45" s="722">
        <v>44768</v>
      </c>
      <c r="C45" s="1026" t="s">
        <v>898</v>
      </c>
      <c r="D45" s="1022" t="s">
        <v>660</v>
      </c>
    </row>
    <row r="46" spans="1:4">
      <c r="A46" s="1019" t="s">
        <v>885</v>
      </c>
      <c r="B46" s="722">
        <v>44768</v>
      </c>
      <c r="C46" s="722" t="s">
        <v>900</v>
      </c>
      <c r="D46" s="1022" t="s">
        <v>901</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 ref="D44" location="transport!A21" display="transport!A21" xr:uid="{E6248EE3-8235-48C1-BFEE-968C2AE79EB6}"/>
    <hyperlink ref="D45" location="'ECF transport '!A1" display="'ECF transport '!A1" xr:uid="{155BF07F-9D46-44BD-80FE-16643D040F14}"/>
    <hyperlink ref="D46" location="'lokale energieproductie'!X27" display="lokale energieproductie'!X27" xr:uid="{A5FC21B4-8775-4823-B2CB-D06C99F468D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2022-07-26T12:15:17Z</dcterms:modified>
</cp:coreProperties>
</file>