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DAD9EB9-7698-4375-B8B1-ADCA99C267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<sst xmlns="http://schemas.openxmlformats.org/spreadsheetml/2006/main" count="2441" uniqueCount="908">
  <si>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</si>
  <si>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</si>
  <si>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</si>
  <si>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</si>
  <si>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</si>
  <si>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</si>
  <si>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</si>
  <si>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</si>
  <si>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</si>
  <si>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</si>
  <si>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</si>
  <si>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</si>
  <si>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</si>
  <si>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</si>
  <si>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</si>
  <si>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</si>
  <si>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</si>
  <si>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</si>
  <si>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</si>
  <si>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</si>
  <si>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</si>
  <si>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</si>
  <si>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</si>
  <si>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</si>
  <si>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</si>
  <si>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</si>
  <si>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</si>
  <si>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</si>
  <si>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</si>
  <si>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</si>
  <si>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</si>
  <si>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</si>
  <si>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</si>
  <si>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</si>
  <si>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</si>
  <si>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</si>
  <si>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</si>
  <si>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</si>
  <si>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</si>
  <si>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</si>
  <si>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</si>
  <si>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</si>
  <si>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</si>
  <si>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</si>
  <si>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</si>
  <si>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</si>
  <si>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</si>
  <si>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</si>
  <si>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</si>
  <si>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</si>
  <si>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</si>
  <si>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</si>
  <si>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</si>
  <si>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</si>
  <si>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</si>
  <si>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</si>
  <si>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</si>
  <si>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</si>
  <si>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</si>
  <si>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</si>
  <si>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</si>
  <si>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</si>
  <si>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</si>
  <si>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</si>
  <si>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</si>
  <si>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</si>
  <si>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</si>
  <si>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</si>
  <si>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</si>
  <si>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</si>
  <si>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</si>
  <si>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</si>
  <si>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</si>
  <si>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</si>
  <si>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</si>
  <si>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</si>
  <si>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</si>
  <si>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</si>
  <si>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</si>
  <si>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</si>
  <si>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</si>
  <si>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</si>
  <si>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</si>
  <si>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</si>
  <si>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</si>
  <si>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</si>
  <si>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</si>
  <si>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</si>
  <si>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</si>
  <si>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</si>
  <si>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</si>
  <si>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</si>
  <si>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</si>
  <si>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</si>
  <si>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</si>
  <si>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</si>
  <si>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</si>
  <si>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</si>
  <si>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</si>
  <si>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</si>
  <si>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</si>
  <si>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</si>
  <si>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</si>
  <si>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</si>
  <si>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</si>
  <si>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</si>
  <si>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</si>
  <si>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</si>
  <si>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</si>
  <si>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</si>
  <si>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</si>
  <si>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</si>
  <si>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</si>
  <si>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</si>
  <si>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</si>
  <si>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</si>
  <si>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</si>
  <si>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</si>
  <si>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</si>
  <si>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</si>
  <si>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</si>
  <si>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</si>
  <si>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</si>
  <si>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</si>
  <si>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</si>
  <si>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</si>
  <si>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</si>
  <si>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</si>
  <si>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</si>
  <si>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</si>
  <si>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</si>
  <si>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</si>
  <si>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</si>
  <si>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</si>
  <si>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</si>
  <si>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</si>
  <si>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</si>
  <si>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</si>
  <si>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</si>
  <si>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</si>
  <si>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</si>
  <si>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</si>
  <si>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</si>
  <si>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</si>
  <si>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</si>
  <si>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</si>
  <si>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</si>
  <si>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</si>
  <si>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</si>
  <si>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</si>
  <si>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</si>
  <si>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</si>
  <si>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</si>
  <si>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</si>
  <si>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</si>
  <si>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</si>
  <si>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</si>
  <si>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</si>
  <si>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</si>
  <si>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</si>
  <si>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</si>
  <si>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</si>
  <si>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</si>
  <si>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</si>
  <si>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</si>
  <si>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</si>
  <si>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</si>
  <si>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</si>
  <si>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</si>
  <si>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</si>
  <si>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</si>
  <si>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</si>
  <si>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</si>
  <si>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</si>
  <si>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</si>
  <si>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</si>
  <si>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</si>
  <si>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</si>
  <si>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</si>
  <si>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</si>
  <si>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</si>
  <si>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</si>
  <si>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</si>
  <si>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</si>
  <si>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</si>
  <si>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</si>
  <si>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</si>
  <si>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</si>
  <si>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</si>
  <si>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</si>
  <si>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</si>
  <si>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</si>
  <si>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</si>
  <si>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</si>
  <si>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</si>
  <si>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</si>
  <si>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</si>
  <si>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</si>
  <si>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</si>
  <si>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</si>
  <si>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</si>
  <si>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</si>
  <si>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</si>
  <si>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</si>
  <si>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</si>
  <si>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</si>
  <si>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</si>
  <si>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</si>
  <si>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</si>
  <si>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</si>
  <si>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</si>
  <si>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</si>
  <si>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</si>
  <si>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</si>
  <si>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</si>
  <si>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</si>
  <si>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</si>
  <si>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</si>
  <si>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</si>
  <si>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</si>
  <si>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</si>
  <si>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</si>
  <si>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</si>
  <si>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</si>
  <si>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</si>
  <si>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</si>
  <si>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</si>
  <si>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</si>
  <si>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</si>
  <si>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</si>
  <si>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</si>
  <si>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</si>
  <si>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</si>
  <si>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</si>
  <si>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</si>
  <si>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</si>
  <si>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</si>
  <si>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</si>
  <si>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</si>
  <si>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</si>
  <si>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</si>
  <si>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</si>
  <si>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</si>
  <si>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</si>
  <si>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</si>
  <si>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</si>
  <si>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</si>
  <si>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</si>
  <si>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</si>
  <si>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</si>
  <si>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</si>
  <si>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</si>
  <si>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</si>
  <si>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</si>
  <si>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</si>
  <si>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</si>
  <si>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</si>
  <si>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</si>
  <si>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</si>
  <si>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</si>
  <si>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</si>
  <si>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</si>
  <si>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</si>
  <si>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</si>
  <si>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</si>
  <si>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</si>
  <si>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</si>
  <si>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</si>
  <si>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</si>
  <si>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</si>
  <si>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</si>
  <si>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</si>
  <si>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</si>
  <si>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</si>
  <si>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</si>
  <si>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</si>
  <si>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</si>
  <si>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</si>
  <si>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</si>
  <si>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</si>
  <si>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</si>
  <si>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</si>
  <si>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</si>
  <si>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</si>
  <si>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</si>
  <si>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</si>
  <si>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</si>
  <si>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</si>
  <si>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</si>
  <si>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</si>
  <si>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</si>
  <si>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</si>
  <si>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</si>
  <si>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</si>
  <si>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</si>
  <si>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</si>
  <si>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</si>
  <si>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</si>
  <si>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</si>
  <si>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</si>
  <si>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</si>
  <si>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</si>
  <si>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</si>
  <si>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</si>
  <si>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</si>
  <si>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</si>
  <si>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</si>
  <si>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</si>
  <si>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</si>
  <si>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</si>
  <si>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</si>
  <si>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</si>
  <si>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</si>
  <si>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</si>
  <si>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</si>
  <si>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</si>
  <si>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</si>
  <si>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</si>
  <si>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</si>
  <si>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</si>
  <si>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</si>
  <si>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</si>
  <si>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</si>
  <si>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</si>
  <si>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</si>
  <si>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</si>
  <si>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</si>
  <si>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</si>
  <si>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</si>
  <si>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</si>
  <si>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</si>
  <si>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</si>
  <si>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</si>
  <si>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</si>
  <si>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</si>
  <si>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</si>
  <si>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</si>
  <si>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</si>
  <si>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</si>
  <si>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</si>
  <si>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</si>
  <si>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</si>
  <si>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</si>
  <si>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</si>
  <si>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</si>
  <si>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</si>
  <si>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</si>
  <si>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</si>
  <si>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</si>
  <si>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</si>
  <si>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</si>
  <si>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</si>
  <si>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</si>
  <si>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</si>
  <si>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</si>
  <si>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</si>
  <si>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</si>
  <si>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</si>
  <si>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</si>
  <si>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</si>
  <si>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</si>
  <si>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</si>
  <si>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</si>
  <si>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</si>
  <si>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</si>
  <si>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</si>
  <si>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</si>
  <si>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</si>
  <si>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</si>
  <si>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</si>
  <si>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</si>
  <si>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</si>
  <si>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</si>
  <si>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</si>
  <si>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</si>
  <si>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</si>
  <si>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</si>
  <si>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</si>
  <si>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</si>
  <si>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</si>
  <si>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</si>
  <si>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</si>
  <si>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</si>
  <si>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</si>
  <si>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</si>
  <si>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</si>
  <si>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</si>
  <si>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</si>
  <si>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</si>
  <si>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</si>
  <si>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</si>
  <si>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</si>
  <si>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</si>
  <si>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</si>
  <si>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</si>
  <si>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</si>
  <si>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</si>
  <si>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</si>
  <si>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</si>
  <si>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</si>
  <si>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</si>
  <si>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</si>
  <si>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</si>
  <si>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</si>
  <si>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</si>
  <si>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</si>
  <si>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</si>
  <si>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</si>
  <si>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</si>
  <si>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</si>
  <si>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</si>
  <si>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</si>
  <si>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</si>
  <si>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</si>
  <si>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</si>
  <si>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</si>
  <si>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</si>
  <si>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</si>
  <si>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</si>
  <si>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</si>
  <si>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</si>
  <si>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</si>
  <si>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</si>
  <si>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</si>
  <si>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</si>
  <si>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</si>
  <si>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</si>
  <si>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</si>
  <si>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</si>
  <si>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</si>
  <si>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</si>
  <si>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</si>
  <si>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</si>
  <si>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</si>
  <si>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</si>
  <si>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</si>
  <si>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</si>
  <si>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</si>
  <si>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</si>
  <si>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</si>
  <si>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</si>
  <si>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</si>
  <si>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</si>
  <si>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</si>
  <si>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</si>
  <si>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</si>
  <si>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</si>
  <si>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</si>
  <si>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</si>
  <si>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</si>
  <si>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</si>
  <si>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</si>
  <si>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</si>
  <si>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</si>
  <si>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</si>
  <si>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</si>
  <si>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</si>
  <si>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</si>
  <si>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</si>
  <si>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</si>
  <si>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</si>
  <si>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</si>
  <si>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</si>
  <si>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</si>
  <si>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</si>
  <si>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</si>
  <si>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</si>
  <si>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</si>
  <si>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</si>
  <si>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</si>
  <si>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</si>
  <si>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</si>
  <si>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</si>
  <si>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</si>
  <si>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</si>
  <si>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</si>
  <si>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</si>
  <si>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</si>
  <si>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</si>
  <si>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</si>
  <si>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</si>
  <si>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</si>
  <si>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</si>
  <si>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</si>
  <si>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</si>
  <si>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</si>
  <si>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</si>
  <si>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</si>
  <si>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</si>
  <si>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</si>
  <si>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</si>
  <si>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</si>
  <si>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</si>
  <si>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</si>
  <si>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</si>
  <si>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</si>
  <si>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</si>
  <si>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</si>
  <si>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</si>
  <si>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</si>
  <si>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</si>
  <si>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</si>
  <si>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</si>
  <si>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</si>
  <si>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</si>
  <si>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</si>
  <si>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</si>
  <si>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</si>
  <si>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</si>
  <si>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</si>
  <si>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</si>
  <si>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</si>
  <si>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</si>
  <si>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</si>
  <si>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</si>
  <si>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</si>
  <si>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</si>
  <si>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</si>
  <si>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</si>
  <si>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</si>
  <si>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</si>
  <si>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</si>
  <si>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</si>
  <si>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</si>
  <si>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</si>
  <si>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</si>
  <si>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</si>
  <si>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</si>
  <si>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</si>
  <si>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</si>
  <si>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</si>
  <si>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</si>
  <si>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</si>
  <si>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</si>
  <si>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</si>
  <si>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</si>
  <si>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</si>
  <si>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</si>
  <si>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</si>
  <si>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</si>
  <si>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</si>
  <si>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</si>
  <si>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</si>
  <si>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</si>
  <si>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</si>
  <si>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</si>
  <si>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</si>
  <si>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</si>
  <si>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</si>
  <si>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</si>
  <si>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</si>
  <si>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</si>
  <si>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</si>
  <si>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</si>
  <si>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</si>
  <si>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</si>
  <si>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</si>
  <si>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</si>
  <si>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</si>
  <si>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</si>
  <si>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</si>
  <si>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</si>
  <si>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</si>
  <si>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</si>
  <si>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</si>
  <si>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</si>
  <si>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</si>
  <si>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</si>
  <si>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</si>
  <si>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</si>
  <si>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</si>
  <si>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</si>
  <si>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</si>
  <si>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</si>
  <si>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</si>
  <si>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</si>
  <si>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</si>
  <si>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</si>
  <si>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</si>
  <si>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</si>
  <si>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</si>
  <si>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</si>
  <si>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</si>
  <si>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</si>
  <si>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</si>
  <si>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</si>
  <si>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</si>
  <si>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</si>
  <si>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</si>
  <si>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</si>
  <si>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</si>
  <si>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</si>
  <si>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</si>
  <si>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</si>
  <si>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</si>
  <si>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</si>
  <si>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</si>
  <si>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</si>
  <si>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</si>
  <si>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</si>
  <si>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</si>
  <si>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</si>
  <si>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</si>
  <si>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</si>
  <si>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</si>
  <si>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</si>
  <si>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</si>
  <si>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</si>
  <si>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</si>
  <si>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</si>
  <si>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</si>
  <si>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</si>
  <si>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</si>
  <si>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</si>
  <si>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</si>
  <si>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</si>
  <si>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</si>
  <si>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</si>
  <si>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</si>
  <si>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</si>
  <si>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</si>
  <si>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</si>
  <si>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</si>
  <si>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</si>
  <si>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</si>
  <si>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</si>
  <si>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</si>
  <si>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</si>
  <si>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</si>
  <si>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</si>
  <si>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</si>
  <si>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</si>
  <si>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</si>
  <si>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</si>
  <si>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</si>
  <si>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</si>
  <si>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</si>
  <si>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</si>
  <si>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</si>
  <si>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</si>
  <si>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</si>
  <si>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</si>
  <si>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</si>
  <si>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</si>
  <si>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</si>
  <si>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</si>
  <si>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</si>
  <si>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</si>
  <si>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</si>
  <si>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</si>
  <si>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</si>
  <si>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</si>
  <si>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</si>
  <si>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</si>
  <si>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</si>
  <si>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</si>
  <si>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</si>
  <si>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</si>
  <si>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</si>
  <si>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</si>
  <si>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</si>
  <si>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</si>
  <si>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</si>
  <si>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</si>
  <si>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</si>
  <si>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</si>
  <si>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</si>
  <si>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</si>
  <si>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</si>
  <si>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</si>
  <si>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</si>
  <si>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</si>
  <si>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</si>
  <si>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</si>
  <si>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</si>
  <si>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</si>
  <si>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</si>
  <si>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</si>
  <si>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</si>
  <si>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</si>
  <si>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</si>
  <si>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</si>
  <si>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</si>
  <si>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</si>
  <si>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</si>
  <si>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</si>
  <si>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</si>
  <si>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</si>
  <si>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</si>
  <si>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</si>
  <si>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</si>
  <si>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</si>
  <si>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</si>
  <si>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</si>
  <si>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</si>
  <si>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</si>
  <si>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</si>
  <si>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</si>
  <si>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</si>
  <si>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</si>
  <si>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</si>
  <si>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</si>
  <si>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</si>
  <si>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</si>
  <si>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</si>
  <si>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</si>
  <si>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</si>
  <si>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</si>
  <si>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</si>
  <si>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</si>
  <si>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</si>
  <si>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</si>
  <si>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</si>
  <si>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</si>
  <si>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</si>
  <si>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</si>
  <si>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</si>
  <si>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</si>
  <si>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</si>
  <si>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</si>
  <si>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</si>
  <si>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</si>
  <si>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</si>
  <si>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</si>
  <si>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</si>
  <si>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</si>
  <si>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</si>
  <si>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</si>
  <si>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</si>
  <si>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</si>
  <si>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</si>
  <si>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</si>
  <si>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</si>
  <si>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</si>
  <si>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</si>
  <si>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</si>
  <si>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</si>
  <si>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</si>
  <si>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</si>
  <si>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</si>
  <si>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</si>
  <si>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</si>
  <si>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</si>
  <si>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</si>
  <si>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</si>
  <si>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</si>
  <si>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</si>
  <si>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</si>
  <si>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</si>
  <si>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</si>
  <si>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</si>
  <si>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</si>
  <si>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</si>
  <si>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</si>
  <si>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</si>
  <si>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</si>
  <si>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</si>
  <si>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</si>
  <si>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</si>
  <si>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</si>
  <si>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</si>
  <si>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</si>
  <si>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</si>
  <si>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</si>
  <si>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</si>
  <si>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</si>
  <si>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</si>
  <si>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</si>
  <si>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</si>
  <si>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</si>
  <si>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</si>
  <si>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</si>
  <si>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</si>
  <si>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</si>
  <si>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</si>
  <si>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</si>
  <si>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</si>
  <si>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</si>
  <si>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</si>
  <si>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</si>
  <si>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</si>
  <si>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</si>
  <si>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</si>
  <si>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</si>
  <si>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</si>
  <si>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</si>
  <si>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</si>
  <si>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</si>
  <si>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</si>
  <si>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</si>
  <si>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</si>
  <si>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</si>
  <si>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</si>
  <si>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</si>
  <si>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</si>
  <si>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</si>
  <si>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</si>
  <si>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</si>
  <si>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</si>
  <si>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</si>
  <si>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</si>
  <si>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</si>
  <si>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</si>
  <si>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</si>
  <si>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</si>
  <si>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</si>
  <si>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</si>
  <si>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</si>
  <si>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</si>
  <si>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</si>
  <si>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</si>
  <si>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</si>
  <si>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</si>
  <si>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</si>
  <si>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</si>
  <si>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</si>
  <si>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</si>
  <si>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</si>
  <si>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</si>
  <si>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</si>
  <si>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</si>
  <si>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</si>
  <si>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</si>
  <si>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</si>
  <si>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</si>
  <si>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</si>
  <si>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</si>
  <si>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</si>
  <si>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</si>
  <si>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</si>
  <si>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</si>
  <si>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</si>
  <si>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</si>
  <si>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</si>
  <si>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</si>
  <si>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</si>
  <si>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</si>
  <si>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</si>
  <si>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</si>
  <si>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</si>
  <si>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</si>
  <si>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</si>
  <si>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</si>
  <si>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</si>
  <si>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</si>
  <si>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</si>
  <si>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</si>
  <si>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</si>
  <si>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</si>
  <si>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</si>
  <si>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</si>
  <si>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</si>
  <si>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</si>
  <si>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</si>
  <si>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</si>
  <si>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</si>
  <si>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</si>
  <si>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</si>
  <si>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</si>
  <si>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</si>
  <si>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</si>
  <si>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</si>
  <si>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</si>
  <si>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</si>
  <si>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</si>
  <si>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</si>
  <si>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</si>
  <si>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</si>
  <si>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</si>
  <si>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</si>
  <si>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</si>
  <si>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</si>
  <si>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</si>
  <si>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</si>
  <si>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</si>
  <si>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</si>
  <si>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</si>
  <si>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</si>
  <si>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</si>
  <si>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</si>
  <si>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</si>
  <si>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</si>
  <si>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</si>
  <si>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</si>
  <si>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</si>
  <si>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</si>
  <si>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</si>
  <si>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</si>
  <si>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</si>
  <si>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</si>
  <si>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</si>
  <si>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</si>
  <si>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</si>
  <si>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</si>
  <si>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</si>
  <si>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</si>
  <si>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</si>
  <si>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</si>
  <si>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</si>
  <si>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</si>
  <si>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</si>
  <si>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</si>
  <si>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44064</t>
  </si>
  <si>
    <t>SINT-MARTENS-LATEM</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</si>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</sst>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CECD5A8-3A8F-4F01-8D02-6EB58F47604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96765.260326111311</c:v>
                </c:pt>
                <c:pt idx="1">
                  <c:v>39472.422170520287</c:v>
                </c:pt>
                <c:pt idx="2">
                  <c:v>585.98599999999999</c:v>
                </c:pt>
                <c:pt idx="3">
                  <c:v>1449.4913600615057</c:v>
                </c:pt>
                <c:pt idx="4">
                  <c:v>5132.2492437720502</c:v>
                </c:pt>
                <c:pt idx="5">
                  <c:v>44699.915658995356</c:v>
                </c:pt>
                <c:pt idx="6">
                  <c:v>676.74634977239737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96765.260326111311</c:v>
                </c:pt>
                <c:pt idx="1">
                  <c:v>39472.422170520287</c:v>
                </c:pt>
                <c:pt idx="2">
                  <c:v>585.98599999999999</c:v>
                </c:pt>
                <c:pt idx="3">
                  <c:v>1449.4913600615057</c:v>
                </c:pt>
                <c:pt idx="4">
                  <c:v>5132.2492437720502</c:v>
                </c:pt>
                <c:pt idx="5">
                  <c:v>44699.915658995356</c:v>
                </c:pt>
                <c:pt idx="6">
                  <c:v>676.74634977239737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21235.184021951845</c:v>
                </c:pt>
                <c:pt idx="2">
                  <c:v>8237.5969885075228</c:v>
                </c:pt>
                <c:pt idx="3">
                  <c:v>126.85407540156291</c:v>
                </c:pt>
                <c:pt idx="4">
                  <c:v>370.28626082585998</c:v>
                </c:pt>
                <c:pt idx="5">
                  <c:v>1107.6173034263174</c:v>
                </c:pt>
                <c:pt idx="6">
                  <c:v>11302.966942901508</c:v>
                </c:pt>
                <c:pt idx="7">
                  <c:v>172.80730439314465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21235.184021951845</c:v>
                </c:pt>
                <c:pt idx="2">
                  <c:v>8237.5969885075228</c:v>
                </c:pt>
                <c:pt idx="3">
                  <c:v>126.85407540156291</c:v>
                </c:pt>
                <c:pt idx="4">
                  <c:v>370.28626082585998</c:v>
                </c:pt>
                <c:pt idx="5">
                  <c:v>1107.6173034263174</c:v>
                </c:pt>
                <c:pt idx="6">
                  <c:v>11302.966942901508</c:v>
                </c:pt>
                <c:pt idx="7">
                  <c:v>172.80730439314465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44064</v>
      </c>
      <c r="B6" s="385"/>
      <c r="C6" s="386"/>
    </row>
    <row r="7" spans="1:7" s="383" customFormat="1" ht="15.75" customHeight="1">
      <c r="A7" s="387" t="str">
        <f>txtMunicipality</f>
        <v>SINT-MARTENS-LATEM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0.21647970327202853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0.21647970327202853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3436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385</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14</v>
      </c>
      <c r="C17" s="327"/>
      <c r="D17" s="327"/>
      <c r="E17" s="327"/>
      <c r="F17" s="327"/>
    </row>
    <row r="18" spans="1:6">
      <c r="A18" s="1258" t="s">
        <v>8</v>
      </c>
      <c r="B18" s="1259">
        <v>9</v>
      </c>
      <c r="C18" s="327"/>
      <c r="D18" s="327"/>
      <c r="E18" s="327"/>
      <c r="F18" s="327"/>
    </row>
    <row r="19" spans="1:6">
      <c r="A19" s="1258" t="s">
        <v>9</v>
      </c>
      <c r="B19" s="1259">
        <v>33</v>
      </c>
      <c r="C19" s="327"/>
      <c r="D19" s="327"/>
      <c r="E19" s="327"/>
      <c r="F19" s="327"/>
    </row>
    <row r="20" spans="1:6">
      <c r="A20" s="1258" t="s">
        <v>10</v>
      </c>
      <c r="B20" s="1259">
        <v>34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13</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65</v>
      </c>
      <c r="C29" s="327"/>
      <c r="D29" s="327"/>
      <c r="E29" s="327"/>
      <c r="F29" s="327"/>
    </row>
    <row r="30" spans="1:6">
      <c r="A30" s="1253" t="s">
        <v>906</v>
      </c>
      <c r="B30" s="1261">
        <v>10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14492.1016845739</v>
      </c>
      <c r="E38" s="1259">
        <v>2</v>
      </c>
      <c r="F38" s="1259">
        <v>29804.4712772077</v>
      </c>
    </row>
    <row r="39" spans="1:6">
      <c r="A39" s="1258" t="s">
        <v>29</v>
      </c>
      <c r="B39" s="1258" t="s">
        <v>30</v>
      </c>
      <c r="C39" s="1259">
        <v>1135</v>
      </c>
      <c r="D39" s="1259">
        <v>29114523.1835443</v>
      </c>
      <c r="E39" s="1259">
        <v>3088</v>
      </c>
      <c r="F39" s="1259">
        <v>20124894.407273699</v>
      </c>
    </row>
    <row r="40" spans="1:6">
      <c r="A40" s="1258" t="s">
        <v>29</v>
      </c>
      <c r="B40" s="1258" t="s">
        <v>28</v>
      </c>
      <c r="C40" s="1259">
        <v>0</v>
      </c>
      <c r="D40" s="1259">
        <v>0</v>
      </c>
      <c r="E40" s="1259">
        <v>0</v>
      </c>
      <c r="F40" s="1259">
        <v>0</v>
      </c>
    </row>
    <row r="41" spans="1:6">
      <c r="A41" s="1258" t="s">
        <v>31</v>
      </c>
      <c r="B41" s="1258" t="s">
        <v>32</v>
      </c>
      <c r="C41" s="1259">
        <v>14</v>
      </c>
      <c r="D41" s="1259">
        <v>518639.24038648402</v>
      </c>
      <c r="E41" s="1259">
        <v>52</v>
      </c>
      <c r="F41" s="1259">
        <v>775314.305662803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39410.068203096504</v>
      </c>
    </row>
    <row r="48" spans="1:6">
      <c r="A48" s="1258" t="s">
        <v>31</v>
      </c>
      <c r="B48" s="1258" t="s">
        <v>28</v>
      </c>
      <c r="C48" s="1259">
        <v>24</v>
      </c>
      <c r="D48" s="1259">
        <v>1206758.0431993001</v>
      </c>
      <c r="E48" s="1259">
        <v>44</v>
      </c>
      <c r="F48" s="1259">
        <v>594630.88764850795</v>
      </c>
    </row>
    <row r="49" spans="1:6">
      <c r="A49" s="1258" t="s">
        <v>31</v>
      </c>
      <c r="B49" s="1258" t="s">
        <v>39</v>
      </c>
      <c r="C49" s="1259">
        <v>0</v>
      </c>
      <c r="D49" s="1259">
        <v>0</v>
      </c>
      <c r="E49" s="1259">
        <v>3</v>
      </c>
      <c r="F49" s="1259">
        <v>85001.228049134093</v>
      </c>
    </row>
    <row r="50" spans="1:6">
      <c r="A50" s="1258" t="s">
        <v>31</v>
      </c>
      <c r="B50" s="1258" t="s">
        <v>40</v>
      </c>
      <c r="C50" s="1259">
        <v>0</v>
      </c>
      <c r="D50" s="1259">
        <v>0</v>
      </c>
      <c r="E50" s="1259">
        <v>4</v>
      </c>
      <c r="F50" s="1259">
        <v>374504.15584957099</v>
      </c>
    </row>
    <row r="51" spans="1:6">
      <c r="A51" s="1258" t="s">
        <v>41</v>
      </c>
      <c r="B51" s="1258" t="s">
        <v>42</v>
      </c>
      <c r="C51" s="1259">
        <v>0</v>
      </c>
      <c r="D51" s="1259">
        <v>0</v>
      </c>
      <c r="E51" s="1259">
        <v>12</v>
      </c>
      <c r="F51" s="1259">
        <v>168396.71814385601</v>
      </c>
    </row>
    <row r="52" spans="1:6">
      <c r="A52" s="1258" t="s">
        <v>41</v>
      </c>
      <c r="B52" s="1258" t="s">
        <v>28</v>
      </c>
      <c r="C52" s="1259">
        <v>2</v>
      </c>
      <c r="D52" s="1259">
        <v>76723.981393208</v>
      </c>
      <c r="E52" s="1259">
        <v>13</v>
      </c>
      <c r="F52" s="1259">
        <v>127200.473685809</v>
      </c>
    </row>
    <row r="53" spans="1:6">
      <c r="A53" s="1258" t="s">
        <v>43</v>
      </c>
      <c r="B53" s="1258" t="s">
        <v>44</v>
      </c>
      <c r="C53" s="1259">
        <v>47</v>
      </c>
      <c r="D53" s="1259">
        <v>1273639.7050362499</v>
      </c>
      <c r="E53" s="1259">
        <v>134</v>
      </c>
      <c r="F53" s="1259">
        <v>932317.34479310398</v>
      </c>
    </row>
    <row r="54" spans="1:6">
      <c r="A54" s="1258" t="s">
        <v>45</v>
      </c>
      <c r="B54" s="1258" t="s">
        <v>46</v>
      </c>
      <c r="C54" s="1259">
        <v>0</v>
      </c>
      <c r="D54" s="1259">
        <v>0</v>
      </c>
      <c r="E54" s="1259">
        <v>2</v>
      </c>
      <c r="F54" s="1259">
        <v>585986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v>
      </c>
      <c r="D57" s="1259">
        <v>99271.996740541595</v>
      </c>
      <c r="E57" s="1259">
        <v>31</v>
      </c>
      <c r="F57" s="1259">
        <v>708026.44439045002</v>
      </c>
    </row>
    <row r="58" spans="1:6">
      <c r="A58" s="1258" t="s">
        <v>48</v>
      </c>
      <c r="B58" s="1258" t="s">
        <v>50</v>
      </c>
      <c r="C58" s="1259">
        <v>19</v>
      </c>
      <c r="D58" s="1259">
        <v>1010791.24178534</v>
      </c>
      <c r="E58" s="1259">
        <v>47</v>
      </c>
      <c r="F58" s="1259">
        <v>757031.45353856799</v>
      </c>
    </row>
    <row r="59" spans="1:6">
      <c r="A59" s="1258" t="s">
        <v>48</v>
      </c>
      <c r="B59" s="1258" t="s">
        <v>51</v>
      </c>
      <c r="C59" s="1259">
        <v>52</v>
      </c>
      <c r="D59" s="1259">
        <v>2579390.9881342598</v>
      </c>
      <c r="E59" s="1259">
        <v>150</v>
      </c>
      <c r="F59" s="1259">
        <v>3716861.0891739498</v>
      </c>
    </row>
    <row r="60" spans="1:6">
      <c r="A60" s="1258" t="s">
        <v>48</v>
      </c>
      <c r="B60" s="1258" t="s">
        <v>52</v>
      </c>
      <c r="C60" s="1259">
        <v>32</v>
      </c>
      <c r="D60" s="1259">
        <v>2916497.7665561498</v>
      </c>
      <c r="E60" s="1259">
        <v>68</v>
      </c>
      <c r="F60" s="1259">
        <v>2087672.2069798999</v>
      </c>
    </row>
    <row r="61" spans="1:6">
      <c r="A61" s="1258" t="s">
        <v>48</v>
      </c>
      <c r="B61" s="1258" t="s">
        <v>53</v>
      </c>
      <c r="C61" s="1259">
        <v>159</v>
      </c>
      <c r="D61" s="1259">
        <v>6348647.7911080699</v>
      </c>
      <c r="E61" s="1259">
        <v>484</v>
      </c>
      <c r="F61" s="1259">
        <v>6665920.3099483997</v>
      </c>
    </row>
    <row r="62" spans="1:6">
      <c r="A62" s="1258" t="s">
        <v>48</v>
      </c>
      <c r="B62" s="1258" t="s">
        <v>54</v>
      </c>
      <c r="C62" s="1259">
        <v>0</v>
      </c>
      <c r="D62" s="1259">
        <v>0</v>
      </c>
      <c r="E62" s="1259">
        <v>4</v>
      </c>
      <c r="F62" s="1259">
        <v>119359.693536529</v>
      </c>
    </row>
    <row r="63" spans="1:6">
      <c r="A63" s="1258" t="s">
        <v>48</v>
      </c>
      <c r="B63" s="1258" t="s">
        <v>28</v>
      </c>
      <c r="C63" s="1259">
        <v>137</v>
      </c>
      <c r="D63" s="1259">
        <v>6727284.0533721698</v>
      </c>
      <c r="E63" s="1259">
        <v>166</v>
      </c>
      <c r="F63" s="1259">
        <v>4193297.59792569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9987.5565413364002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38606266</v>
      </c>
      <c r="E73" s="446"/>
      <c r="F73" s="327"/>
    </row>
    <row r="74" spans="1:6">
      <c r="A74" s="1258" t="s">
        <v>63</v>
      </c>
      <c r="B74" s="1258" t="s">
        <v>681</v>
      </c>
      <c r="C74" s="1271" t="s">
        <v>682</v>
      </c>
      <c r="D74" s="1259">
        <v>4205950.6317934375</v>
      </c>
      <c r="E74" s="446"/>
      <c r="F74" s="327"/>
    </row>
    <row r="75" spans="1:6">
      <c r="A75" s="1258" t="s">
        <v>64</v>
      </c>
      <c r="B75" s="1258" t="s">
        <v>679</v>
      </c>
      <c r="C75" s="1271" t="s">
        <v>683</v>
      </c>
      <c r="D75" s="1259">
        <v>8518900</v>
      </c>
      <c r="E75" s="446"/>
      <c r="F75" s="327"/>
    </row>
    <row r="76" spans="1:6">
      <c r="A76" s="1258" t="s">
        <v>64</v>
      </c>
      <c r="B76" s="1258" t="s">
        <v>681</v>
      </c>
      <c r="C76" s="1271" t="s">
        <v>684</v>
      </c>
      <c r="D76" s="1259">
        <v>507646.63179343787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179114.73641312431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819.04939211362114</v>
      </c>
      <c r="C91" s="327"/>
      <c r="D91" s="327"/>
      <c r="E91" s="327"/>
      <c r="F91" s="327"/>
    </row>
    <row r="92" spans="1:6">
      <c r="A92" s="1253" t="s">
        <v>68</v>
      </c>
      <c r="B92" s="1254">
        <v>58.04622869105458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510</v>
      </c>
      <c r="C97" s="327"/>
      <c r="D97" s="327"/>
      <c r="E97" s="327"/>
      <c r="F97" s="327"/>
    </row>
    <row r="98" spans="1:6">
      <c r="A98" s="1258" t="s">
        <v>71</v>
      </c>
      <c r="B98" s="1259">
        <v>1</v>
      </c>
      <c r="C98" s="327"/>
      <c r="D98" s="327"/>
      <c r="E98" s="327"/>
      <c r="F98" s="327"/>
    </row>
    <row r="99" spans="1:6">
      <c r="A99" s="1258" t="s">
        <v>72</v>
      </c>
      <c r="B99" s="1259">
        <v>50</v>
      </c>
      <c r="C99" s="327"/>
      <c r="D99" s="327"/>
      <c r="E99" s="327"/>
      <c r="F99" s="327"/>
    </row>
    <row r="100" spans="1:6">
      <c r="A100" s="1258" t="s">
        <v>73</v>
      </c>
      <c r="B100" s="1259">
        <v>478</v>
      </c>
      <c r="C100" s="327"/>
      <c r="D100" s="327"/>
      <c r="E100" s="327"/>
      <c r="F100" s="327"/>
    </row>
    <row r="101" spans="1:6">
      <c r="A101" s="1258" t="s">
        <v>74</v>
      </c>
      <c r="B101" s="1259">
        <v>15</v>
      </c>
      <c r="C101" s="327"/>
      <c r="D101" s="327"/>
      <c r="E101" s="327"/>
      <c r="F101" s="327"/>
    </row>
    <row r="102" spans="1:6">
      <c r="A102" s="1258" t="s">
        <v>75</v>
      </c>
      <c r="B102" s="1259">
        <v>62</v>
      </c>
      <c r="C102" s="327"/>
      <c r="D102" s="327"/>
      <c r="E102" s="327"/>
      <c r="F102" s="327"/>
    </row>
    <row r="103" spans="1:6">
      <c r="A103" s="1258" t="s">
        <v>76</v>
      </c>
      <c r="B103" s="1259">
        <v>53</v>
      </c>
      <c r="C103" s="327"/>
      <c r="D103" s="327"/>
      <c r="E103" s="327"/>
      <c r="F103" s="327"/>
    </row>
    <row r="104" spans="1:6">
      <c r="A104" s="1258" t="s">
        <v>77</v>
      </c>
      <c r="B104" s="1259">
        <v>2024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47</v>
      </c>
      <c r="C123" s="1259">
        <v>3</v>
      </c>
      <c r="D123" s="327"/>
      <c r="E123" s="327"/>
      <c r="F123" s="327"/>
    </row>
    <row r="124" spans="1:6">
      <c r="A124" s="1258" t="s">
        <v>88</v>
      </c>
      <c r="B124" s="1259">
        <v>2</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42881.72743138075</v>
      </c>
      <c r="C3" s="43" t="s">
        <v>163</v>
      </c>
      <c r="D3" s="43"/>
      <c r="E3" s="156"/>
      <c r="F3" s="43"/>
      <c r="G3" s="43"/>
      <c r="H3" s="43"/>
      <c r="I3" s="43"/>
      <c r="J3" s="43"/>
      <c r="K3" s="96"/>
    </row>
    <row r="4" spans="1:11">
      <c r="A4" s="353" t="s">
        <v>164</v>
      </c>
      <c r="B4" s="49">
        <f>IF(ISERROR('SEAP template'!B78+'SEAP template'!C78),0,'SEAP template'!B78+'SEAP template'!C78)</f>
        <v>877.09562080467572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0.21647970327202853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585.98599999999999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585.98599999999999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0.21647970327202853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126.85407540156291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20124.894407273699</v>
      </c>
      <c r="C5" s="17">
        <f>IF(ISERROR('Eigen informatie GS &amp; warmtenet'!B57),0,'Eigen informatie GS &amp; warmtenet'!B57)</f>
        <v>0</v>
      </c>
      <c r="D5" s="30">
        <f>(SUM(HH_hh_gas_kWh,HH_rest_gas_kWh)/1000)*0.902</f>
        <v>26261.299911556962</v>
      </c>
      <c r="E5" s="17">
        <f>B32*B41</f>
        <v>1322.8949844309736</v>
      </c>
      <c r="F5" s="17">
        <f>B36*B45</f>
        <v>40540.742205212206</v>
      </c>
      <c r="G5" s="18"/>
      <c r="H5" s="17"/>
      <c r="I5" s="17"/>
      <c r="J5" s="17">
        <f>B35*B44+C35*C44</f>
        <v>767.76093367920635</v>
      </c>
      <c r="K5" s="17"/>
      <c r="L5" s="17"/>
      <c r="M5" s="17"/>
      <c r="N5" s="17">
        <f>B34*B43+C34*C43</f>
        <v>5836.4851585112865</v>
      </c>
      <c r="O5" s="17">
        <f>B52*B53*B54</f>
        <v>62.533333333333331</v>
      </c>
      <c r="P5" s="17">
        <f>B60*B61*B62/1000-B60*B61*B62/1000/B63</f>
        <v>1029.5999999999999</v>
      </c>
    </row>
    <row r="6" spans="1:16">
      <c r="A6" s="16" t="s">
        <v>592</v>
      </c>
      <c r="B6" s="733">
        <f>kWh_PV_kleiner_dan_10kW</f>
        <v>819.04939211362114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20943.943799387322</v>
      </c>
      <c r="C8" s="21">
        <f>C5</f>
        <v>0</v>
      </c>
      <c r="D8" s="21">
        <f>D5</f>
        <v>26261.299911556962</v>
      </c>
      <c r="E8" s="21">
        <f>E5</f>
        <v>1322.8949844309736</v>
      </c>
      <c r="F8" s="21">
        <f>F5</f>
        <v>40540.742205212206</v>
      </c>
      <c r="G8" s="21"/>
      <c r="H8" s="21"/>
      <c r="I8" s="21"/>
      <c r="J8" s="21">
        <f>J5</f>
        <v>767.76093367920635</v>
      </c>
      <c r="K8" s="21"/>
      <c r="L8" s="21">
        <f>L5</f>
        <v>0</v>
      </c>
      <c r="M8" s="21">
        <f>M5</f>
        <v>0</v>
      </c>
      <c r="N8" s="21">
        <f>N5</f>
        <v>5836.4851585112865</v>
      </c>
      <c r="O8" s="21">
        <f>O5</f>
        <v>62.533333333333331</v>
      </c>
      <c r="P8" s="21">
        <f>P5</f>
        <v>1029.5999999999999</v>
      </c>
    </row>
    <row r="9" spans="1:16">
      <c r="B9" s="19"/>
      <c r="C9" s="19"/>
      <c r="D9" s="257"/>
      <c r="E9" s="19"/>
      <c r="F9" s="19"/>
      <c r="G9" s="19"/>
      <c r="H9" s="19"/>
      <c r="I9" s="19"/>
      <c r="J9" s="19"/>
      <c r="K9" s="19"/>
      <c r="L9" s="19"/>
      <c r="M9" s="19"/>
      <c r="N9" s="19"/>
      <c r="O9" s="19"/>
      <c r="P9" s="19"/>
    </row>
    <row r="10" spans="1:16">
      <c r="A10" s="24" t="s">
        <v>207</v>
      </c>
      <c r="B10" s="25">
        <f ca="1">'EF ele_warmte'!B12</f>
        <v>0.21647970327202853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4533.9387390374095</v>
      </c>
      <c r="C12" s="23">
        <f ca="1">C10*C8</f>
        <v>0</v>
      </c>
      <c r="D12" s="23">
        <f>D8*D10</f>
        <v>5304.7825821345068</v>
      </c>
      <c r="E12" s="23">
        <f>E10*E8</f>
        <v>300.29716146583104</v>
      </c>
      <c r="F12" s="23">
        <f>F10*F8</f>
        <v>10824.37816879166</v>
      </c>
      <c r="G12" s="23"/>
      <c r="H12" s="23"/>
      <c r="I12" s="23"/>
      <c r="J12" s="23">
        <f>J10*J8</f>
        <v>271.78737052243901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3436</v>
      </c>
      <c r="C26" s="36"/>
      <c r="D26" s="227"/>
    </row>
    <row r="27" spans="1:5" s="15" customFormat="1">
      <c r="A27" s="229" t="s">
        <v>697</v>
      </c>
      <c r="B27" s="37">
        <f>SUM(HH_hh_gas_aantal,HH_rest_gas_aantal)</f>
        <v>1135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1078.25</v>
      </c>
      <c r="C31" s="34" t="s">
        <v>104</v>
      </c>
      <c r="D31" s="173"/>
    </row>
    <row r="32" spans="1:5">
      <c r="A32" s="170" t="s">
        <v>72</v>
      </c>
      <c r="B32" s="33">
        <f>IF((B21*($B$26-($B$27-0.05*$B$27)-$B$60))&lt;0,0,B21*($B$26-($B$27-0.05*$B$27)-$B$60))</f>
        <v>57.689498587908396</v>
      </c>
      <c r="C32" s="34" t="s">
        <v>104</v>
      </c>
      <c r="D32" s="173"/>
    </row>
    <row r="33" spans="1:6">
      <c r="A33" s="170" t="s">
        <v>73</v>
      </c>
      <c r="B33" s="33">
        <f>IF((B22*($B$26-($B$27-0.05*$B$27)-$B$60))&lt;0,0,B22*($B$26-($B$27-0.05*$B$27)-$B$60))</f>
        <v>388.3179860196588</v>
      </c>
      <c r="C33" s="34" t="s">
        <v>104</v>
      </c>
      <c r="D33" s="173"/>
    </row>
    <row r="34" spans="1:6">
      <c r="A34" s="170" t="s">
        <v>74</v>
      </c>
      <c r="B34" s="33">
        <f>IF((B24*($B$26-($B$27-0.05*$B$27)-$B$60))&lt;0,0,B24*($B$26-($B$27-0.05*$B$27)-$B$60))</f>
        <v>98.521536516253306</v>
      </c>
      <c r="C34" s="33">
        <f>B26*C24</f>
        <v>702.86839237248421</v>
      </c>
      <c r="D34" s="232"/>
    </row>
    <row r="35" spans="1:6">
      <c r="A35" s="170" t="s">
        <v>76</v>
      </c>
      <c r="B35" s="33">
        <f>IF((B19*($B$26-($B$27-0.05*$B$27)-$B$60))&lt;0,0,B19*($B$26-($B$27-0.05*$B$27)-$B$60))</f>
        <v>36.613839175803179</v>
      </c>
      <c r="C35" s="33">
        <f>B35/2</f>
        <v>18.306919587901589</v>
      </c>
      <c r="D35" s="232"/>
    </row>
    <row r="36" spans="1:6">
      <c r="A36" s="170" t="s">
        <v>77</v>
      </c>
      <c r="B36" s="33">
        <f>IF((B18*($B$26-($B$27-0.05*$B$27)-$B$60))&lt;0,0,B18*($B$26-($B$27-0.05*$B$27)-$B$60))</f>
        <v>1722.6071397003766</v>
      </c>
      <c r="C36" s="34" t="s">
        <v>104</v>
      </c>
      <c r="D36" s="173"/>
    </row>
    <row r="37" spans="1:6">
      <c r="A37" s="170" t="s">
        <v>78</v>
      </c>
      <c r="B37" s="33">
        <f>B60</f>
        <v>54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18248.16879549349</v>
      </c>
      <c r="C5" s="17">
        <f>IF(ISERROR('Eigen informatie GS &amp; warmtenet'!B58),0,'Eigen informatie GS &amp; warmtenet'!B58)</f>
        <v>0</v>
      </c>
      <c r="D5" s="30">
        <f>SUM(D6:D12)</f>
        <v>17753.059221602271</v>
      </c>
      <c r="E5" s="17">
        <f>SUM(E6:E12)</f>
        <v>126.15741643861057</v>
      </c>
      <c r="F5" s="17">
        <f>SUM(F6:F12)</f>
        <v>2460.0983512353641</v>
      </c>
      <c r="G5" s="18"/>
      <c r="H5" s="17"/>
      <c r="I5" s="17"/>
      <c r="J5" s="17">
        <f>SUM(J6:J12)</f>
        <v>44.171938774398512</v>
      </c>
      <c r="K5" s="17"/>
      <c r="L5" s="17"/>
      <c r="M5" s="17"/>
      <c r="N5" s="17">
        <f>SUM(N6:N12)</f>
        <v>801.06978030949131</v>
      </c>
      <c r="O5" s="17">
        <f>B38*B39*B40</f>
        <v>1.5633333333333335</v>
      </c>
      <c r="P5" s="17">
        <f>B46*B47*B48/1000-B46*B47*B48/1000/B49</f>
        <v>38.133333333333333</v>
      </c>
      <c r="R5" s="32"/>
    </row>
    <row r="6" spans="1:18">
      <c r="A6" s="32" t="s">
        <v>53</v>
      </c>
      <c r="B6" s="37">
        <f>B26</f>
        <v>6665.9203099483993</v>
      </c>
      <c r="C6" s="33"/>
      <c r="D6" s="37">
        <f>IF(ISERROR(TER_kantoor_gas_kWh/1000),0,TER_kantoor_gas_kWh/1000)*0.902</f>
        <v>5726.4803075794798</v>
      </c>
      <c r="E6" s="33">
        <f>$C$26*'E Balans VL '!I12/100/3.6*1000000</f>
        <v>56.266181370781993</v>
      </c>
      <c r="F6" s="33">
        <f>$C$26*('E Balans VL '!L12+'E Balans VL '!N12)/100/3.6*1000000</f>
        <v>893.82610792324624</v>
      </c>
      <c r="G6" s="34"/>
      <c r="H6" s="33"/>
      <c r="I6" s="33"/>
      <c r="J6" s="33">
        <f>$C$26*('E Balans VL '!D12+'E Balans VL '!E12)/100/3.6*1000000</f>
        <v>0</v>
      </c>
      <c r="K6" s="33"/>
      <c r="L6" s="33"/>
      <c r="M6" s="33"/>
      <c r="N6" s="33">
        <f>$C$26*'E Balans VL '!Y12/100/3.6*1000000</f>
        <v>58.624707487876137</v>
      </c>
      <c r="O6" s="33"/>
      <c r="P6" s="33"/>
      <c r="R6" s="32"/>
    </row>
    <row r="7" spans="1:18">
      <c r="A7" s="32" t="s">
        <v>52</v>
      </c>
      <c r="B7" s="37">
        <f t="shared" ref="B7:B12" si="0">B27</f>
        <v>2087.6722069798998</v>
      </c>
      <c r="C7" s="33"/>
      <c r="D7" s="37">
        <f>IF(ISERROR(TER_horeca_gas_kWh/1000),0,TER_horeca_gas_kWh/1000)*0.902</f>
        <v>2630.680985433647</v>
      </c>
      <c r="E7" s="33">
        <f>$C$27*'E Balans VL '!I9/100/3.6*1000000</f>
        <v>27.448721638602326</v>
      </c>
      <c r="F7" s="33">
        <f>$C$27*('E Balans VL '!L9+'E Balans VL '!N9)/100/3.6*1000000</f>
        <v>524.29246097502755</v>
      </c>
      <c r="G7" s="34"/>
      <c r="H7" s="33"/>
      <c r="I7" s="33"/>
      <c r="J7" s="33">
        <f>$C$27*('E Balans VL '!D9+'E Balans VL '!E9)/100/3.6*1000000</f>
        <v>0</v>
      </c>
      <c r="K7" s="33"/>
      <c r="L7" s="33"/>
      <c r="M7" s="33"/>
      <c r="N7" s="33">
        <f>$C$27*'E Balans VL '!Y9/100/3.6*1000000</f>
        <v>0.56834313243157741</v>
      </c>
      <c r="O7" s="33"/>
      <c r="P7" s="33"/>
      <c r="R7" s="32"/>
    </row>
    <row r="8" spans="1:18">
      <c r="A8" s="6" t="s">
        <v>51</v>
      </c>
      <c r="B8" s="37">
        <f t="shared" si="0"/>
        <v>3716.8610891739499</v>
      </c>
      <c r="C8" s="33"/>
      <c r="D8" s="37">
        <f>IF(ISERROR(TER_handel_gas_kWh/1000),0,TER_handel_gas_kWh/1000)*0.902</f>
        <v>2326.6106712971023</v>
      </c>
      <c r="E8" s="33">
        <f>$C$28*'E Balans VL '!I13/100/3.6*1000000</f>
        <v>16.277502027630003</v>
      </c>
      <c r="F8" s="33">
        <f>$C$28*('E Balans VL '!L13+'E Balans VL '!N13)/100/3.6*1000000</f>
        <v>249.82741216901499</v>
      </c>
      <c r="G8" s="34"/>
      <c r="H8" s="33"/>
      <c r="I8" s="33"/>
      <c r="J8" s="33">
        <f>$C$28*('E Balans VL '!D13+'E Balans VL '!E13)/100/3.6*1000000</f>
        <v>0</v>
      </c>
      <c r="K8" s="33"/>
      <c r="L8" s="33"/>
      <c r="M8" s="33"/>
      <c r="N8" s="33">
        <f>$C$28*'E Balans VL '!Y13/100/3.6*1000000</f>
        <v>10.980556491585874</v>
      </c>
      <c r="O8" s="33"/>
      <c r="P8" s="33"/>
      <c r="R8" s="32"/>
    </row>
    <row r="9" spans="1:18">
      <c r="A9" s="32" t="s">
        <v>50</v>
      </c>
      <c r="B9" s="37">
        <f t="shared" si="0"/>
        <v>757.03145353856803</v>
      </c>
      <c r="C9" s="33"/>
      <c r="D9" s="37">
        <f>IF(ISERROR(TER_gezond_gas_kWh/1000),0,TER_gezond_gas_kWh/1000)*0.902</f>
        <v>911.73370009037671</v>
      </c>
      <c r="E9" s="33">
        <f>$C$29*'E Balans VL '!I10/100/3.6*1000000</f>
        <v>0.26034645919211152</v>
      </c>
      <c r="F9" s="33">
        <f>$C$29*('E Balans VL '!L10+'E Balans VL '!N10)/100/3.6*1000000</f>
        <v>66.167530837279656</v>
      </c>
      <c r="G9" s="34"/>
      <c r="H9" s="33"/>
      <c r="I9" s="33"/>
      <c r="J9" s="33">
        <f>$C$29*('E Balans VL '!D10+'E Balans VL '!E10)/100/3.6*1000000</f>
        <v>31.402313912836366</v>
      </c>
      <c r="K9" s="33"/>
      <c r="L9" s="33"/>
      <c r="M9" s="33"/>
      <c r="N9" s="33">
        <f>$C$29*'E Balans VL '!Y10/100/3.6*1000000</f>
        <v>7.9371950388751555</v>
      </c>
      <c r="O9" s="33"/>
      <c r="P9" s="33"/>
      <c r="R9" s="32"/>
    </row>
    <row r="10" spans="1:18">
      <c r="A10" s="32" t="s">
        <v>49</v>
      </c>
      <c r="B10" s="37">
        <f t="shared" si="0"/>
        <v>708.02644439045002</v>
      </c>
      <c r="C10" s="33"/>
      <c r="D10" s="37">
        <f>IF(ISERROR(TER_ander_gas_kWh/1000),0,TER_ander_gas_kWh/1000)*0.902</f>
        <v>89.543341059968526</v>
      </c>
      <c r="E10" s="33">
        <f>$C$30*'E Balans VL '!I14/100/3.6*1000000</f>
        <v>0.42108916085637477</v>
      </c>
      <c r="F10" s="33">
        <f>$C$30*('E Balans VL '!L14+'E Balans VL '!N14)/100/3.6*1000000</f>
        <v>125.35830445083556</v>
      </c>
      <c r="G10" s="34"/>
      <c r="H10" s="33"/>
      <c r="I10" s="33"/>
      <c r="J10" s="33">
        <f>$C$30*('E Balans VL '!D14+'E Balans VL '!E14)/100/3.6*1000000</f>
        <v>0</v>
      </c>
      <c r="K10" s="33"/>
      <c r="L10" s="33"/>
      <c r="M10" s="33"/>
      <c r="N10" s="33">
        <f>$C$30*'E Balans VL '!Y14/100/3.6*1000000</f>
        <v>420.40196560228514</v>
      </c>
      <c r="O10" s="33"/>
      <c r="P10" s="33"/>
      <c r="R10" s="32"/>
    </row>
    <row r="11" spans="1:18">
      <c r="A11" s="32" t="s">
        <v>54</v>
      </c>
      <c r="B11" s="37">
        <f t="shared" si="0"/>
        <v>119.35969353652899</v>
      </c>
      <c r="C11" s="33"/>
      <c r="D11" s="37">
        <f>IF(ISERROR(TER_onderwijs_gas_kWh/1000),0,TER_onderwijs_gas_kWh/1000)*0.902</f>
        <v>0</v>
      </c>
      <c r="E11" s="33">
        <f>$C$31*'E Balans VL '!I11/100/3.6*1000000</f>
        <v>7.939222227490686E-2</v>
      </c>
      <c r="F11" s="33">
        <f>$C$31*('E Balans VL '!L11+'E Balans VL '!N11)/100/3.6*1000000</f>
        <v>38.240520107755415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4193.2975979256898</v>
      </c>
      <c r="C12" s="33"/>
      <c r="D12" s="37">
        <f>IF(ISERROR(TER_rest_gas_kWh/1000),0,TER_rest_gas_kWh/1000)*0.902</f>
        <v>6068.010216141698</v>
      </c>
      <c r="E12" s="33">
        <f>$C$32*'E Balans VL '!I8/100/3.6*1000000</f>
        <v>25.40418355927287</v>
      </c>
      <c r="F12" s="33">
        <f>$C$32*('E Balans VL '!L8+'E Balans VL '!N8)/100/3.6*1000000</f>
        <v>562.38601477220527</v>
      </c>
      <c r="G12" s="34"/>
      <c r="H12" s="33"/>
      <c r="I12" s="33"/>
      <c r="J12" s="33">
        <f>$C$32*('E Balans VL '!D8+'E Balans VL '!E8)/100/3.6*1000000</f>
        <v>12.769624861562146</v>
      </c>
      <c r="K12" s="33"/>
      <c r="L12" s="33"/>
      <c r="M12" s="33"/>
      <c r="N12" s="33">
        <f>$C$32*'E Balans VL '!Y8/100/3.6*1000000</f>
        <v>302.55701255643743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18248.16879549349</v>
      </c>
      <c r="C16" s="21">
        <f t="shared" ca="1" si="1"/>
        <v>0</v>
      </c>
      <c r="D16" s="21">
        <f t="shared" ca="1" si="1"/>
        <v>17753.059221602271</v>
      </c>
      <c r="E16" s="21">
        <f t="shared" si="1"/>
        <v>126.15741643861057</v>
      </c>
      <c r="F16" s="21">
        <f t="shared" ca="1" si="1"/>
        <v>2460.0983512353641</v>
      </c>
      <c r="G16" s="21">
        <f t="shared" si="1"/>
        <v>0</v>
      </c>
      <c r="H16" s="21">
        <f t="shared" si="1"/>
        <v>0</v>
      </c>
      <c r="I16" s="21">
        <f t="shared" si="1"/>
        <v>0</v>
      </c>
      <c r="J16" s="21">
        <f t="shared" si="1"/>
        <v>44.171938774398512</v>
      </c>
      <c r="K16" s="21">
        <f t="shared" si="1"/>
        <v>0</v>
      </c>
      <c r="L16" s="21">
        <f t="shared" ca="1" si="1"/>
        <v>0</v>
      </c>
      <c r="M16" s="21">
        <f t="shared" si="1"/>
        <v>0</v>
      </c>
      <c r="N16" s="21">
        <f t="shared" ca="1" si="1"/>
        <v>801.06978030949131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0.21647970327202853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3950.3581661063208</v>
      </c>
      <c r="C20" s="23">
        <f t="shared" ref="C20:P20" ca="1" si="2">C16*C18</f>
        <v>0</v>
      </c>
      <c r="D20" s="23">
        <f t="shared" ca="1" si="2"/>
        <v>3586.1179627636589</v>
      </c>
      <c r="E20" s="23">
        <f t="shared" si="2"/>
        <v>28.637733531564599</v>
      </c>
      <c r="F20" s="23">
        <f t="shared" ca="1" si="2"/>
        <v>656.84625977984228</v>
      </c>
      <c r="G20" s="23">
        <f t="shared" si="2"/>
        <v>0</v>
      </c>
      <c r="H20" s="23">
        <f t="shared" si="2"/>
        <v>0</v>
      </c>
      <c r="I20" s="23">
        <f t="shared" si="2"/>
        <v>0</v>
      </c>
      <c r="J20" s="23">
        <f t="shared" si="2"/>
        <v>15.636866326137072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6665.9203099483993</v>
      </c>
      <c r="C26" s="39">
        <f>IF(ISERROR(B26*3.6/1000000/'E Balans VL '!Z12*100),0,B26*3.6/1000000/'E Balans VL '!Z12*100)</f>
        <v>0.13970941423077929</v>
      </c>
      <c r="D26" s="235" t="s">
        <v>647</v>
      </c>
      <c r="F26" s="6"/>
    </row>
    <row r="27" spans="1:18">
      <c r="A27" s="230" t="s">
        <v>52</v>
      </c>
      <c r="B27" s="33">
        <f>IF(ISERROR(TER_horeca_ele_kWh/1000),0,TER_horeca_ele_kWh/1000)</f>
        <v>2087.6722069798998</v>
      </c>
      <c r="C27" s="39">
        <f>IF(ISERROR(B27*3.6/1000000/'E Balans VL '!Z9*100),0,B27*3.6/1000000/'E Balans VL '!Z9*100)</f>
        <v>0.16006146888221789</v>
      </c>
      <c r="D27" s="235" t="s">
        <v>647</v>
      </c>
      <c r="F27" s="6"/>
    </row>
    <row r="28" spans="1:18">
      <c r="A28" s="170" t="s">
        <v>51</v>
      </c>
      <c r="B28" s="33">
        <f>IF(ISERROR(TER_handel_ele_kWh/1000),0,TER_handel_ele_kWh/1000)</f>
        <v>3716.8610891739499</v>
      </c>
      <c r="C28" s="39">
        <f>IF(ISERROR(B28*3.6/1000000/'E Balans VL '!Z13*100),0,B28*3.6/1000000/'E Balans VL '!Z13*100)</f>
        <v>0.10485813451219173</v>
      </c>
      <c r="D28" s="235" t="s">
        <v>647</v>
      </c>
      <c r="F28" s="6"/>
    </row>
    <row r="29" spans="1:18">
      <c r="A29" s="230" t="s">
        <v>50</v>
      </c>
      <c r="B29" s="33">
        <f>IF(ISERROR(TER_gezond_ele_kWh/1000),0,TER_gezond_ele_kWh/1000)</f>
        <v>757.03145353856803</v>
      </c>
      <c r="C29" s="39">
        <f>IF(ISERROR(B29*3.6/1000000/'E Balans VL '!Z10*100),0,B29*3.6/1000000/'E Balans VL '!Z10*100)</f>
        <v>8.405892769279627E-2</v>
      </c>
      <c r="D29" s="235" t="s">
        <v>647</v>
      </c>
      <c r="F29" s="6"/>
    </row>
    <row r="30" spans="1:18">
      <c r="A30" s="230" t="s">
        <v>49</v>
      </c>
      <c r="B30" s="33">
        <f>IF(ISERROR(TER_ander_ele_kWh/1000),0,TER_ander_ele_kWh/1000)</f>
        <v>708.02644439045002</v>
      </c>
      <c r="C30" s="39">
        <f>IF(ISERROR(B30*3.6/1000000/'E Balans VL '!Z14*100),0,B30*3.6/1000000/'E Balans VL '!Z14*100)</f>
        <v>5.1087952289366426E-2</v>
      </c>
      <c r="D30" s="235" t="s">
        <v>647</v>
      </c>
      <c r="F30" s="6"/>
    </row>
    <row r="31" spans="1:18">
      <c r="A31" s="230" t="s">
        <v>54</v>
      </c>
      <c r="B31" s="33">
        <f>IF(ISERROR(TER_onderwijs_ele_kWh/1000),0,TER_onderwijs_ele_kWh/1000)</f>
        <v>119.35969353652899</v>
      </c>
      <c r="C31" s="39">
        <f>IF(ISERROR(B31*3.6/1000000/'E Balans VL '!Z11*100),0,B31*3.6/1000000/'E Balans VL '!Z11*100)</f>
        <v>3.3085561587767112E-2</v>
      </c>
      <c r="D31" s="235" t="s">
        <v>647</v>
      </c>
    </row>
    <row r="32" spans="1:18">
      <c r="A32" s="230" t="s">
        <v>249</v>
      </c>
      <c r="B32" s="33">
        <f>IF(ISERROR(TER_rest_ele_kWh/1000),0,TER_rest_ele_kWh/1000)</f>
        <v>4193.2975979256898</v>
      </c>
      <c r="C32" s="39">
        <f>IF(ISERROR(B32*3.6/1000000/'E Balans VL '!Z8*100),0,B32*3.6/1000000/'E Balans VL '!Z8*100)</f>
        <v>3.4182225420764635E-2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1868.8606454131125</v>
      </c>
      <c r="C5" s="17">
        <f>IF(ISERROR('Eigen informatie GS &amp; warmtenet'!B59),0,'Eigen informatie GS &amp; warmtenet'!B59)</f>
        <v>0</v>
      </c>
      <c r="D5" s="30">
        <f>SUM(D6:D15)</f>
        <v>1556.3083497943774</v>
      </c>
      <c r="E5" s="17">
        <f>SUM(E6:E15)</f>
        <v>274.00704658433347</v>
      </c>
      <c r="F5" s="17">
        <f>SUM(F6:F15)</f>
        <v>1220.7181362806843</v>
      </c>
      <c r="G5" s="18"/>
      <c r="H5" s="17"/>
      <c r="I5" s="17"/>
      <c r="J5" s="17">
        <f>SUM(J6:J15)</f>
        <v>1.5290305945317904</v>
      </c>
      <c r="K5" s="17"/>
      <c r="L5" s="17"/>
      <c r="M5" s="17"/>
      <c r="N5" s="17">
        <f>SUM(N6:N15)</f>
        <v>210.82603510501161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775.31430566280301</v>
      </c>
      <c r="C9" s="33"/>
      <c r="D9" s="37">
        <f>IF( ISERROR(IND_andere_gas_kWh/1000),0,IND_andere_gas_kWh/1000)*0.902</f>
        <v>467.81259482860861</v>
      </c>
      <c r="E9" s="33">
        <f>C31*'E Balans VL '!I19/100/3.6*1000000</f>
        <v>209.85851985872924</v>
      </c>
      <c r="F9" s="33">
        <f>C31*'E Balans VL '!L19/100/3.6*1000000+C31*'E Balans VL '!N19/100/3.6*1000000</f>
        <v>516.44137296344832</v>
      </c>
      <c r="G9" s="34"/>
      <c r="H9" s="33"/>
      <c r="I9" s="33"/>
      <c r="J9" s="40">
        <f>C31*'E Balans VL '!D19/100/3.6*1000000+C31*'E Balans VL '!E19/100/3.6*1000000</f>
        <v>0</v>
      </c>
      <c r="K9" s="33"/>
      <c r="L9" s="33"/>
      <c r="M9" s="33"/>
      <c r="N9" s="33">
        <f>C31*'E Balans VL '!Y19/100/3.6*1000000</f>
        <v>65.547688672999442</v>
      </c>
      <c r="O9" s="33"/>
      <c r="P9" s="33"/>
      <c r="R9" s="32"/>
    </row>
    <row r="10" spans="1:18">
      <c r="A10" s="6" t="s">
        <v>40</v>
      </c>
      <c r="B10" s="37">
        <f t="shared" si="0"/>
        <v>374.50415584957096</v>
      </c>
      <c r="C10" s="33"/>
      <c r="D10" s="37">
        <f>IF( ISERROR(IND_voed_gas_kWh/1000),0,IND_voed_gas_kWh/1000)*0.902</f>
        <v>0</v>
      </c>
      <c r="E10" s="33">
        <f>C32*'E Balans VL '!I20/100/3.6*1000000</f>
        <v>30.545419352000273</v>
      </c>
      <c r="F10" s="33">
        <f>C32*'E Balans VL '!L20/100/3.6*1000000+C32*'E Balans VL '!N20/100/3.6*1000000</f>
        <v>558.41967436592461</v>
      </c>
      <c r="G10" s="34"/>
      <c r="H10" s="33"/>
      <c r="I10" s="33"/>
      <c r="J10" s="40">
        <f>C32*'E Balans VL '!D20/100/3.6*1000000+C32*'E Balans VL '!E20/100/3.6*1000000</f>
        <v>4.9542353948277542E-3</v>
      </c>
      <c r="K10" s="33"/>
      <c r="L10" s="33"/>
      <c r="M10" s="33"/>
      <c r="N10" s="33">
        <f>C32*'E Balans VL '!Y20/100/3.6*1000000</f>
        <v>110.01610616187048</v>
      </c>
      <c r="O10" s="33"/>
      <c r="P10" s="33"/>
      <c r="R10" s="32"/>
    </row>
    <row r="11" spans="1:18">
      <c r="A11" s="6" t="s">
        <v>39</v>
      </c>
      <c r="B11" s="37">
        <f t="shared" si="0"/>
        <v>85.001228049134099</v>
      </c>
      <c r="C11" s="33"/>
      <c r="D11" s="37">
        <f>IF( ISERROR(IND_textiel_gas_kWh/1000),0,IND_textiel_gas_kWh/1000)*0.902</f>
        <v>0</v>
      </c>
      <c r="E11" s="33">
        <f>C33*'E Balans VL '!I21/100/3.6*1000000</f>
        <v>1.6848982499792383E-2</v>
      </c>
      <c r="F11" s="33">
        <f>C33*'E Balans VL '!L21/100/3.6*1000000+C33*'E Balans VL '!N21/100/3.6*1000000</f>
        <v>3.1306977833586362</v>
      </c>
      <c r="G11" s="34"/>
      <c r="H11" s="33"/>
      <c r="I11" s="33"/>
      <c r="J11" s="40">
        <f>C33*'E Balans VL '!D21/100/3.6*1000000+C33*'E Balans VL '!E21/100/3.6*1000000</f>
        <v>0</v>
      </c>
      <c r="K11" s="33"/>
      <c r="L11" s="33"/>
      <c r="M11" s="33"/>
      <c r="N11" s="33">
        <f>C33*'E Balans VL '!Y21/100/3.6*1000000</f>
        <v>0.39523425256149625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39.4100682030965</v>
      </c>
      <c r="C13" s="33"/>
      <c r="D13" s="37">
        <f>IF( ISERROR(IND_papier_gas_kWh/1000),0,IND_papier_gas_kWh/1000)*0.902</f>
        <v>0</v>
      </c>
      <c r="E13" s="33">
        <f>C35*'E Balans VL '!I23/100/3.6*1000000</f>
        <v>0.41289226080965324</v>
      </c>
      <c r="F13" s="33">
        <f>C35*'E Balans VL '!L23/100/3.6*1000000+C35*'E Balans VL '!N23/100/3.6*1000000</f>
        <v>2.9407862745933109</v>
      </c>
      <c r="G13" s="34"/>
      <c r="H13" s="33"/>
      <c r="I13" s="33"/>
      <c r="J13" s="40">
        <f>C35*'E Balans VL '!D23/100/3.6*1000000+C35*'E Balans VL '!E23/100/3.6*1000000</f>
        <v>0</v>
      </c>
      <c r="K13" s="33"/>
      <c r="L13" s="33"/>
      <c r="M13" s="33"/>
      <c r="N13" s="33">
        <f>C35*'E Balans VL '!Y23/100/3.6*1000000</f>
        <v>7.2703054400023532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594.63088764850795</v>
      </c>
      <c r="C15" s="33"/>
      <c r="D15" s="37">
        <f>IF( ISERROR(IND_rest_gas_kWh/1000),0,IND_rest_gas_kWh/1000)*0.902</f>
        <v>1088.4957549657688</v>
      </c>
      <c r="E15" s="33">
        <f>C37*'E Balans VL '!I15/100/3.6*1000000</f>
        <v>33.173366130294525</v>
      </c>
      <c r="F15" s="33">
        <f>C37*'E Balans VL '!L15/100/3.6*1000000+C37*'E Balans VL '!N15/100/3.6*1000000</f>
        <v>139.7856048933595</v>
      </c>
      <c r="G15" s="34"/>
      <c r="H15" s="33"/>
      <c r="I15" s="33"/>
      <c r="J15" s="40">
        <f>C37*'E Balans VL '!D15/100/3.6*1000000+C37*'E Balans VL '!E15/100/3.6*1000000</f>
        <v>1.5240763591369626</v>
      </c>
      <c r="K15" s="33"/>
      <c r="L15" s="33"/>
      <c r="M15" s="33"/>
      <c r="N15" s="33">
        <f>C37*'E Balans VL '!Y15/100/3.6*1000000</f>
        <v>27.596700577577863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1868.8606454131125</v>
      </c>
      <c r="C18" s="21">
        <f>C5+C16</f>
        <v>0</v>
      </c>
      <c r="D18" s="21">
        <f>MAX((D5+D16),0)</f>
        <v>1556.3083497943774</v>
      </c>
      <c r="E18" s="21">
        <f>MAX((E5+E16),0)</f>
        <v>274.00704658433347</v>
      </c>
      <c r="F18" s="21">
        <f>MAX((F5+F16),0)</f>
        <v>1220.7181362806843</v>
      </c>
      <c r="G18" s="21"/>
      <c r="H18" s="21"/>
      <c r="I18" s="21"/>
      <c r="J18" s="21">
        <f>MAX((J5+J16),0)</f>
        <v>1.5290305945317904</v>
      </c>
      <c r="K18" s="21"/>
      <c r="L18" s="21">
        <f>MAX((L5+L16),0)</f>
        <v>0</v>
      </c>
      <c r="M18" s="21"/>
      <c r="N18" s="21">
        <f>MAX((N5+N16),0)</f>
        <v>210.82603510501161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0.21647970327202853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404.57039797580234</v>
      </c>
      <c r="C22" s="23">
        <f ca="1">C18*C20</f>
        <v>0</v>
      </c>
      <c r="D22" s="23">
        <f>D18*D20</f>
        <v>314.37428665846426</v>
      </c>
      <c r="E22" s="23">
        <f>E18*E20</f>
        <v>62.199599574643699</v>
      </c>
      <c r="F22" s="23">
        <f>F18*F20</f>
        <v>325.93174238694274</v>
      </c>
      <c r="G22" s="23"/>
      <c r="H22" s="23"/>
      <c r="I22" s="23"/>
      <c r="J22" s="23">
        <f>J18*J20</f>
        <v>0.54127683046425379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775.31430566280301</v>
      </c>
      <c r="C31" s="39">
        <f>IF(ISERROR(B31*3.6/1000000/'E Balans VL '!Z19*100),0,B31*3.6/1000000/'E Balans VL '!Z19*100)</f>
        <v>3.3764319549485694E-2</v>
      </c>
      <c r="D31" s="235" t="s">
        <v>647</v>
      </c>
    </row>
    <row r="32" spans="1:18">
      <c r="A32" s="170" t="s">
        <v>40</v>
      </c>
      <c r="B32" s="37">
        <f>IF( ISERROR(IND_voed_ele_kWh/1000),0,IND_voed_ele_kWh/1000)</f>
        <v>374.50415584957096</v>
      </c>
      <c r="C32" s="39">
        <f>IF(ISERROR(B32*3.6/1000000/'E Balans VL '!Z20*100),0,B32*3.6/1000000/'E Balans VL '!Z20*100)</f>
        <v>7.1056762634976942E-2</v>
      </c>
      <c r="D32" s="235" t="s">
        <v>647</v>
      </c>
    </row>
    <row r="33" spans="1:5">
      <c r="A33" s="170" t="s">
        <v>39</v>
      </c>
      <c r="B33" s="37">
        <f>IF( ISERROR(IND_textiel_ele_kWh/1000),0,IND_textiel_ele_kWh/1000)</f>
        <v>85.001228049134099</v>
      </c>
      <c r="C33" s="39">
        <f>IF(ISERROR(B33*3.6/1000000/'E Balans VL '!Z21*100),0,B33*3.6/1000000/'E Balans VL '!Z21*100)</f>
        <v>4.8531390586717595E-3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39.4100682030965</v>
      </c>
      <c r="C35" s="39">
        <f>IF(ISERROR(B35*3.6/1000000/'E Balans VL '!Z22*100),0,B35*3.6/1000000/'E Balans VL '!Z22*100)</f>
        <v>5.5414513329250835E-3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594.63088764850795</v>
      </c>
      <c r="C37" s="39">
        <f>IF(ISERROR(B37*3.6/1000000/'E Balans VL '!Z15*100),0,B37*3.6/1000000/'E Balans VL '!Z15*100)</f>
        <v>4.58236134660927E-3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295.59719182966501</v>
      </c>
      <c r="C5" s="17">
        <f>'Eigen informatie GS &amp; warmtenet'!B60</f>
        <v>0</v>
      </c>
      <c r="D5" s="30">
        <f>IF(ISERROR(SUM(LB_lb_gas_kWh,LB_rest_gas_kWh)/1000),0,SUM(LB_lb_gas_kWh,LB_rest_gas_kWh)/1000)*0.902</f>
        <v>69.205031216673618</v>
      </c>
      <c r="E5" s="17">
        <f>B17*'E Balans VL '!I25/3.6*1000000/100</f>
        <v>6.1379900114061252</v>
      </c>
      <c r="F5" s="17">
        <f>B17*('E Balans VL '!L25/3.6*1000000+'E Balans VL '!N25/3.6*1000000)/100</f>
        <v>1044.6480187029815</v>
      </c>
      <c r="G5" s="18"/>
      <c r="H5" s="17"/>
      <c r="I5" s="17"/>
      <c r="J5" s="17">
        <f>('E Balans VL '!D25+'E Balans VL '!E25)/3.6*1000000*landbouw!B17/100</f>
        <v>33.903128300779322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295.59719182966501</v>
      </c>
      <c r="C8" s="21">
        <f>C5+C6</f>
        <v>0</v>
      </c>
      <c r="D8" s="21">
        <f>MAX((D5+D6),0)</f>
        <v>69.205031216673618</v>
      </c>
      <c r="E8" s="21">
        <f>MAX((E5+E6),0)</f>
        <v>6.1379900114061252</v>
      </c>
      <c r="F8" s="21">
        <f>MAX((F5+F6),0)</f>
        <v>1044.6480187029815</v>
      </c>
      <c r="G8" s="21"/>
      <c r="H8" s="21"/>
      <c r="I8" s="21"/>
      <c r="J8" s="21">
        <f>MAX((J5+J6),0)</f>
        <v>33.903128300779322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0.21647970327202853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63.990792375330777</v>
      </c>
      <c r="C12" s="23">
        <f ca="1">C8*C10</f>
        <v>0</v>
      </c>
      <c r="D12" s="23">
        <f>D8*D10</f>
        <v>13.979416305768071</v>
      </c>
      <c r="E12" s="23">
        <f>E8*E10</f>
        <v>1.3933237325891905</v>
      </c>
      <c r="F12" s="23">
        <f>F8*F10</f>
        <v>278.92102099369606</v>
      </c>
      <c r="G12" s="23"/>
      <c r="H12" s="23"/>
      <c r="I12" s="23"/>
      <c r="J12" s="23">
        <f>J8*J10</f>
        <v>12.001707418475879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4.1226491577550747E-2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5.6104700285475122</v>
      </c>
      <c r="C26" s="245">
        <f>B26*'GWP N2O_CH4'!B5</f>
        <v>117.81987059949776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0.4203246535698647</v>
      </c>
      <c r="C27" s="245">
        <f>B27*'GWP N2O_CH4'!B5</f>
        <v>8.8268177249671584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8.9822885034479175E-2</v>
      </c>
      <c r="C28" s="245">
        <f>B28*'GWP N2O_CH4'!B4</f>
        <v>27.845094360688545</v>
      </c>
      <c r="D28" s="50"/>
    </row>
    <row r="29" spans="1:4">
      <c r="A29" s="41" t="s">
        <v>266</v>
      </c>
      <c r="B29" s="245">
        <f>B34*'ha_N2O bodem landbouw'!B4</f>
        <v>2.293300299936218</v>
      </c>
      <c r="C29" s="245">
        <f>B29*'GWP N2O_CH4'!B4</f>
        <v>710.92309298022758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5.7261416959790586E-4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1.2752332287368627E-5</v>
      </c>
      <c r="C5" s="434" t="s">
        <v>204</v>
      </c>
      <c r="D5" s="419">
        <f>SUM(D6:D11)</f>
        <v>1.2279980839868041E-5</v>
      </c>
      <c r="E5" s="419">
        <f>SUM(E6:E11)</f>
        <v>4.348711323367154E-4</v>
      </c>
      <c r="F5" s="432" t="s">
        <v>204</v>
      </c>
      <c r="G5" s="419">
        <f>SUM(G6:G11)</f>
        <v>0.13114442154228778</v>
      </c>
      <c r="H5" s="419">
        <f>SUM(H6:H11)</f>
        <v>2.2374150676204442E-2</v>
      </c>
      <c r="I5" s="434" t="s">
        <v>204</v>
      </c>
      <c r="J5" s="434" t="s">
        <v>204</v>
      </c>
      <c r="K5" s="434" t="s">
        <v>204</v>
      </c>
      <c r="L5" s="434" t="s">
        <v>204</v>
      </c>
      <c r="M5" s="419">
        <f>SUM(M6:M11)</f>
        <v>6.9412207084271092E-3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1.006527705980186E-5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8.9279807073413529E-6</v>
      </c>
      <c r="E6" s="836">
        <f>vkm_GW_PW*SUMIFS(TableVerdeelsleutelVkm[LPG],TableVerdeelsleutelVkm[Voertuigtype],"Lichte voertuigen")*SUMIFS(TableECFTransport[EnergieConsumptieFactor (PJ per km)],TableECFTransport[Index],CONCATENATE($A6,"_LPG_LPG"))</f>
        <v>3.2059641868791624E-4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6.3732782675890026E-2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1.6452230009191233E-2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3.6275851245868608E-3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2.5438753977005E-7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3.980786758679853E-2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1.0471694165089602E-6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1.7973929300077768E-3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2.4019638139190002E-6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3.3520001325266879E-6</v>
      </c>
      <c r="E8" s="422">
        <f>vkm_NGW_PW*SUMIFS(TableVerdeelsleutelVkm[LPG],TableVerdeelsleutelVkm[Voertuigtype],"Lichte voertuigen")*SUMIFS(TableECFTransport[EnergieConsumptieFactor (PJ per km)],TableECFTransport[Index],CONCATENATE($A8,"_LPG_LPG"))</f>
        <v>1.1427471364879915E-4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2.1432050025257502E-2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5.9207209410904365E-3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1.2375793883296375E-3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3.0703873877715873E-8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6.1717212543417393E-3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1.5255650626588808E-7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2.7866326550283398E-4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3.542314524269063</v>
      </c>
      <c r="C14" s="21"/>
      <c r="D14" s="21">
        <f t="shared" ref="D14:M14" si="0">((D5)*10^9/3600)+D12</f>
        <v>3.4111057888522338</v>
      </c>
      <c r="E14" s="21">
        <f t="shared" si="0"/>
        <v>120.79753676019872</v>
      </c>
      <c r="F14" s="21"/>
      <c r="G14" s="21">
        <f t="shared" si="0"/>
        <v>36429.005983968826</v>
      </c>
      <c r="H14" s="21">
        <f t="shared" si="0"/>
        <v>6215.0418545012344</v>
      </c>
      <c r="I14" s="21"/>
      <c r="J14" s="21"/>
      <c r="K14" s="21"/>
      <c r="L14" s="21"/>
      <c r="M14" s="21">
        <f t="shared" si="0"/>
        <v>1928.1168634519747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0.21647970327202853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0.76683919710996373</v>
      </c>
      <c r="C18" s="23"/>
      <c r="D18" s="23">
        <f t="shared" ref="D18:M18" si="1">D14*D16</f>
        <v>0.68904336934815125</v>
      </c>
      <c r="E18" s="23">
        <f t="shared" si="1"/>
        <v>27.421040844565113</v>
      </c>
      <c r="F18" s="23"/>
      <c r="G18" s="23">
        <f t="shared" si="1"/>
        <v>9726.5445977196778</v>
      </c>
      <c r="H18" s="23">
        <f t="shared" si="1"/>
        <v>1547.5454217708073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1.1920823783253249E-5</v>
      </c>
      <c r="C50" s="316">
        <f t="shared" ref="C50:P50" si="2">SUM(C51:C52)</f>
        <v>0</v>
      </c>
      <c r="D50" s="316">
        <f t="shared" si="2"/>
        <v>0</v>
      </c>
      <c r="E50" s="316">
        <f t="shared" si="2"/>
        <v>0</v>
      </c>
      <c r="F50" s="316">
        <f t="shared" si="2"/>
        <v>0</v>
      </c>
      <c r="G50" s="316">
        <f t="shared" si="2"/>
        <v>2.3203208967039852E-3</v>
      </c>
      <c r="H50" s="316">
        <f t="shared" si="2"/>
        <v>0</v>
      </c>
      <c r="I50" s="316">
        <f t="shared" si="2"/>
        <v>0</v>
      </c>
      <c r="J50" s="316">
        <f t="shared" si="2"/>
        <v>0</v>
      </c>
      <c r="K50" s="316">
        <f t="shared" si="2"/>
        <v>0</v>
      </c>
      <c r="L50" s="316">
        <f t="shared" si="2"/>
        <v>0</v>
      </c>
      <c r="M50" s="316">
        <f t="shared" si="2"/>
        <v>1.0404513869339226E-4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1.1920823783253249E-5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2.3203208967039852E-3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1.0404513869339226E-4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3.3113399397925689</v>
      </c>
      <c r="C54" s="21">
        <f t="shared" ref="C54:P54" si="3">(C50)*10^9/3600</f>
        <v>0</v>
      </c>
      <c r="D54" s="21">
        <f t="shared" si="3"/>
        <v>0</v>
      </c>
      <c r="E54" s="21">
        <f t="shared" si="3"/>
        <v>0</v>
      </c>
      <c r="F54" s="21">
        <f t="shared" si="3"/>
        <v>0</v>
      </c>
      <c r="G54" s="21">
        <f t="shared" si="3"/>
        <v>644.53358241777357</v>
      </c>
      <c r="H54" s="21">
        <f t="shared" si="3"/>
        <v>0</v>
      </c>
      <c r="I54" s="21">
        <f t="shared" si="3"/>
        <v>0</v>
      </c>
      <c r="J54" s="21">
        <f t="shared" si="3"/>
        <v>0</v>
      </c>
      <c r="K54" s="21">
        <f t="shared" si="3"/>
        <v>0</v>
      </c>
      <c r="L54" s="21">
        <f t="shared" si="3"/>
        <v>0</v>
      </c>
      <c r="M54" s="21">
        <f t="shared" si="3"/>
        <v>28.901427414831183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0.21647970327202853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0.71683788759911216</v>
      </c>
      <c r="C58" s="23">
        <f t="shared" ref="C58:P58" ca="1" si="4">C54*C56</f>
        <v>0</v>
      </c>
      <c r="D58" s="23">
        <f t="shared" si="4"/>
        <v>0</v>
      </c>
      <c r="E58" s="23">
        <f t="shared" si="4"/>
        <v>0</v>
      </c>
      <c r="F58" s="23">
        <f t="shared" si="4"/>
        <v>0</v>
      </c>
      <c r="G58" s="23">
        <f t="shared" si="4"/>
        <v>172.09046650554555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877.09562080467572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877.09562080467572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18834.15479549349</v>
      </c>
      <c r="D10" s="640">
        <f ca="1">tertiair!C16</f>
        <v>0</v>
      </c>
      <c r="E10" s="640">
        <f ca="1">tertiair!D16</f>
        <v>17753.059221602271</v>
      </c>
      <c r="F10" s="640">
        <f>tertiair!E16</f>
        <v>126.15741643861057</v>
      </c>
      <c r="G10" s="640">
        <f ca="1">tertiair!F16</f>
        <v>2460.0983512353641</v>
      </c>
      <c r="H10" s="640">
        <f>tertiair!G16</f>
        <v>0</v>
      </c>
      <c r="I10" s="640">
        <f>tertiair!H16</f>
        <v>0</v>
      </c>
      <c r="J10" s="640">
        <f>tertiair!I16</f>
        <v>0</v>
      </c>
      <c r="K10" s="640">
        <f>tertiair!J16</f>
        <v>44.171938774398512</v>
      </c>
      <c r="L10" s="640">
        <f>tertiair!K16</f>
        <v>0</v>
      </c>
      <c r="M10" s="640">
        <f ca="1">tertiair!L16</f>
        <v>0</v>
      </c>
      <c r="N10" s="640">
        <f>tertiair!M16</f>
        <v>0</v>
      </c>
      <c r="O10" s="640">
        <f ca="1">tertiair!N16</f>
        <v>801.06978030949131</v>
      </c>
      <c r="P10" s="640">
        <f>tertiair!O16</f>
        <v>1.5633333333333335</v>
      </c>
      <c r="Q10" s="641">
        <f>tertiair!P16</f>
        <v>38.133333333333333</v>
      </c>
      <c r="R10" s="643">
        <f ca="1">SUM(C10:Q10)</f>
        <v>40058.408170520284</v>
      </c>
      <c r="S10" s="67"/>
    </row>
    <row r="11" spans="1:19" s="444" customFormat="1">
      <c r="A11" s="754" t="s">
        <v>214</v>
      </c>
      <c r="B11" s="759"/>
      <c r="C11" s="640">
        <f>huishoudens!B8</f>
        <v>20943.943799387322</v>
      </c>
      <c r="D11" s="640">
        <f>huishoudens!C8</f>
        <v>0</v>
      </c>
      <c r="E11" s="640">
        <f>huishoudens!D8</f>
        <v>26261.299911556962</v>
      </c>
      <c r="F11" s="640">
        <f>huishoudens!E8</f>
        <v>1322.8949844309736</v>
      </c>
      <c r="G11" s="640">
        <f>huishoudens!F8</f>
        <v>40540.742205212206</v>
      </c>
      <c r="H11" s="640">
        <f>huishoudens!G8</f>
        <v>0</v>
      </c>
      <c r="I11" s="640">
        <f>huishoudens!H8</f>
        <v>0</v>
      </c>
      <c r="J11" s="640">
        <f>huishoudens!I8</f>
        <v>0</v>
      </c>
      <c r="K11" s="640">
        <f>huishoudens!J8</f>
        <v>767.76093367920635</v>
      </c>
      <c r="L11" s="640">
        <f>huishoudens!K8</f>
        <v>0</v>
      </c>
      <c r="M11" s="640">
        <f>huishoudens!L8</f>
        <v>0</v>
      </c>
      <c r="N11" s="640">
        <f>huishoudens!M8</f>
        <v>0</v>
      </c>
      <c r="O11" s="640">
        <f>huishoudens!N8</f>
        <v>5836.4851585112865</v>
      </c>
      <c r="P11" s="640">
        <f>huishoudens!O8</f>
        <v>62.533333333333331</v>
      </c>
      <c r="Q11" s="641">
        <f>huishoudens!P8</f>
        <v>1029.5999999999999</v>
      </c>
      <c r="R11" s="643">
        <f>SUM(C11:Q11)</f>
        <v>96765.260326111311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1868.8606454131125</v>
      </c>
      <c r="D13" s="640">
        <f>industrie!C18</f>
        <v>0</v>
      </c>
      <c r="E13" s="640">
        <f>industrie!D18</f>
        <v>1556.3083497943774</v>
      </c>
      <c r="F13" s="640">
        <f>industrie!E18</f>
        <v>274.00704658433347</v>
      </c>
      <c r="G13" s="640">
        <f>industrie!F18</f>
        <v>1220.7181362806843</v>
      </c>
      <c r="H13" s="640">
        <f>industrie!G18</f>
        <v>0</v>
      </c>
      <c r="I13" s="640">
        <f>industrie!H18</f>
        <v>0</v>
      </c>
      <c r="J13" s="640">
        <f>industrie!I18</f>
        <v>0</v>
      </c>
      <c r="K13" s="640">
        <f>industrie!J18</f>
        <v>1.5290305945317904</v>
      </c>
      <c r="L13" s="640">
        <f>industrie!K18</f>
        <v>0</v>
      </c>
      <c r="M13" s="640">
        <f>industrie!L18</f>
        <v>0</v>
      </c>
      <c r="N13" s="640">
        <f>industrie!M18</f>
        <v>0</v>
      </c>
      <c r="O13" s="640">
        <f>industrie!N18</f>
        <v>210.82603510501161</v>
      </c>
      <c r="P13" s="640">
        <f>industrie!O18</f>
        <v>0</v>
      </c>
      <c r="Q13" s="641">
        <f>industrie!P18</f>
        <v>0</v>
      </c>
      <c r="R13" s="643">
        <f>SUM(C13:Q13)</f>
        <v>5132.2492437720502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41646.959240293923</v>
      </c>
      <c r="D16" s="675">
        <f t="shared" ref="D16:R16" ca="1" si="0">SUM(D9:D15)</f>
        <v>0</v>
      </c>
      <c r="E16" s="675">
        <f t="shared" ca="1" si="0"/>
        <v>45570.667482953613</v>
      </c>
      <c r="F16" s="675">
        <f t="shared" si="0"/>
        <v>1723.0594474539178</v>
      </c>
      <c r="G16" s="675">
        <f t="shared" ca="1" si="0"/>
        <v>44221.558692728257</v>
      </c>
      <c r="H16" s="675">
        <f t="shared" si="0"/>
        <v>0</v>
      </c>
      <c r="I16" s="675">
        <f t="shared" si="0"/>
        <v>0</v>
      </c>
      <c r="J16" s="675">
        <f t="shared" si="0"/>
        <v>0</v>
      </c>
      <c r="K16" s="675">
        <f t="shared" si="0"/>
        <v>813.46190304813672</v>
      </c>
      <c r="L16" s="675">
        <f t="shared" si="0"/>
        <v>0</v>
      </c>
      <c r="M16" s="675">
        <f t="shared" ca="1" si="0"/>
        <v>0</v>
      </c>
      <c r="N16" s="675">
        <f t="shared" si="0"/>
        <v>0</v>
      </c>
      <c r="O16" s="675">
        <f t="shared" ca="1" si="0"/>
        <v>6848.3809739257895</v>
      </c>
      <c r="P16" s="675">
        <f t="shared" si="0"/>
        <v>64.096666666666664</v>
      </c>
      <c r="Q16" s="675">
        <f t="shared" si="0"/>
        <v>1067.7333333333333</v>
      </c>
      <c r="R16" s="675">
        <f t="shared" ca="1" si="0"/>
        <v>141955.91774040367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3.3113399397925689</v>
      </c>
      <c r="D19" s="640">
        <f>transport!C54</f>
        <v>0</v>
      </c>
      <c r="E19" s="640">
        <f>transport!D54</f>
        <v>0</v>
      </c>
      <c r="F19" s="640">
        <f>transport!E54</f>
        <v>0</v>
      </c>
      <c r="G19" s="640">
        <f>transport!F54</f>
        <v>0</v>
      </c>
      <c r="H19" s="640">
        <f>transport!G54</f>
        <v>644.53358241777357</v>
      </c>
      <c r="I19" s="640">
        <f>transport!H54</f>
        <v>0</v>
      </c>
      <c r="J19" s="640">
        <f>transport!I54</f>
        <v>0</v>
      </c>
      <c r="K19" s="640">
        <f>transport!J54</f>
        <v>0</v>
      </c>
      <c r="L19" s="640">
        <f>transport!K54</f>
        <v>0</v>
      </c>
      <c r="M19" s="640">
        <f>transport!L54</f>
        <v>0</v>
      </c>
      <c r="N19" s="640">
        <f>transport!M54</f>
        <v>28.901427414831183</v>
      </c>
      <c r="O19" s="640">
        <f>transport!N54</f>
        <v>0</v>
      </c>
      <c r="P19" s="640">
        <f>transport!O54</f>
        <v>0</v>
      </c>
      <c r="Q19" s="641">
        <f>transport!P54</f>
        <v>0</v>
      </c>
      <c r="R19" s="643">
        <f>SUM(C19:Q19)</f>
        <v>676.74634977239737</v>
      </c>
      <c r="S19" s="67"/>
    </row>
    <row r="20" spans="1:19" s="444" customFormat="1">
      <c r="A20" s="754" t="s">
        <v>296</v>
      </c>
      <c r="B20" s="759"/>
      <c r="C20" s="640">
        <f>transport!B14</f>
        <v>3.542314524269063</v>
      </c>
      <c r="D20" s="640">
        <f>transport!C14</f>
        <v>0</v>
      </c>
      <c r="E20" s="640">
        <f>transport!D14</f>
        <v>3.4111057888522338</v>
      </c>
      <c r="F20" s="640">
        <f>transport!E14</f>
        <v>120.79753676019872</v>
      </c>
      <c r="G20" s="640">
        <f>transport!F14</f>
        <v>0</v>
      </c>
      <c r="H20" s="640">
        <f>transport!G14</f>
        <v>36429.005983968826</v>
      </c>
      <c r="I20" s="640">
        <f>transport!H14</f>
        <v>6215.0418545012344</v>
      </c>
      <c r="J20" s="640">
        <f>transport!I14</f>
        <v>0</v>
      </c>
      <c r="K20" s="640">
        <f>transport!J14</f>
        <v>0</v>
      </c>
      <c r="L20" s="640">
        <f>transport!K14</f>
        <v>0</v>
      </c>
      <c r="M20" s="640">
        <f>transport!L14</f>
        <v>0</v>
      </c>
      <c r="N20" s="640">
        <f>transport!M14</f>
        <v>1928.1168634519747</v>
      </c>
      <c r="O20" s="640">
        <f>transport!N14</f>
        <v>0</v>
      </c>
      <c r="P20" s="640">
        <f>transport!O14</f>
        <v>0</v>
      </c>
      <c r="Q20" s="641">
        <f>transport!P14</f>
        <v>0</v>
      </c>
      <c r="R20" s="643">
        <f>SUM(C20:Q20)</f>
        <v>44699.915658995356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6.8536544640616324</v>
      </c>
      <c r="D22" s="757">
        <f t="shared" ref="D22:R22" si="1">SUM(D18:D21)</f>
        <v>0</v>
      </c>
      <c r="E22" s="757">
        <f t="shared" si="1"/>
        <v>3.4111057888522338</v>
      </c>
      <c r="F22" s="757">
        <f t="shared" si="1"/>
        <v>120.79753676019872</v>
      </c>
      <c r="G22" s="757">
        <f t="shared" si="1"/>
        <v>0</v>
      </c>
      <c r="H22" s="757">
        <f t="shared" si="1"/>
        <v>37073.5395663866</v>
      </c>
      <c r="I22" s="757">
        <f t="shared" si="1"/>
        <v>6215.0418545012344</v>
      </c>
      <c r="J22" s="757">
        <f t="shared" si="1"/>
        <v>0</v>
      </c>
      <c r="K22" s="757">
        <f t="shared" si="1"/>
        <v>0</v>
      </c>
      <c r="L22" s="757">
        <f t="shared" si="1"/>
        <v>0</v>
      </c>
      <c r="M22" s="757">
        <f t="shared" si="1"/>
        <v>0</v>
      </c>
      <c r="N22" s="757">
        <f t="shared" si="1"/>
        <v>1957.018290866806</v>
      </c>
      <c r="O22" s="757">
        <f t="shared" si="1"/>
        <v>0</v>
      </c>
      <c r="P22" s="757">
        <f t="shared" si="1"/>
        <v>0</v>
      </c>
      <c r="Q22" s="757">
        <f t="shared" si="1"/>
        <v>0</v>
      </c>
      <c r="R22" s="757">
        <f t="shared" si="1"/>
        <v>45376.662008767751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295.59719182966501</v>
      </c>
      <c r="D24" s="640">
        <f>+landbouw!C8</f>
        <v>0</v>
      </c>
      <c r="E24" s="640">
        <f>+landbouw!D8</f>
        <v>69.205031216673618</v>
      </c>
      <c r="F24" s="640">
        <f>+landbouw!E8</f>
        <v>6.1379900114061252</v>
      </c>
      <c r="G24" s="640">
        <f>+landbouw!F8</f>
        <v>1044.6480187029815</v>
      </c>
      <c r="H24" s="640">
        <f>+landbouw!G8</f>
        <v>0</v>
      </c>
      <c r="I24" s="640">
        <f>+landbouw!H8</f>
        <v>0</v>
      </c>
      <c r="J24" s="640">
        <f>+landbouw!I8</f>
        <v>0</v>
      </c>
      <c r="K24" s="640">
        <f>+landbouw!J8</f>
        <v>33.903128300779322</v>
      </c>
      <c r="L24" s="640">
        <f>+landbouw!K8</f>
        <v>0</v>
      </c>
      <c r="M24" s="640">
        <f>+landbouw!L8</f>
        <v>0</v>
      </c>
      <c r="N24" s="640">
        <f>+landbouw!M8</f>
        <v>0</v>
      </c>
      <c r="O24" s="640">
        <f>+landbouw!N8</f>
        <v>0</v>
      </c>
      <c r="P24" s="640">
        <f>+landbouw!O8</f>
        <v>0</v>
      </c>
      <c r="Q24" s="641">
        <f>+landbouw!P8</f>
        <v>0</v>
      </c>
      <c r="R24" s="643">
        <f>SUM(C24:Q24)</f>
        <v>1449.4913600615057</v>
      </c>
      <c r="S24" s="67"/>
    </row>
    <row r="25" spans="1:19" s="444" customFormat="1" ht="15" thickBot="1">
      <c r="A25" s="776" t="s">
        <v>806</v>
      </c>
      <c r="B25" s="939"/>
      <c r="C25" s="940">
        <f>IF(Onbekend_ele_kWh="---",0,Onbekend_ele_kWh)/1000+IF(REST_rest_ele_kWh="---",0,REST_rest_ele_kWh)/1000</f>
        <v>932.31734479310398</v>
      </c>
      <c r="D25" s="940"/>
      <c r="E25" s="940">
        <f>IF(onbekend_gas_kWh="---",0,onbekend_gas_kWh)/1000+IF(REST_rest_gas_kWh="---",0,REST_rest_gas_kWh)/1000</f>
        <v>1273.63970503625</v>
      </c>
      <c r="F25" s="940"/>
      <c r="G25" s="940"/>
      <c r="H25" s="940"/>
      <c r="I25" s="940"/>
      <c r="J25" s="940"/>
      <c r="K25" s="940"/>
      <c r="L25" s="940"/>
      <c r="M25" s="940"/>
      <c r="N25" s="940"/>
      <c r="O25" s="940"/>
      <c r="P25" s="940"/>
      <c r="Q25" s="941"/>
      <c r="R25" s="643">
        <f>SUM(C25:Q25)</f>
        <v>2205.9570498293542</v>
      </c>
      <c r="S25" s="67"/>
    </row>
    <row r="26" spans="1:19" s="444" customFormat="1" ht="15.75" thickBot="1">
      <c r="A26" s="648" t="s">
        <v>807</v>
      </c>
      <c r="B26" s="762"/>
      <c r="C26" s="757">
        <f>SUM(C24:C25)</f>
        <v>1227.914536622769</v>
      </c>
      <c r="D26" s="757">
        <f t="shared" ref="D26:R26" si="2">SUM(D24:D25)</f>
        <v>0</v>
      </c>
      <c r="E26" s="757">
        <f t="shared" si="2"/>
        <v>1342.8447362529237</v>
      </c>
      <c r="F26" s="757">
        <f t="shared" si="2"/>
        <v>6.1379900114061252</v>
      </c>
      <c r="G26" s="757">
        <f t="shared" si="2"/>
        <v>1044.6480187029815</v>
      </c>
      <c r="H26" s="757">
        <f t="shared" si="2"/>
        <v>0</v>
      </c>
      <c r="I26" s="757">
        <f t="shared" si="2"/>
        <v>0</v>
      </c>
      <c r="J26" s="757">
        <f t="shared" si="2"/>
        <v>0</v>
      </c>
      <c r="K26" s="757">
        <f t="shared" si="2"/>
        <v>33.903128300779322</v>
      </c>
      <c r="L26" s="757">
        <f t="shared" si="2"/>
        <v>0</v>
      </c>
      <c r="M26" s="757">
        <f t="shared" si="2"/>
        <v>0</v>
      </c>
      <c r="N26" s="757">
        <f t="shared" si="2"/>
        <v>0</v>
      </c>
      <c r="O26" s="757">
        <f t="shared" si="2"/>
        <v>0</v>
      </c>
      <c r="P26" s="757">
        <f t="shared" si="2"/>
        <v>0</v>
      </c>
      <c r="Q26" s="757">
        <f t="shared" si="2"/>
        <v>0</v>
      </c>
      <c r="R26" s="757">
        <f t="shared" si="2"/>
        <v>3655.4484098908597</v>
      </c>
      <c r="S26" s="67"/>
    </row>
    <row r="27" spans="1:19" s="444" customFormat="1" ht="17.25" thickTop="1" thickBot="1">
      <c r="A27" s="649" t="s">
        <v>109</v>
      </c>
      <c r="B27" s="749"/>
      <c r="C27" s="650">
        <f ca="1">C22+C16+C26</f>
        <v>42881.72743138075</v>
      </c>
      <c r="D27" s="650">
        <f t="shared" ref="D27:R27" ca="1" si="3">D22+D16+D26</f>
        <v>0</v>
      </c>
      <c r="E27" s="650">
        <f t="shared" ca="1" si="3"/>
        <v>46916.92332499539</v>
      </c>
      <c r="F27" s="650">
        <f t="shared" si="3"/>
        <v>1849.9949742255226</v>
      </c>
      <c r="G27" s="650">
        <f t="shared" ca="1" si="3"/>
        <v>45266.206711431238</v>
      </c>
      <c r="H27" s="650">
        <f t="shared" si="3"/>
        <v>37073.5395663866</v>
      </c>
      <c r="I27" s="650">
        <f t="shared" si="3"/>
        <v>6215.0418545012344</v>
      </c>
      <c r="J27" s="650">
        <f t="shared" si="3"/>
        <v>0</v>
      </c>
      <c r="K27" s="650">
        <f t="shared" si="3"/>
        <v>847.36503134891609</v>
      </c>
      <c r="L27" s="650">
        <f t="shared" si="3"/>
        <v>0</v>
      </c>
      <c r="M27" s="650">
        <f t="shared" ca="1" si="3"/>
        <v>0</v>
      </c>
      <c r="N27" s="650">
        <f t="shared" si="3"/>
        <v>1957.018290866806</v>
      </c>
      <c r="O27" s="650">
        <f t="shared" ca="1" si="3"/>
        <v>6848.3809739257895</v>
      </c>
      <c r="P27" s="650">
        <f t="shared" si="3"/>
        <v>64.096666666666664</v>
      </c>
      <c r="Q27" s="650">
        <f t="shared" si="3"/>
        <v>1067.7333333333333</v>
      </c>
      <c r="R27" s="650">
        <f t="shared" ca="1" si="3"/>
        <v>190988.02815906229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4077.2122415078838</v>
      </c>
      <c r="D40" s="640">
        <f ca="1">tertiair!C20</f>
        <v>0</v>
      </c>
      <c r="E40" s="640">
        <f ca="1">tertiair!D20</f>
        <v>3586.1179627636589</v>
      </c>
      <c r="F40" s="640">
        <f>tertiair!E20</f>
        <v>28.637733531564599</v>
      </c>
      <c r="G40" s="640">
        <f ca="1">tertiair!F20</f>
        <v>656.84625977984228</v>
      </c>
      <c r="H40" s="640">
        <f>tertiair!G20</f>
        <v>0</v>
      </c>
      <c r="I40" s="640">
        <f>tertiair!H20</f>
        <v>0</v>
      </c>
      <c r="J40" s="640">
        <f>tertiair!I20</f>
        <v>0</v>
      </c>
      <c r="K40" s="640">
        <f>tertiair!J20</f>
        <v>15.636866326137072</v>
      </c>
      <c r="L40" s="640">
        <f>tertiair!K20</f>
        <v>0</v>
      </c>
      <c r="M40" s="640">
        <f ca="1">tertiair!L20</f>
        <v>0</v>
      </c>
      <c r="N40" s="640">
        <f>tertiair!M20</f>
        <v>0</v>
      </c>
      <c r="O40" s="640">
        <f ca="1">tertiair!N20</f>
        <v>0</v>
      </c>
      <c r="P40" s="640">
        <f>tertiair!O20</f>
        <v>0</v>
      </c>
      <c r="Q40" s="717">
        <f>tertiair!P20</f>
        <v>0</v>
      </c>
      <c r="R40" s="795">
        <f t="shared" ca="1" si="4"/>
        <v>8364.4510639090859</v>
      </c>
    </row>
    <row r="41" spans="1:18">
      <c r="A41" s="767" t="s">
        <v>214</v>
      </c>
      <c r="B41" s="774"/>
      <c r="C41" s="640">
        <f ca="1">huishoudens!B12</f>
        <v>4533.9387390374095</v>
      </c>
      <c r="D41" s="640">
        <f ca="1">huishoudens!C12</f>
        <v>0</v>
      </c>
      <c r="E41" s="640">
        <f>huishoudens!D12</f>
        <v>5304.7825821345068</v>
      </c>
      <c r="F41" s="640">
        <f>huishoudens!E12</f>
        <v>300.29716146583104</v>
      </c>
      <c r="G41" s="640">
        <f>huishoudens!F12</f>
        <v>10824.37816879166</v>
      </c>
      <c r="H41" s="640">
        <f>huishoudens!G12</f>
        <v>0</v>
      </c>
      <c r="I41" s="640">
        <f>huishoudens!H12</f>
        <v>0</v>
      </c>
      <c r="J41" s="640">
        <f>huishoudens!I12</f>
        <v>0</v>
      </c>
      <c r="K41" s="640">
        <f>huishoudens!J12</f>
        <v>271.78737052243901</v>
      </c>
      <c r="L41" s="640">
        <f>huishoudens!K12</f>
        <v>0</v>
      </c>
      <c r="M41" s="640">
        <f>huishoudens!L12</f>
        <v>0</v>
      </c>
      <c r="N41" s="640">
        <f>huishoudens!M12</f>
        <v>0</v>
      </c>
      <c r="O41" s="640">
        <f>huishoudens!N12</f>
        <v>0</v>
      </c>
      <c r="P41" s="640">
        <f>huishoudens!O12</f>
        <v>0</v>
      </c>
      <c r="Q41" s="717">
        <f>huishoudens!P12</f>
        <v>0</v>
      </c>
      <c r="R41" s="795">
        <f t="shared" ca="1" si="4"/>
        <v>21235.184021951845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404.57039797580234</v>
      </c>
      <c r="D43" s="640">
        <f ca="1">industrie!C22</f>
        <v>0</v>
      </c>
      <c r="E43" s="640">
        <f>industrie!D22</f>
        <v>314.37428665846426</v>
      </c>
      <c r="F43" s="640">
        <f>industrie!E22</f>
        <v>62.199599574643699</v>
      </c>
      <c r="G43" s="640">
        <f>industrie!F22</f>
        <v>325.93174238694274</v>
      </c>
      <c r="H43" s="640">
        <f>industrie!G22</f>
        <v>0</v>
      </c>
      <c r="I43" s="640">
        <f>industrie!H22</f>
        <v>0</v>
      </c>
      <c r="J43" s="640">
        <f>industrie!I22</f>
        <v>0</v>
      </c>
      <c r="K43" s="640">
        <f>industrie!J22</f>
        <v>0.54127683046425379</v>
      </c>
      <c r="L43" s="640">
        <f>industrie!K22</f>
        <v>0</v>
      </c>
      <c r="M43" s="640">
        <f>industrie!L22</f>
        <v>0</v>
      </c>
      <c r="N43" s="640">
        <f>industrie!M22</f>
        <v>0</v>
      </c>
      <c r="O43" s="640">
        <f>industrie!N22</f>
        <v>0</v>
      </c>
      <c r="P43" s="640">
        <f>industrie!O22</f>
        <v>0</v>
      </c>
      <c r="Q43" s="717">
        <f>industrie!P22</f>
        <v>0</v>
      </c>
      <c r="R43" s="794">
        <f t="shared" ca="1" si="4"/>
        <v>1107.6173034263174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9015.7213785210952</v>
      </c>
      <c r="D46" s="675">
        <f t="shared" ref="D46:Q46" ca="1" si="5">SUM(D39:D45)</f>
        <v>0</v>
      </c>
      <c r="E46" s="675">
        <f t="shared" ca="1" si="5"/>
        <v>9205.2748315566296</v>
      </c>
      <c r="F46" s="675">
        <f t="shared" si="5"/>
        <v>391.13449457203933</v>
      </c>
      <c r="G46" s="675">
        <f t="shared" ca="1" si="5"/>
        <v>11807.156170958446</v>
      </c>
      <c r="H46" s="675">
        <f t="shared" si="5"/>
        <v>0</v>
      </c>
      <c r="I46" s="675">
        <f t="shared" si="5"/>
        <v>0</v>
      </c>
      <c r="J46" s="675">
        <f t="shared" si="5"/>
        <v>0</v>
      </c>
      <c r="K46" s="675">
        <f t="shared" si="5"/>
        <v>287.96551367904033</v>
      </c>
      <c r="L46" s="675">
        <f t="shared" si="5"/>
        <v>0</v>
      </c>
      <c r="M46" s="675">
        <f t="shared" ca="1" si="5"/>
        <v>0</v>
      </c>
      <c r="N46" s="675">
        <f t="shared" si="5"/>
        <v>0</v>
      </c>
      <c r="O46" s="675">
        <f t="shared" ca="1" si="5"/>
        <v>0</v>
      </c>
      <c r="P46" s="675">
        <f t="shared" si="5"/>
        <v>0</v>
      </c>
      <c r="Q46" s="675">
        <f t="shared" si="5"/>
        <v>0</v>
      </c>
      <c r="R46" s="675">
        <f ca="1">SUM(R39:R45)</f>
        <v>30707.252389287249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0.71683788759911216</v>
      </c>
      <c r="D49" s="640">
        <f ca="1">transport!C58</f>
        <v>0</v>
      </c>
      <c r="E49" s="640">
        <f>transport!D58</f>
        <v>0</v>
      </c>
      <c r="F49" s="640">
        <f>transport!E58</f>
        <v>0</v>
      </c>
      <c r="G49" s="640">
        <f>transport!F58</f>
        <v>0</v>
      </c>
      <c r="H49" s="640">
        <f>transport!G58</f>
        <v>172.09046650554555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172.80730439314465</v>
      </c>
    </row>
    <row r="50" spans="1:18">
      <c r="A50" s="770" t="s">
        <v>296</v>
      </c>
      <c r="B50" s="780"/>
      <c r="C50" s="646">
        <f ca="1">transport!B18</f>
        <v>0.76683919710996373</v>
      </c>
      <c r="D50" s="646">
        <f>transport!C18</f>
        <v>0</v>
      </c>
      <c r="E50" s="646">
        <f>transport!D18</f>
        <v>0.68904336934815125</v>
      </c>
      <c r="F50" s="646">
        <f>transport!E18</f>
        <v>27.421040844565113</v>
      </c>
      <c r="G50" s="646">
        <f>transport!F18</f>
        <v>0</v>
      </c>
      <c r="H50" s="646">
        <f>transport!G18</f>
        <v>9726.5445977196778</v>
      </c>
      <c r="I50" s="646">
        <f>transport!H18</f>
        <v>1547.5454217708073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11302.966942901508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1.4836770847090759</v>
      </c>
      <c r="D52" s="675">
        <f t="shared" ref="D52:Q52" ca="1" si="6">SUM(D48:D51)</f>
        <v>0</v>
      </c>
      <c r="E52" s="675">
        <f t="shared" si="6"/>
        <v>0.68904336934815125</v>
      </c>
      <c r="F52" s="675">
        <f t="shared" si="6"/>
        <v>27.421040844565113</v>
      </c>
      <c r="G52" s="675">
        <f t="shared" si="6"/>
        <v>0</v>
      </c>
      <c r="H52" s="675">
        <f t="shared" si="6"/>
        <v>9898.6350642252237</v>
      </c>
      <c r="I52" s="675">
        <f t="shared" si="6"/>
        <v>1547.5454217708073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11475.774247294654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63.990792375330777</v>
      </c>
      <c r="D54" s="646">
        <f ca="1">+landbouw!C12</f>
        <v>0</v>
      </c>
      <c r="E54" s="646">
        <f>+landbouw!D12</f>
        <v>13.979416305768071</v>
      </c>
      <c r="F54" s="646">
        <f>+landbouw!E12</f>
        <v>1.3933237325891905</v>
      </c>
      <c r="G54" s="646">
        <f>+landbouw!F12</f>
        <v>278.92102099369606</v>
      </c>
      <c r="H54" s="646">
        <f>+landbouw!G12</f>
        <v>0</v>
      </c>
      <c r="I54" s="646">
        <f>+landbouw!H12</f>
        <v>0</v>
      </c>
      <c r="J54" s="646">
        <f>+landbouw!I12</f>
        <v>0</v>
      </c>
      <c r="K54" s="646">
        <f>+landbouw!J12</f>
        <v>12.001707418475879</v>
      </c>
      <c r="L54" s="646">
        <f>+landbouw!K12</f>
        <v>0</v>
      </c>
      <c r="M54" s="646">
        <f>+landbouw!L12</f>
        <v>0</v>
      </c>
      <c r="N54" s="646">
        <f>+landbouw!M12</f>
        <v>0</v>
      </c>
      <c r="O54" s="646">
        <f>+landbouw!N12</f>
        <v>0</v>
      </c>
      <c r="P54" s="646">
        <f>+landbouw!O12</f>
        <v>0</v>
      </c>
      <c r="Q54" s="647">
        <f>+landbouw!P12</f>
        <v>0</v>
      </c>
      <c r="R54" s="674">
        <f ca="1">SUM(C54:Q54)</f>
        <v>370.28626082585998</v>
      </c>
    </row>
    <row r="55" spans="1:18" ht="15" thickBot="1">
      <c r="A55" s="770" t="s">
        <v>806</v>
      </c>
      <c r="B55" s="780"/>
      <c r="C55" s="646">
        <f ca="1">C25*'EF ele_warmte'!B12</f>
        <v>201.82778215617668</v>
      </c>
      <c r="D55" s="646"/>
      <c r="E55" s="646">
        <f>E25*EF_CO2_aardgas</f>
        <v>257.27522041732254</v>
      </c>
      <c r="F55" s="646"/>
      <c r="G55" s="646"/>
      <c r="H55" s="646"/>
      <c r="I55" s="646"/>
      <c r="J55" s="646"/>
      <c r="K55" s="646"/>
      <c r="L55" s="646"/>
      <c r="M55" s="646"/>
      <c r="N55" s="646"/>
      <c r="O55" s="646"/>
      <c r="P55" s="646"/>
      <c r="Q55" s="647"/>
      <c r="R55" s="674">
        <f ca="1">SUM(C55:Q55)</f>
        <v>459.10300257349923</v>
      </c>
    </row>
    <row r="56" spans="1:18" ht="15.75" thickBot="1">
      <c r="A56" s="768" t="s">
        <v>807</v>
      </c>
      <c r="B56" s="781"/>
      <c r="C56" s="675">
        <f ca="1">SUM(C54:C55)</f>
        <v>265.81857453150747</v>
      </c>
      <c r="D56" s="675">
        <f t="shared" ref="D56:Q56" ca="1" si="7">SUM(D54:D55)</f>
        <v>0</v>
      </c>
      <c r="E56" s="675">
        <f t="shared" si="7"/>
        <v>271.25463672309064</v>
      </c>
      <c r="F56" s="675">
        <f t="shared" si="7"/>
        <v>1.3933237325891905</v>
      </c>
      <c r="G56" s="675">
        <f t="shared" si="7"/>
        <v>278.92102099369606</v>
      </c>
      <c r="H56" s="675">
        <f t="shared" si="7"/>
        <v>0</v>
      </c>
      <c r="I56" s="675">
        <f t="shared" si="7"/>
        <v>0</v>
      </c>
      <c r="J56" s="675">
        <f t="shared" si="7"/>
        <v>0</v>
      </c>
      <c r="K56" s="675">
        <f t="shared" si="7"/>
        <v>12.001707418475879</v>
      </c>
      <c r="L56" s="675">
        <f t="shared" si="7"/>
        <v>0</v>
      </c>
      <c r="M56" s="675">
        <f t="shared" si="7"/>
        <v>0</v>
      </c>
      <c r="N56" s="675">
        <f t="shared" si="7"/>
        <v>0</v>
      </c>
      <c r="O56" s="675">
        <f t="shared" si="7"/>
        <v>0</v>
      </c>
      <c r="P56" s="675">
        <f t="shared" si="7"/>
        <v>0</v>
      </c>
      <c r="Q56" s="676">
        <f t="shared" si="7"/>
        <v>0</v>
      </c>
      <c r="R56" s="677">
        <f ca="1">SUM(R54:R55)</f>
        <v>829.38926339935915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9283.0236301373116</v>
      </c>
      <c r="D61" s="683">
        <f t="shared" ref="D61:Q61" ca="1" si="8">D46+D52+D56</f>
        <v>0</v>
      </c>
      <c r="E61" s="683">
        <f t="shared" ca="1" si="8"/>
        <v>9477.2185116490673</v>
      </c>
      <c r="F61" s="683">
        <f t="shared" si="8"/>
        <v>419.94885914919365</v>
      </c>
      <c r="G61" s="683">
        <f t="shared" ca="1" si="8"/>
        <v>12086.077191952141</v>
      </c>
      <c r="H61" s="683">
        <f t="shared" si="8"/>
        <v>9898.6350642252237</v>
      </c>
      <c r="I61" s="683">
        <f t="shared" si="8"/>
        <v>1547.5454217708073</v>
      </c>
      <c r="J61" s="683">
        <f t="shared" si="8"/>
        <v>0</v>
      </c>
      <c r="K61" s="683">
        <f t="shared" si="8"/>
        <v>299.96722109751619</v>
      </c>
      <c r="L61" s="683">
        <f t="shared" si="8"/>
        <v>0</v>
      </c>
      <c r="M61" s="683">
        <f t="shared" ca="1" si="8"/>
        <v>0</v>
      </c>
      <c r="N61" s="683">
        <f t="shared" si="8"/>
        <v>0</v>
      </c>
      <c r="O61" s="683">
        <f t="shared" ca="1" si="8"/>
        <v>0</v>
      </c>
      <c r="P61" s="683">
        <f t="shared" si="8"/>
        <v>0</v>
      </c>
      <c r="Q61" s="683">
        <f t="shared" si="8"/>
        <v>0</v>
      </c>
      <c r="R61" s="683">
        <f ca="1">R46+R52+R56</f>
        <v>43012.415899981264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0.21647970327202853</v>
      </c>
      <c r="D63" s="726">
        <f t="shared" ca="1" si="9"/>
        <v>0</v>
      </c>
      <c r="E63" s="946">
        <f t="shared" ca="1" si="9"/>
        <v>0.20199999999999996</v>
      </c>
      <c r="F63" s="726">
        <f t="shared" si="9"/>
        <v>0.22700000000000001</v>
      </c>
      <c r="G63" s="726">
        <f t="shared" ca="1" si="9"/>
        <v>0.26700000000000002</v>
      </c>
      <c r="H63" s="726">
        <f t="shared" si="9"/>
        <v>0.26700000000000002</v>
      </c>
      <c r="I63" s="726">
        <f t="shared" si="9"/>
        <v>0.24899999999999997</v>
      </c>
      <c r="J63" s="726">
        <f t="shared" si="9"/>
        <v>0</v>
      </c>
      <c r="K63" s="726">
        <f t="shared" si="9"/>
        <v>0.35399999999999987</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877.09562080467572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877.09562080467572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20943.943799387322</v>
      </c>
      <c r="C4" s="448">
        <f>huishoudens!C8</f>
        <v>0</v>
      </c>
      <c r="D4" s="448">
        <f>huishoudens!D8</f>
        <v>26261.299911556962</v>
      </c>
      <c r="E4" s="448">
        <f>huishoudens!E8</f>
        <v>1322.8949844309736</v>
      </c>
      <c r="F4" s="448">
        <f>huishoudens!F8</f>
        <v>40540.742205212206</v>
      </c>
      <c r="G4" s="448">
        <f>huishoudens!G8</f>
        <v>0</v>
      </c>
      <c r="H4" s="448">
        <f>huishoudens!H8</f>
        <v>0</v>
      </c>
      <c r="I4" s="448">
        <f>huishoudens!I8</f>
        <v>0</v>
      </c>
      <c r="J4" s="448">
        <f>huishoudens!J8</f>
        <v>767.76093367920635</v>
      </c>
      <c r="K4" s="448">
        <f>huishoudens!K8</f>
        <v>0</v>
      </c>
      <c r="L4" s="448">
        <f>huishoudens!L8</f>
        <v>0</v>
      </c>
      <c r="M4" s="448">
        <f>huishoudens!M8</f>
        <v>0</v>
      </c>
      <c r="N4" s="448">
        <f>huishoudens!N8</f>
        <v>5836.4851585112865</v>
      </c>
      <c r="O4" s="448">
        <f>huishoudens!O8</f>
        <v>62.533333333333331</v>
      </c>
      <c r="P4" s="449">
        <f>huishoudens!P8</f>
        <v>1029.5999999999999</v>
      </c>
      <c r="Q4" s="450">
        <f>SUM(B4:P4)</f>
        <v>96765.260326111311</v>
      </c>
    </row>
    <row r="5" spans="1:17">
      <c r="A5" s="447" t="s">
        <v>149</v>
      </c>
      <c r="B5" s="448">
        <f ca="1">tertiair!B16</f>
        <v>18248.16879549349</v>
      </c>
      <c r="C5" s="448">
        <f ca="1">tertiair!C16</f>
        <v>0</v>
      </c>
      <c r="D5" s="448">
        <f ca="1">tertiair!D16</f>
        <v>17753.059221602271</v>
      </c>
      <c r="E5" s="448">
        <f>tertiair!E16</f>
        <v>126.15741643861057</v>
      </c>
      <c r="F5" s="448">
        <f ca="1">tertiair!F16</f>
        <v>2460.0983512353641</v>
      </c>
      <c r="G5" s="448">
        <f>tertiair!G16</f>
        <v>0</v>
      </c>
      <c r="H5" s="448">
        <f>tertiair!H16</f>
        <v>0</v>
      </c>
      <c r="I5" s="448">
        <f>tertiair!I16</f>
        <v>0</v>
      </c>
      <c r="J5" s="448">
        <f>tertiair!J16</f>
        <v>44.171938774398512</v>
      </c>
      <c r="K5" s="448">
        <f>tertiair!K16</f>
        <v>0</v>
      </c>
      <c r="L5" s="448">
        <f ca="1">tertiair!L16</f>
        <v>0</v>
      </c>
      <c r="M5" s="448">
        <f>tertiair!M16</f>
        <v>0</v>
      </c>
      <c r="N5" s="448">
        <f ca="1">tertiair!N16</f>
        <v>801.06978030949131</v>
      </c>
      <c r="O5" s="448">
        <f>tertiair!O16</f>
        <v>1.5633333333333335</v>
      </c>
      <c r="P5" s="449">
        <f>tertiair!P16</f>
        <v>38.133333333333333</v>
      </c>
      <c r="Q5" s="447">
        <f t="shared" ref="Q5:Q14" ca="1" si="0">SUM(B5:P5)</f>
        <v>39472.422170520287</v>
      </c>
    </row>
    <row r="6" spans="1:17">
      <c r="A6" s="447" t="s">
        <v>187</v>
      </c>
      <c r="B6" s="448">
        <f>'openbare verlichting'!B8</f>
        <v>585.98599999999999</v>
      </c>
      <c r="C6" s="448"/>
      <c r="D6" s="448"/>
      <c r="E6" s="448"/>
      <c r="F6" s="448"/>
      <c r="G6" s="448"/>
      <c r="H6" s="448"/>
      <c r="I6" s="448"/>
      <c r="J6" s="448"/>
      <c r="K6" s="448"/>
      <c r="L6" s="448"/>
      <c r="M6" s="448"/>
      <c r="N6" s="448"/>
      <c r="O6" s="448"/>
      <c r="P6" s="449"/>
      <c r="Q6" s="447">
        <f t="shared" si="0"/>
        <v>585.98599999999999</v>
      </c>
    </row>
    <row r="7" spans="1:17">
      <c r="A7" s="447" t="s">
        <v>105</v>
      </c>
      <c r="B7" s="448">
        <f>landbouw!B8</f>
        <v>295.59719182966501</v>
      </c>
      <c r="C7" s="448">
        <f>landbouw!C8</f>
        <v>0</v>
      </c>
      <c r="D7" s="448">
        <f>landbouw!D8</f>
        <v>69.205031216673618</v>
      </c>
      <c r="E7" s="448">
        <f>landbouw!E8</f>
        <v>6.1379900114061252</v>
      </c>
      <c r="F7" s="448">
        <f>landbouw!F8</f>
        <v>1044.6480187029815</v>
      </c>
      <c r="G7" s="448">
        <f>landbouw!G8</f>
        <v>0</v>
      </c>
      <c r="H7" s="448">
        <f>landbouw!H8</f>
        <v>0</v>
      </c>
      <c r="I7" s="448">
        <f>landbouw!I8</f>
        <v>0</v>
      </c>
      <c r="J7" s="448">
        <f>landbouw!J8</f>
        <v>33.903128300779322</v>
      </c>
      <c r="K7" s="448">
        <f>landbouw!K8</f>
        <v>0</v>
      </c>
      <c r="L7" s="448">
        <f>landbouw!L8</f>
        <v>0</v>
      </c>
      <c r="M7" s="448">
        <f>landbouw!M8</f>
        <v>0</v>
      </c>
      <c r="N7" s="448">
        <f>landbouw!N8</f>
        <v>0</v>
      </c>
      <c r="O7" s="448">
        <f>landbouw!O8</f>
        <v>0</v>
      </c>
      <c r="P7" s="449">
        <f>landbouw!P8</f>
        <v>0</v>
      </c>
      <c r="Q7" s="447">
        <f t="shared" si="0"/>
        <v>1449.4913600615057</v>
      </c>
    </row>
    <row r="8" spans="1:17">
      <c r="A8" s="447" t="s">
        <v>614</v>
      </c>
      <c r="B8" s="448">
        <f>industrie!B18</f>
        <v>1868.8606454131125</v>
      </c>
      <c r="C8" s="448">
        <f>industrie!C18</f>
        <v>0</v>
      </c>
      <c r="D8" s="448">
        <f>industrie!D18</f>
        <v>1556.3083497943774</v>
      </c>
      <c r="E8" s="448">
        <f>industrie!E18</f>
        <v>274.00704658433347</v>
      </c>
      <c r="F8" s="448">
        <f>industrie!F18</f>
        <v>1220.7181362806843</v>
      </c>
      <c r="G8" s="448">
        <f>industrie!G18</f>
        <v>0</v>
      </c>
      <c r="H8" s="448">
        <f>industrie!H18</f>
        <v>0</v>
      </c>
      <c r="I8" s="448">
        <f>industrie!I18</f>
        <v>0</v>
      </c>
      <c r="J8" s="448">
        <f>industrie!J18</f>
        <v>1.5290305945317904</v>
      </c>
      <c r="K8" s="448">
        <f>industrie!K18</f>
        <v>0</v>
      </c>
      <c r="L8" s="448">
        <f>industrie!L18</f>
        <v>0</v>
      </c>
      <c r="M8" s="448">
        <f>industrie!M18</f>
        <v>0</v>
      </c>
      <c r="N8" s="448">
        <f>industrie!N18</f>
        <v>210.82603510501161</v>
      </c>
      <c r="O8" s="448">
        <f>industrie!O18</f>
        <v>0</v>
      </c>
      <c r="P8" s="449">
        <f>industrie!P18</f>
        <v>0</v>
      </c>
      <c r="Q8" s="447">
        <f t="shared" si="0"/>
        <v>5132.2492437720502</v>
      </c>
    </row>
    <row r="9" spans="1:17" s="453" customFormat="1">
      <c r="A9" s="451" t="s">
        <v>555</v>
      </c>
      <c r="B9" s="452">
        <f>transport!B14</f>
        <v>3.542314524269063</v>
      </c>
      <c r="C9" s="452">
        <f>transport!C14</f>
        <v>0</v>
      </c>
      <c r="D9" s="452">
        <f>transport!D14</f>
        <v>3.4111057888522338</v>
      </c>
      <c r="E9" s="452">
        <f>transport!E14</f>
        <v>120.79753676019872</v>
      </c>
      <c r="F9" s="452">
        <f>transport!F14</f>
        <v>0</v>
      </c>
      <c r="G9" s="452">
        <f>transport!G14</f>
        <v>36429.005983968826</v>
      </c>
      <c r="H9" s="452">
        <f>transport!H14</f>
        <v>6215.0418545012344</v>
      </c>
      <c r="I9" s="452">
        <f>transport!I14</f>
        <v>0</v>
      </c>
      <c r="J9" s="452">
        <f>transport!J14</f>
        <v>0</v>
      </c>
      <c r="K9" s="452">
        <f>transport!K14</f>
        <v>0</v>
      </c>
      <c r="L9" s="452">
        <f>transport!L14</f>
        <v>0</v>
      </c>
      <c r="M9" s="452">
        <f>transport!M14</f>
        <v>1928.1168634519747</v>
      </c>
      <c r="N9" s="452">
        <f>transport!N14</f>
        <v>0</v>
      </c>
      <c r="O9" s="452">
        <f>transport!O14</f>
        <v>0</v>
      </c>
      <c r="P9" s="452">
        <f>transport!P14</f>
        <v>0</v>
      </c>
      <c r="Q9" s="451">
        <f>SUM(B9:P9)</f>
        <v>44699.915658995356</v>
      </c>
    </row>
    <row r="10" spans="1:17">
      <c r="A10" s="447" t="s">
        <v>545</v>
      </c>
      <c r="B10" s="448">
        <f>transport!B54</f>
        <v>3.3113399397925689</v>
      </c>
      <c r="C10" s="448">
        <f>transport!C54</f>
        <v>0</v>
      </c>
      <c r="D10" s="448">
        <f>transport!D54</f>
        <v>0</v>
      </c>
      <c r="E10" s="448">
        <f>transport!E54</f>
        <v>0</v>
      </c>
      <c r="F10" s="448">
        <f>transport!F54</f>
        <v>0</v>
      </c>
      <c r="G10" s="448">
        <f>transport!G54</f>
        <v>644.53358241777357</v>
      </c>
      <c r="H10" s="448">
        <f>transport!H54</f>
        <v>0</v>
      </c>
      <c r="I10" s="448">
        <f>transport!I54</f>
        <v>0</v>
      </c>
      <c r="J10" s="448">
        <f>transport!J54</f>
        <v>0</v>
      </c>
      <c r="K10" s="448">
        <f>transport!K54</f>
        <v>0</v>
      </c>
      <c r="L10" s="448">
        <f>transport!L54</f>
        <v>0</v>
      </c>
      <c r="M10" s="448">
        <f>transport!M54</f>
        <v>28.901427414831183</v>
      </c>
      <c r="N10" s="448">
        <f>transport!N54</f>
        <v>0</v>
      </c>
      <c r="O10" s="448">
        <f>transport!O54</f>
        <v>0</v>
      </c>
      <c r="P10" s="449">
        <f>transport!P54</f>
        <v>0</v>
      </c>
      <c r="Q10" s="447">
        <f t="shared" si="0"/>
        <v>676.74634977239737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932.31734479310398</v>
      </c>
      <c r="C14" s="455"/>
      <c r="D14" s="455">
        <f>'SEAP template'!E25</f>
        <v>1273.63970503625</v>
      </c>
      <c r="E14" s="455"/>
      <c r="F14" s="455"/>
      <c r="G14" s="455"/>
      <c r="H14" s="455"/>
      <c r="I14" s="455"/>
      <c r="J14" s="455"/>
      <c r="K14" s="455"/>
      <c r="L14" s="455"/>
      <c r="M14" s="455"/>
      <c r="N14" s="455"/>
      <c r="O14" s="455"/>
      <c r="P14" s="456"/>
      <c r="Q14" s="447">
        <f t="shared" si="0"/>
        <v>2205.9570498293542</v>
      </c>
    </row>
    <row r="15" spans="1:17" s="460" customFormat="1">
      <c r="A15" s="457" t="s">
        <v>549</v>
      </c>
      <c r="B15" s="458">
        <f ca="1">SUM(B4:B14)</f>
        <v>42881.72743138075</v>
      </c>
      <c r="C15" s="458">
        <f t="shared" ref="C15:Q15" ca="1" si="1">SUM(C4:C14)</f>
        <v>0</v>
      </c>
      <c r="D15" s="458">
        <f t="shared" ca="1" si="1"/>
        <v>46916.92332499539</v>
      </c>
      <c r="E15" s="458">
        <f t="shared" si="1"/>
        <v>1849.9949742255226</v>
      </c>
      <c r="F15" s="458">
        <f t="shared" ca="1" si="1"/>
        <v>45266.206711431238</v>
      </c>
      <c r="G15" s="458">
        <f t="shared" si="1"/>
        <v>37073.5395663866</v>
      </c>
      <c r="H15" s="458">
        <f t="shared" si="1"/>
        <v>6215.0418545012344</v>
      </c>
      <c r="I15" s="458">
        <f t="shared" si="1"/>
        <v>0</v>
      </c>
      <c r="J15" s="458">
        <f t="shared" si="1"/>
        <v>847.36503134891609</v>
      </c>
      <c r="K15" s="458">
        <f t="shared" si="1"/>
        <v>0</v>
      </c>
      <c r="L15" s="458">
        <f t="shared" ca="1" si="1"/>
        <v>0</v>
      </c>
      <c r="M15" s="458">
        <f t="shared" si="1"/>
        <v>1957.018290866806</v>
      </c>
      <c r="N15" s="458">
        <f t="shared" ca="1" si="1"/>
        <v>6848.3809739257895</v>
      </c>
      <c r="O15" s="458">
        <f t="shared" si="1"/>
        <v>64.096666666666664</v>
      </c>
      <c r="P15" s="458">
        <f t="shared" si="1"/>
        <v>1067.7333333333333</v>
      </c>
      <c r="Q15" s="458">
        <f t="shared" ca="1" si="1"/>
        <v>190988.02815906232</v>
      </c>
    </row>
    <row r="17" spans="1:17">
      <c r="A17" s="461" t="s">
        <v>550</v>
      </c>
      <c r="B17" s="731">
        <f ca="1">huishoudens!B10</f>
        <v>0.21647970327202853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4533.9387390374095</v>
      </c>
      <c r="C22" s="448">
        <f t="shared" ref="C22:C32" ca="1" si="3">C4*$C$17</f>
        <v>0</v>
      </c>
      <c r="D22" s="448">
        <f t="shared" ref="D22:D32" si="4">D4*$D$17</f>
        <v>5304.7825821345068</v>
      </c>
      <c r="E22" s="448">
        <f t="shared" ref="E22:E32" si="5">E4*$E$17</f>
        <v>300.29716146583104</v>
      </c>
      <c r="F22" s="448">
        <f t="shared" ref="F22:F32" si="6">F4*$F$17</f>
        <v>10824.37816879166</v>
      </c>
      <c r="G22" s="448">
        <f t="shared" ref="G22:G32" si="7">G4*$G$17</f>
        <v>0</v>
      </c>
      <c r="H22" s="448">
        <f t="shared" ref="H22:H32" si="8">H4*$H$17</f>
        <v>0</v>
      </c>
      <c r="I22" s="448">
        <f t="shared" ref="I22:I32" si="9">I4*$I$17</f>
        <v>0</v>
      </c>
      <c r="J22" s="448">
        <f t="shared" ref="J22:J32" si="10">J4*$J$17</f>
        <v>271.78737052243901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21235.184021951845</v>
      </c>
    </row>
    <row r="23" spans="1:17">
      <c r="A23" s="447" t="s">
        <v>149</v>
      </c>
      <c r="B23" s="448">
        <f t="shared" ca="1" si="2"/>
        <v>3950.3581661063208</v>
      </c>
      <c r="C23" s="448">
        <f t="shared" ca="1" si="3"/>
        <v>0</v>
      </c>
      <c r="D23" s="448">
        <f t="shared" ca="1" si="4"/>
        <v>3586.1179627636589</v>
      </c>
      <c r="E23" s="448">
        <f t="shared" si="5"/>
        <v>28.637733531564599</v>
      </c>
      <c r="F23" s="448">
        <f t="shared" ca="1" si="6"/>
        <v>656.84625977984228</v>
      </c>
      <c r="G23" s="448">
        <f t="shared" si="7"/>
        <v>0</v>
      </c>
      <c r="H23" s="448">
        <f t="shared" si="8"/>
        <v>0</v>
      </c>
      <c r="I23" s="448">
        <f t="shared" si="9"/>
        <v>0</v>
      </c>
      <c r="J23" s="448">
        <f t="shared" si="10"/>
        <v>15.636866326137072</v>
      </c>
      <c r="K23" s="448">
        <f t="shared" si="11"/>
        <v>0</v>
      </c>
      <c r="L23" s="448">
        <f t="shared" ca="1" si="12"/>
        <v>0</v>
      </c>
      <c r="M23" s="448">
        <f t="shared" si="13"/>
        <v>0</v>
      </c>
      <c r="N23" s="448">
        <f t="shared" ca="1" si="14"/>
        <v>0</v>
      </c>
      <c r="O23" s="448">
        <f t="shared" si="15"/>
        <v>0</v>
      </c>
      <c r="P23" s="449">
        <f t="shared" si="16"/>
        <v>0</v>
      </c>
      <c r="Q23" s="447">
        <f t="shared" ref="Q23:Q32" ca="1" si="17">SUM(B23:P23)</f>
        <v>8237.5969885075228</v>
      </c>
    </row>
    <row r="24" spans="1:17">
      <c r="A24" s="447" t="s">
        <v>187</v>
      </c>
      <c r="B24" s="448">
        <f t="shared" ca="1" si="2"/>
        <v>126.85407540156291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126.85407540156291</v>
      </c>
    </row>
    <row r="25" spans="1:17">
      <c r="A25" s="447" t="s">
        <v>105</v>
      </c>
      <c r="B25" s="448">
        <f t="shared" ca="1" si="2"/>
        <v>63.990792375330777</v>
      </c>
      <c r="C25" s="448">
        <f t="shared" ca="1" si="3"/>
        <v>0</v>
      </c>
      <c r="D25" s="448">
        <f t="shared" si="4"/>
        <v>13.979416305768071</v>
      </c>
      <c r="E25" s="448">
        <f t="shared" si="5"/>
        <v>1.3933237325891905</v>
      </c>
      <c r="F25" s="448">
        <f t="shared" si="6"/>
        <v>278.92102099369606</v>
      </c>
      <c r="G25" s="448">
        <f t="shared" si="7"/>
        <v>0</v>
      </c>
      <c r="H25" s="448">
        <f t="shared" si="8"/>
        <v>0</v>
      </c>
      <c r="I25" s="448">
        <f t="shared" si="9"/>
        <v>0</v>
      </c>
      <c r="J25" s="448">
        <f t="shared" si="10"/>
        <v>12.001707418475879</v>
      </c>
      <c r="K25" s="448">
        <f t="shared" si="11"/>
        <v>0</v>
      </c>
      <c r="L25" s="448">
        <f t="shared" si="12"/>
        <v>0</v>
      </c>
      <c r="M25" s="448">
        <f t="shared" si="13"/>
        <v>0</v>
      </c>
      <c r="N25" s="448">
        <f t="shared" si="14"/>
        <v>0</v>
      </c>
      <c r="O25" s="448">
        <f t="shared" si="15"/>
        <v>0</v>
      </c>
      <c r="P25" s="449">
        <f t="shared" si="16"/>
        <v>0</v>
      </c>
      <c r="Q25" s="447">
        <f t="shared" ca="1" si="17"/>
        <v>370.28626082585998</v>
      </c>
    </row>
    <row r="26" spans="1:17">
      <c r="A26" s="447" t="s">
        <v>614</v>
      </c>
      <c r="B26" s="448">
        <f t="shared" ca="1" si="2"/>
        <v>404.57039797580234</v>
      </c>
      <c r="C26" s="448">
        <f t="shared" ca="1" si="3"/>
        <v>0</v>
      </c>
      <c r="D26" s="448">
        <f t="shared" si="4"/>
        <v>314.37428665846426</v>
      </c>
      <c r="E26" s="448">
        <f t="shared" si="5"/>
        <v>62.199599574643699</v>
      </c>
      <c r="F26" s="448">
        <f t="shared" si="6"/>
        <v>325.93174238694274</v>
      </c>
      <c r="G26" s="448">
        <f t="shared" si="7"/>
        <v>0</v>
      </c>
      <c r="H26" s="448">
        <f t="shared" si="8"/>
        <v>0</v>
      </c>
      <c r="I26" s="448">
        <f t="shared" si="9"/>
        <v>0</v>
      </c>
      <c r="J26" s="448">
        <f t="shared" si="10"/>
        <v>0.54127683046425379</v>
      </c>
      <c r="K26" s="448">
        <f t="shared" si="11"/>
        <v>0</v>
      </c>
      <c r="L26" s="448">
        <f t="shared" si="12"/>
        <v>0</v>
      </c>
      <c r="M26" s="448">
        <f t="shared" si="13"/>
        <v>0</v>
      </c>
      <c r="N26" s="448">
        <f t="shared" si="14"/>
        <v>0</v>
      </c>
      <c r="O26" s="448">
        <f t="shared" si="15"/>
        <v>0</v>
      </c>
      <c r="P26" s="449">
        <f t="shared" si="16"/>
        <v>0</v>
      </c>
      <c r="Q26" s="447">
        <f t="shared" ca="1" si="17"/>
        <v>1107.6173034263174</v>
      </c>
    </row>
    <row r="27" spans="1:17" s="453" customFormat="1">
      <c r="A27" s="451" t="s">
        <v>555</v>
      </c>
      <c r="B27" s="725">
        <f t="shared" ca="1" si="2"/>
        <v>0.76683919710996373</v>
      </c>
      <c r="C27" s="452">
        <f t="shared" ca="1" si="3"/>
        <v>0</v>
      </c>
      <c r="D27" s="452">
        <f t="shared" si="4"/>
        <v>0.68904336934815125</v>
      </c>
      <c r="E27" s="452">
        <f t="shared" si="5"/>
        <v>27.421040844565113</v>
      </c>
      <c r="F27" s="452">
        <f t="shared" si="6"/>
        <v>0</v>
      </c>
      <c r="G27" s="452">
        <f t="shared" si="7"/>
        <v>9726.5445977196778</v>
      </c>
      <c r="H27" s="452">
        <f t="shared" si="8"/>
        <v>1547.5454217708073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11302.966942901508</v>
      </c>
    </row>
    <row r="28" spans="1:17">
      <c r="A28" s="447" t="s">
        <v>545</v>
      </c>
      <c r="B28" s="448">
        <f t="shared" ca="1" si="2"/>
        <v>0.71683788759911216</v>
      </c>
      <c r="C28" s="448">
        <f t="shared" ca="1" si="3"/>
        <v>0</v>
      </c>
      <c r="D28" s="448">
        <f t="shared" si="4"/>
        <v>0</v>
      </c>
      <c r="E28" s="448">
        <f t="shared" si="5"/>
        <v>0</v>
      </c>
      <c r="F28" s="448">
        <f t="shared" si="6"/>
        <v>0</v>
      </c>
      <c r="G28" s="448">
        <f t="shared" si="7"/>
        <v>172.09046650554555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172.80730439314465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201.82778215617668</v>
      </c>
      <c r="C32" s="448">
        <f t="shared" ca="1" si="3"/>
        <v>0</v>
      </c>
      <c r="D32" s="448">
        <f t="shared" si="4"/>
        <v>257.27522041732254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459.10300257349923</v>
      </c>
    </row>
    <row r="33" spans="1:17" s="460" customFormat="1">
      <c r="A33" s="457" t="s">
        <v>549</v>
      </c>
      <c r="B33" s="458">
        <f ca="1">SUM(B22:B32)</f>
        <v>9283.0236301373116</v>
      </c>
      <c r="C33" s="458">
        <f t="shared" ref="C33:Q33" ca="1" si="18">SUM(C22:C32)</f>
        <v>0</v>
      </c>
      <c r="D33" s="458">
        <f t="shared" ca="1" si="18"/>
        <v>9477.2185116490691</v>
      </c>
      <c r="E33" s="458">
        <f t="shared" si="18"/>
        <v>419.94885914919359</v>
      </c>
      <c r="F33" s="458">
        <f t="shared" ca="1" si="18"/>
        <v>12086.077191952141</v>
      </c>
      <c r="G33" s="458">
        <f t="shared" si="18"/>
        <v>9898.6350642252237</v>
      </c>
      <c r="H33" s="458">
        <f t="shared" si="18"/>
        <v>1547.5454217708073</v>
      </c>
      <c r="I33" s="458">
        <f t="shared" si="18"/>
        <v>0</v>
      </c>
      <c r="J33" s="458">
        <f t="shared" si="18"/>
        <v>299.96722109751619</v>
      </c>
      <c r="K33" s="458">
        <f t="shared" si="18"/>
        <v>0</v>
      </c>
      <c r="L33" s="458">
        <f t="shared" ca="1" si="18"/>
        <v>0</v>
      </c>
      <c r="M33" s="458">
        <f t="shared" si="18"/>
        <v>0</v>
      </c>
      <c r="N33" s="458">
        <f t="shared" ca="1" si="18"/>
        <v>0</v>
      </c>
      <c r="O33" s="458">
        <f t="shared" si="18"/>
        <v>0</v>
      </c>
      <c r="P33" s="458">
        <f t="shared" si="18"/>
        <v>0</v>
      </c>
      <c r="Q33" s="458">
        <f t="shared" ca="1" si="18"/>
        <v>43012.415899981264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877.09562080467572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877.09562080467572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0.21647970327202853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0.21647970327202853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2022-07-26T12:09:59Z</dcterms:modified>
</cp:coreProperties>
</file>