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87EB922F-5336-4CFE-985F-8DA25171D43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48" i="18"/>
  <c r="I52" i="18"/>
  <c r="H17" i="18"/>
  <c r="H20" i="18"/>
  <c r="B20" i="18"/>
  <c r="C48" i="18"/>
  <c r="E51" i="18"/>
  <c r="E8" i="18"/>
  <c r="E10" i="18"/>
  <c r="O18" i="18"/>
  <c r="G20" i="18"/>
  <c r="K20" i="18"/>
  <c r="B10" i="18"/>
  <c r="O19" i="18"/>
  <c r="N6" i="17"/>
  <c r="B52" i="18"/>
  <c r="C17" i="18"/>
  <c r="C20" i="18"/>
  <c r="C52" i="18"/>
  <c r="H52" i="18"/>
  <c r="D52" i="18"/>
  <c r="J17" i="18"/>
  <c r="J20" i="18"/>
  <c r="F52" i="18"/>
  <c r="E52" i="18"/>
  <c r="E17" i="18"/>
  <c r="E20" i="18"/>
  <c r="G52" i="18"/>
  <c r="I17" i="18"/>
  <c r="I20" i="18"/>
  <c r="I51" i="18"/>
  <c r="H8" i="18"/>
  <c r="H10" i="18"/>
  <c r="G51" i="18"/>
  <c r="F51" i="18"/>
  <c r="I8" i="18"/>
  <c r="I10" i="18"/>
  <c r="D51" i="18"/>
  <c r="C51" i="18"/>
  <c r="B51" i="18"/>
  <c r="C8" i="18"/>
  <c r="C10" i="18"/>
  <c r="H51"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<sst xmlns="http://schemas.openxmlformats.org/spreadsheetml/2006/main" count="2466" uniqueCount="915">
  <si>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</si>
  <si>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</si>
  <si>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</si>
  <si>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</si>
  <si>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</si>
  <si>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</si>
  <si>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</si>
  <si>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</si>
  <si>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</si>
  <si>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</si>
  <si>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</si>
  <si>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</si>
  <si>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</si>
  <si>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</si>
  <si>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</si>
  <si>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</si>
  <si>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</si>
  <si>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</si>
  <si>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</si>
  <si>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</si>
  <si>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</si>
  <si>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</si>
  <si>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</si>
  <si>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</si>
  <si>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</si>
  <si>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</si>
  <si>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</si>
  <si>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</si>
  <si>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</si>
  <si>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</si>
  <si>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</si>
  <si>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</si>
  <si>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</si>
  <si>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</si>
  <si>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</si>
  <si>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</si>
  <si>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</si>
  <si>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</si>
  <si>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</si>
  <si>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</si>
  <si>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</si>
  <si>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</si>
  <si>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</si>
  <si>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</si>
  <si>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</si>
  <si>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</si>
  <si>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</si>
  <si>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</si>
  <si>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</si>
  <si>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</si>
  <si>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</si>
  <si>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</si>
  <si>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</si>
  <si>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</si>
  <si>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</si>
  <si>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</si>
  <si>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</si>
  <si>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</si>
  <si>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</si>
  <si>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</si>
  <si>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</si>
  <si>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</si>
  <si>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</si>
  <si>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</si>
  <si>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</si>
  <si>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</si>
  <si>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</si>
  <si>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</si>
  <si>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</si>
  <si>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</si>
  <si>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</si>
  <si>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</si>
  <si>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</si>
  <si>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</si>
  <si>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</si>
  <si>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</si>
  <si>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</si>
  <si>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</si>
  <si>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</si>
  <si>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</si>
  <si>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</si>
  <si>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</si>
  <si>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</si>
  <si>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</si>
  <si>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</si>
  <si>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</si>
  <si>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</si>
  <si>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</si>
  <si>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</si>
  <si>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</si>
  <si>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</si>
  <si>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</si>
  <si>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</si>
  <si>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</si>
  <si>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</si>
  <si>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</si>
  <si>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</si>
  <si>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</si>
  <si>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</si>
  <si>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</si>
  <si>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</si>
  <si>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</si>
  <si>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</si>
  <si>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</si>
  <si>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</si>
  <si>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</si>
  <si>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</si>
  <si>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</si>
  <si>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</si>
  <si>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</si>
  <si>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</si>
  <si>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</si>
  <si>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</si>
  <si>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</si>
  <si>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</si>
  <si>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</si>
  <si>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</si>
  <si>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</si>
  <si>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</si>
  <si>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</si>
  <si>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</si>
  <si>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</si>
  <si>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</si>
  <si>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</si>
  <si>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</si>
  <si>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</si>
  <si>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</si>
  <si>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</si>
  <si>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</si>
  <si>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</si>
  <si>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</si>
  <si>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</si>
  <si>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</si>
  <si>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</si>
  <si>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</si>
  <si>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</si>
  <si>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</si>
  <si>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</si>
  <si>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</si>
  <si>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</si>
  <si>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</si>
  <si>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</si>
  <si>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</si>
  <si>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</si>
  <si>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</si>
  <si>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</si>
  <si>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</si>
  <si>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</si>
  <si>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</si>
  <si>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</si>
  <si>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</si>
  <si>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</si>
  <si>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</si>
  <si>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</si>
  <si>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</si>
  <si>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</si>
  <si>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</si>
  <si>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</si>
  <si>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</si>
  <si>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</si>
  <si>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</si>
  <si>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</si>
  <si>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</si>
  <si>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</si>
  <si>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</si>
  <si>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</si>
  <si>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</si>
  <si>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</si>
  <si>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</si>
  <si>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</si>
  <si>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</si>
  <si>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</si>
  <si>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</si>
  <si>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</si>
  <si>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</si>
  <si>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</si>
  <si>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</si>
  <si>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</si>
  <si>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</si>
  <si>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</si>
  <si>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</si>
  <si>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</si>
  <si>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</si>
  <si>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</si>
  <si>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</si>
  <si>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</si>
  <si>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</si>
  <si>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</si>
  <si>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</si>
  <si>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</si>
  <si>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</si>
  <si>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</si>
  <si>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</si>
  <si>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</si>
  <si>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</si>
  <si>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</si>
  <si>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</si>
  <si>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</si>
  <si>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</si>
  <si>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</si>
  <si>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</si>
  <si>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</si>
  <si>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</si>
  <si>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</si>
  <si>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</si>
  <si>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</si>
  <si>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</si>
  <si>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</si>
  <si>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</si>
  <si>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</si>
  <si>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</si>
  <si>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</si>
  <si>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</si>
  <si>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</si>
  <si>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</si>
  <si>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</si>
  <si>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</si>
  <si>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</si>
  <si>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</si>
  <si>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</si>
  <si>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</si>
  <si>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</si>
  <si>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</si>
  <si>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</si>
  <si>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</si>
  <si>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</si>
  <si>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</si>
  <si>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</si>
  <si>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</si>
  <si>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</si>
  <si>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</si>
  <si>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</si>
  <si>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</si>
  <si>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</si>
  <si>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</si>
  <si>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</si>
  <si>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</si>
  <si>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</si>
  <si>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</si>
  <si>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</si>
  <si>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</si>
  <si>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</si>
  <si>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</si>
  <si>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</si>
  <si>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</si>
  <si>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</si>
  <si>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</si>
  <si>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</si>
  <si>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</si>
  <si>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</si>
  <si>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</si>
  <si>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</si>
  <si>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</si>
  <si>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</si>
  <si>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</si>
  <si>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</si>
  <si>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</si>
  <si>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</si>
  <si>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</si>
  <si>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</si>
  <si>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</si>
  <si>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</si>
  <si>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</si>
  <si>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</si>
  <si>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</si>
  <si>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</si>
  <si>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</si>
  <si>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</si>
  <si>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</si>
  <si>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</si>
  <si>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</si>
  <si>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</si>
  <si>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</si>
  <si>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</si>
  <si>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</si>
  <si>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</si>
  <si>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</si>
  <si>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</si>
  <si>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</si>
  <si>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</si>
  <si>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</si>
  <si>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</si>
  <si>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</si>
  <si>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</si>
  <si>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</si>
  <si>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</si>
  <si>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</si>
  <si>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</si>
  <si>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</si>
  <si>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</si>
  <si>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</si>
  <si>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</si>
  <si>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</si>
  <si>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</si>
  <si>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</si>
  <si>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</si>
  <si>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</si>
  <si>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</si>
  <si>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</si>
  <si>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</si>
  <si>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</si>
  <si>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</si>
  <si>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</si>
  <si>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</si>
  <si>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</si>
  <si>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</si>
  <si>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</si>
  <si>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</si>
  <si>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</si>
  <si>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</si>
  <si>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</si>
  <si>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</si>
  <si>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</si>
  <si>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</si>
  <si>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</si>
  <si>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</si>
  <si>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</si>
  <si>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</si>
  <si>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</si>
  <si>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</si>
  <si>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</si>
  <si>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</si>
  <si>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</si>
  <si>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</si>
  <si>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</si>
  <si>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</si>
  <si>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</si>
  <si>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</si>
  <si>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</si>
  <si>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</si>
  <si>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</si>
  <si>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</si>
  <si>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</si>
  <si>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</si>
  <si>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</si>
  <si>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</si>
  <si>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</si>
  <si>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</si>
  <si>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</si>
  <si>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</si>
  <si>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</si>
  <si>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</si>
  <si>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</si>
  <si>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</si>
  <si>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</si>
  <si>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</si>
  <si>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</si>
  <si>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</si>
  <si>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</si>
  <si>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</si>
  <si>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</si>
  <si>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</si>
  <si>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</si>
  <si>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</si>
  <si>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</si>
  <si>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</si>
  <si>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</si>
  <si>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</si>
  <si>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</si>
  <si>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</si>
  <si>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</si>
  <si>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</si>
  <si>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</si>
  <si>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</si>
  <si>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</si>
  <si>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</si>
  <si>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</si>
  <si>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</si>
  <si>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</si>
  <si>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</si>
  <si>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</si>
  <si>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</si>
  <si>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</si>
  <si>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</si>
  <si>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</si>
  <si>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</si>
  <si>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</si>
  <si>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</si>
  <si>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</si>
  <si>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</si>
  <si>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</si>
  <si>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</si>
  <si>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</si>
  <si>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</si>
  <si>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</si>
  <si>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</si>
  <si>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</si>
  <si>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</si>
  <si>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</si>
  <si>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</si>
  <si>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</si>
  <si>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</si>
  <si>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</si>
  <si>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</si>
  <si>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</si>
  <si>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</si>
  <si>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</si>
  <si>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</si>
  <si>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</si>
  <si>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</si>
  <si>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</si>
  <si>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</si>
  <si>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</si>
  <si>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</si>
  <si>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</si>
  <si>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</si>
  <si>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</si>
  <si>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</si>
  <si>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</si>
  <si>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</si>
  <si>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</si>
  <si>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</si>
  <si>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</si>
  <si>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</si>
  <si>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</si>
  <si>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</si>
  <si>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</si>
  <si>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</si>
  <si>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</si>
  <si>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</si>
  <si>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</si>
  <si>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</si>
  <si>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</si>
  <si>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</si>
  <si>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</si>
  <si>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</si>
  <si>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</si>
  <si>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</si>
  <si>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</si>
  <si>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</si>
  <si>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</si>
  <si>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</si>
  <si>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</si>
  <si>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</si>
  <si>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</si>
  <si>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</si>
  <si>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</si>
  <si>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</si>
  <si>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</si>
  <si>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</si>
  <si>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</si>
  <si>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</si>
  <si>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</si>
  <si>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</si>
  <si>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</si>
  <si>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</si>
  <si>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</si>
  <si>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</si>
  <si>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</si>
  <si>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</si>
  <si>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</si>
  <si>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</si>
  <si>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</si>
  <si>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</si>
  <si>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</si>
  <si>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</si>
  <si>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</si>
  <si>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</si>
  <si>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</si>
  <si>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</si>
  <si>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</si>
  <si>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</si>
  <si>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</si>
  <si>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</si>
  <si>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</si>
  <si>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</si>
  <si>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</si>
  <si>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</si>
  <si>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</si>
  <si>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</si>
  <si>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</si>
  <si>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</si>
  <si>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</si>
  <si>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</si>
  <si>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</si>
  <si>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</si>
  <si>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</si>
  <si>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</si>
  <si>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</si>
  <si>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</si>
  <si>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</si>
  <si>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</si>
  <si>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</si>
  <si>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</si>
  <si>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</si>
  <si>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</si>
  <si>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</si>
  <si>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</si>
  <si>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</si>
  <si>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</si>
  <si>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</si>
  <si>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</si>
  <si>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</si>
  <si>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</si>
  <si>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</si>
  <si>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</si>
  <si>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</si>
  <si>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</si>
  <si>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</si>
  <si>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</si>
  <si>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</si>
  <si>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</si>
  <si>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</si>
  <si>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</si>
  <si>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</si>
  <si>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</si>
  <si>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</si>
  <si>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</si>
  <si>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</si>
  <si>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</si>
  <si>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</si>
  <si>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</si>
  <si>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</si>
  <si>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</si>
  <si>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</si>
  <si>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</si>
  <si>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</si>
  <si>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</si>
  <si>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</si>
  <si>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</si>
  <si>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</si>
  <si>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</si>
  <si>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</si>
  <si>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</si>
  <si>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</si>
  <si>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</si>
  <si>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</si>
  <si>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</si>
  <si>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</si>
  <si>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</si>
  <si>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</si>
  <si>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</si>
  <si>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</si>
  <si>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</si>
  <si>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</si>
  <si>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</si>
  <si>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</si>
  <si>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</si>
  <si>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</si>
  <si>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</si>
  <si>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</si>
  <si>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</si>
  <si>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</si>
  <si>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</si>
  <si>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</si>
  <si>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</si>
  <si>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</si>
  <si>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</si>
  <si>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</si>
  <si>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</si>
  <si>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</si>
  <si>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</si>
  <si>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</si>
  <si>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</si>
  <si>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</si>
  <si>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</si>
  <si>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</si>
  <si>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</si>
  <si>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</si>
  <si>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</si>
  <si>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</si>
  <si>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</si>
  <si>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</si>
  <si>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</si>
  <si>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</si>
  <si>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</si>
  <si>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</si>
  <si>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</si>
  <si>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</si>
  <si>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</si>
  <si>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</si>
  <si>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</si>
  <si>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</si>
  <si>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</si>
  <si>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</si>
  <si>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</si>
  <si>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</si>
  <si>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</si>
  <si>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</si>
  <si>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</si>
  <si>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</si>
  <si>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</si>
  <si>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</si>
  <si>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</si>
  <si>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</si>
  <si>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</si>
  <si>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</si>
  <si>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</si>
  <si>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</si>
  <si>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</si>
  <si>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</si>
  <si>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</si>
  <si>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</si>
  <si>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</si>
  <si>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</si>
  <si>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</si>
  <si>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</si>
  <si>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</si>
  <si>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</si>
  <si>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</si>
  <si>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</si>
  <si>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</si>
  <si>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</si>
  <si>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</si>
  <si>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</si>
  <si>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</si>
  <si>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</si>
  <si>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</si>
  <si>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</si>
  <si>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</si>
  <si>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</si>
  <si>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</si>
  <si>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</si>
  <si>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</si>
  <si>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</si>
  <si>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</si>
  <si>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</si>
  <si>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</si>
  <si>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</si>
  <si>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</si>
  <si>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</si>
  <si>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</si>
  <si>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</si>
  <si>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</si>
  <si>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</si>
  <si>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</si>
  <si>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</si>
  <si>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</si>
  <si>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</si>
  <si>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</si>
  <si>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</si>
  <si>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</si>
  <si>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</si>
  <si>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</si>
  <si>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</si>
  <si>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</si>
  <si>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</si>
  <si>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</si>
  <si>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</si>
  <si>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</si>
  <si>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</si>
  <si>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</si>
  <si>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</si>
  <si>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</si>
  <si>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</si>
  <si>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</si>
  <si>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</si>
  <si>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</si>
  <si>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</si>
  <si>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</si>
  <si>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</si>
  <si>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</si>
  <si>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</si>
  <si>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</si>
  <si>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</si>
  <si>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</si>
  <si>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</si>
  <si>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</si>
  <si>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</si>
  <si>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</si>
  <si>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</si>
  <si>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</si>
  <si>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</si>
  <si>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</si>
  <si>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</si>
  <si>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</si>
  <si>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</si>
  <si>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</si>
  <si>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</si>
  <si>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</si>
  <si>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</si>
  <si>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</si>
  <si>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</si>
  <si>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</si>
  <si>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</si>
  <si>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</si>
  <si>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</si>
  <si>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</si>
  <si>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</si>
  <si>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</si>
  <si>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</si>
  <si>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</si>
  <si>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</si>
  <si>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</si>
  <si>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</si>
  <si>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</si>
  <si>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</si>
  <si>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</si>
  <si>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</si>
  <si>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</si>
  <si>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</si>
  <si>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</si>
  <si>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</si>
  <si>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</si>
  <si>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</si>
  <si>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</si>
  <si>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</si>
  <si>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</si>
  <si>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</si>
  <si>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</si>
  <si>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</si>
  <si>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</si>
  <si>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</si>
  <si>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</si>
  <si>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</si>
  <si>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</si>
  <si>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</si>
  <si>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</si>
  <si>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</si>
  <si>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</si>
  <si>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</si>
  <si>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</si>
  <si>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</si>
  <si>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</si>
  <si>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</si>
  <si>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</si>
  <si>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</si>
  <si>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</si>
  <si>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</si>
  <si>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</si>
  <si>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</si>
  <si>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</si>
  <si>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</si>
  <si>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</si>
  <si>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</si>
  <si>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</si>
  <si>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</si>
  <si>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</si>
  <si>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</si>
  <si>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</si>
  <si>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</si>
  <si>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</si>
  <si>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</si>
  <si>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</si>
  <si>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</si>
  <si>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</si>
  <si>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</si>
  <si>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</si>
  <si>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</si>
  <si>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</si>
  <si>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</si>
  <si>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</si>
  <si>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</si>
  <si>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</si>
  <si>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</si>
  <si>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</si>
  <si>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</si>
  <si>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</si>
  <si>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</si>
  <si>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</si>
  <si>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</si>
  <si>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</si>
  <si>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</si>
  <si>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</si>
  <si>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</si>
  <si>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</si>
  <si>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</si>
  <si>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</si>
  <si>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</si>
  <si>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</si>
  <si>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</si>
  <si>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</si>
  <si>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</si>
  <si>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</si>
  <si>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</si>
  <si>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</si>
  <si>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</si>
  <si>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</si>
  <si>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</si>
  <si>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</si>
  <si>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</si>
  <si>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</si>
  <si>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</si>
  <si>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</si>
  <si>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</si>
  <si>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</si>
  <si>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</si>
  <si>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</si>
  <si>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</si>
  <si>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</si>
  <si>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</si>
  <si>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</si>
  <si>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</si>
  <si>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</si>
  <si>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</si>
  <si>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</si>
  <si>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</si>
  <si>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</si>
  <si>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</si>
  <si>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</si>
  <si>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</si>
  <si>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</si>
  <si>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</si>
  <si>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</si>
  <si>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</si>
  <si>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</si>
  <si>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</si>
  <si>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</si>
  <si>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</si>
  <si>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</si>
  <si>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</si>
  <si>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</si>
  <si>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</si>
  <si>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</si>
  <si>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</si>
  <si>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</si>
  <si>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</si>
  <si>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</si>
  <si>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</si>
  <si>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</si>
  <si>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</si>
  <si>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</si>
  <si>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</si>
  <si>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</si>
  <si>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</si>
  <si>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</si>
  <si>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</si>
  <si>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</si>
  <si>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</si>
  <si>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</si>
  <si>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</si>
  <si>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</si>
  <si>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</si>
  <si>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</si>
  <si>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</si>
  <si>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</si>
  <si>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</si>
  <si>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</si>
  <si>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</si>
  <si>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</si>
  <si>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</si>
  <si>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</si>
  <si>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</si>
  <si>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</si>
  <si>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</si>
  <si>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</si>
  <si>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</si>
  <si>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</si>
  <si>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</si>
  <si>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</si>
  <si>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</si>
  <si>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</si>
  <si>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</si>
  <si>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</si>
  <si>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</si>
  <si>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</si>
  <si>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</si>
  <si>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</si>
  <si>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</si>
  <si>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</si>
  <si>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</si>
  <si>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</si>
  <si>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</si>
  <si>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</si>
  <si>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</si>
  <si>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</si>
  <si>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</si>
  <si>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</si>
  <si>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</si>
  <si>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</si>
  <si>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</si>
  <si>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</si>
  <si>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</si>
  <si>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</si>
  <si>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</si>
  <si>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</si>
  <si>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</si>
  <si>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</si>
  <si>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</si>
  <si>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</si>
  <si>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</si>
  <si>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</si>
  <si>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</si>
  <si>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</si>
  <si>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</si>
  <si>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</si>
  <si>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</si>
  <si>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</si>
  <si>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</si>
  <si>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</si>
  <si>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</si>
  <si>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</si>
  <si>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</si>
  <si>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</si>
  <si>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</si>
  <si>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</si>
  <si>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</si>
  <si>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</si>
  <si>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</si>
  <si>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</si>
  <si>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</si>
  <si>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</si>
  <si>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</si>
  <si>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</si>
  <si>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</si>
  <si>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</si>
  <si>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</si>
  <si>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</si>
  <si>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</si>
  <si>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</si>
  <si>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</si>
  <si>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</si>
  <si>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44021</t>
  </si>
  <si>
    <t>GENT</t>
  </si>
  <si>
    <t>Cultuurgrond (ha)</t>
  </si>
  <si>
    <t>Paarden&amp;pony's 200 - 600 kg</t>
  </si>
  <si>
    <t>Paarden&amp;pony's &lt; 200 kg</t>
  </si>
  <si>
    <t>vloeibaar gas (MWh)</t>
  </si>
  <si>
    <t>interne verbrandingsmotor</t>
  </si>
  <si>
    <t>WKK interne verbrandinsgmotor (vloeibaar)</t>
  </si>
  <si>
    <t>IMEWO</t>
  </si>
  <si>
    <t>WKK interne verbrandinsgmotor (gas)</t>
  </si>
  <si>
    <t>biogas - RWZI</t>
  </si>
  <si>
    <t>niet WKK interne verbrandingsmotor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</si>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</sst>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FB74A96-17E1-468A-9768-04BB27866B1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2438045.8965622587</c:v>
                </c:pt>
                <c:pt idx="1">
                  <c:v>1758936.3372783042</c:v>
                </c:pt>
                <c:pt idx="2">
                  <c:v>14614.142</c:v>
                </c:pt>
                <c:pt idx="3">
                  <c:v>20483.845615612183</c:v>
                </c:pt>
                <c:pt idx="4">
                  <c:v>919342.83158519259</c:v>
                </c:pt>
                <c:pt idx="5">
                  <c:v>2136734.0214823065</c:v>
                </c:pt>
                <c:pt idx="6">
                  <c:v>48292.168898365373</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2438045.8965622587</c:v>
                </c:pt>
                <c:pt idx="1">
                  <c:v>1758936.3372783042</c:v>
                </c:pt>
                <c:pt idx="2">
                  <c:v>14614.142</c:v>
                </c:pt>
                <c:pt idx="3">
                  <c:v>20483.845615612183</c:v>
                </c:pt>
                <c:pt idx="4">
                  <c:v>919342.83158519259</c:v>
                </c:pt>
                <c:pt idx="5">
                  <c:v>2136734.0214823065</c:v>
                </c:pt>
                <c:pt idx="6">
                  <c:v>48292.168898365373</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497292.79140736698</c:v>
                </c:pt>
                <c:pt idx="2">
                  <c:v>356221.20827516797</c:v>
                </c:pt>
                <c:pt idx="3">
                  <c:v>2937.2227821674037</c:v>
                </c:pt>
                <c:pt idx="4">
                  <c:v>4886.1849482995094</c:v>
                </c:pt>
                <c:pt idx="5">
                  <c:v>188644.10855063616</c:v>
                </c:pt>
                <c:pt idx="6">
                  <c:v>540871.37697819283</c:v>
                </c:pt>
                <c:pt idx="7">
                  <c:v>11828.273196235914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497292.79140736698</c:v>
                </c:pt>
                <c:pt idx="2">
                  <c:v>356221.20827516797</c:v>
                </c:pt>
                <c:pt idx="3">
                  <c:v>2937.2227821674037</c:v>
                </c:pt>
                <c:pt idx="4">
                  <c:v>4886.1849482995094</c:v>
                </c:pt>
                <c:pt idx="5">
                  <c:v>188644.10855063616</c:v>
                </c:pt>
                <c:pt idx="6">
                  <c:v>540871.37697819283</c:v>
                </c:pt>
                <c:pt idx="7">
                  <c:v>11828.273196235914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44021</v>
      </c>
      <c r="B6" s="385"/>
      <c r="C6" s="386"/>
    </row>
    <row r="7" spans="1:7" s="383" customFormat="1" ht="15.75" customHeight="1">
      <c r="A7" s="387" t="str">
        <f>txtMunicipality</f>
        <v>GENT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0.20098496252242545</v>
      </c>
      <c r="C17" s="498">
        <f ca="1">'EF ele_warmte'!B22</f>
        <v>8.4117793458846971E-2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0.20098496252242545</v>
      </c>
      <c r="C29" s="499">
        <f ca="1">'EF ele_warmte'!B22</f>
        <v>8.4117793458846971E-2</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116518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3153</v>
      </c>
      <c r="C14" s="327"/>
      <c r="D14" s="327"/>
      <c r="E14" s="327"/>
      <c r="F14" s="327"/>
    </row>
    <row r="15" spans="1:6">
      <c r="A15" s="1258" t="s">
        <v>177</v>
      </c>
      <c r="B15" s="1259">
        <v>38</v>
      </c>
      <c r="C15" s="327"/>
      <c r="D15" s="327"/>
      <c r="E15" s="327"/>
      <c r="F15" s="327"/>
    </row>
    <row r="16" spans="1:6">
      <c r="A16" s="1258" t="s">
        <v>6</v>
      </c>
      <c r="B16" s="1259">
        <v>1331</v>
      </c>
      <c r="C16" s="327"/>
      <c r="D16" s="327"/>
      <c r="E16" s="327"/>
      <c r="F16" s="327"/>
    </row>
    <row r="17" spans="1:6">
      <c r="A17" s="1258" t="s">
        <v>7</v>
      </c>
      <c r="B17" s="1259">
        <v>853</v>
      </c>
      <c r="C17" s="327"/>
      <c r="D17" s="327"/>
      <c r="E17" s="327"/>
      <c r="F17" s="327"/>
    </row>
    <row r="18" spans="1:6">
      <c r="A18" s="1258" t="s">
        <v>8</v>
      </c>
      <c r="B18" s="1259">
        <v>1351</v>
      </c>
      <c r="C18" s="327"/>
      <c r="D18" s="327"/>
      <c r="E18" s="327"/>
      <c r="F18" s="327"/>
    </row>
    <row r="19" spans="1:6">
      <c r="A19" s="1258" t="s">
        <v>9</v>
      </c>
      <c r="B19" s="1259">
        <v>1250</v>
      </c>
      <c r="C19" s="327"/>
      <c r="D19" s="327"/>
      <c r="E19" s="327"/>
      <c r="F19" s="327"/>
    </row>
    <row r="20" spans="1:6">
      <c r="A20" s="1258" t="s">
        <v>10</v>
      </c>
      <c r="B20" s="1259">
        <v>966</v>
      </c>
      <c r="C20" s="327"/>
      <c r="D20" s="327"/>
      <c r="E20" s="327"/>
      <c r="F20" s="327"/>
    </row>
    <row r="21" spans="1:6">
      <c r="A21" s="1258" t="s">
        <v>11</v>
      </c>
      <c r="B21" s="1259">
        <v>1904</v>
      </c>
      <c r="C21" s="327"/>
      <c r="D21" s="327"/>
      <c r="E21" s="327"/>
      <c r="F21" s="327"/>
    </row>
    <row r="22" spans="1:6">
      <c r="A22" s="1258" t="s">
        <v>12</v>
      </c>
      <c r="B22" s="1259">
        <v>3846</v>
      </c>
      <c r="C22" s="327"/>
      <c r="D22" s="327"/>
      <c r="E22" s="327"/>
      <c r="F22" s="327"/>
    </row>
    <row r="23" spans="1:6">
      <c r="A23" s="1258" t="s">
        <v>13</v>
      </c>
      <c r="B23" s="1259">
        <v>23</v>
      </c>
      <c r="C23" s="327"/>
      <c r="D23" s="327"/>
      <c r="E23" s="327"/>
      <c r="F23" s="327"/>
    </row>
    <row r="24" spans="1:6">
      <c r="A24" s="1258" t="s">
        <v>14</v>
      </c>
      <c r="B24" s="1259">
        <v>7</v>
      </c>
      <c r="C24" s="327"/>
      <c r="D24" s="327"/>
      <c r="E24" s="327"/>
      <c r="F24" s="327"/>
    </row>
    <row r="25" spans="1:6">
      <c r="A25" s="1258" t="s">
        <v>15</v>
      </c>
      <c r="B25" s="1259">
        <v>606</v>
      </c>
      <c r="C25" s="327"/>
      <c r="D25" s="327"/>
      <c r="E25" s="327"/>
      <c r="F25" s="327"/>
    </row>
    <row r="26" spans="1:6">
      <c r="A26" s="1258" t="s">
        <v>16</v>
      </c>
      <c r="B26" s="1259">
        <v>382</v>
      </c>
      <c r="C26" s="327"/>
      <c r="D26" s="327"/>
      <c r="E26" s="327"/>
      <c r="F26" s="327"/>
    </row>
    <row r="27" spans="1:6">
      <c r="A27" s="1258" t="s">
        <v>17</v>
      </c>
      <c r="B27" s="1259">
        <v>3</v>
      </c>
      <c r="C27" s="327"/>
      <c r="D27" s="327"/>
      <c r="E27" s="327"/>
      <c r="F27" s="327"/>
    </row>
    <row r="28" spans="1:6">
      <c r="A28" s="1258" t="s">
        <v>18</v>
      </c>
      <c r="B28" s="1260">
        <v>3</v>
      </c>
      <c r="C28" s="327"/>
      <c r="D28" s="327"/>
      <c r="E28" s="327"/>
      <c r="F28" s="327"/>
    </row>
    <row r="29" spans="1:6">
      <c r="A29" s="1258" t="s">
        <v>905</v>
      </c>
      <c r="B29" s="1260">
        <v>494</v>
      </c>
      <c r="C29" s="327"/>
      <c r="D29" s="327"/>
      <c r="E29" s="327"/>
      <c r="F29" s="327"/>
    </row>
    <row r="30" spans="1:6">
      <c r="A30" s="1253" t="s">
        <v>906</v>
      </c>
      <c r="B30" s="1261">
        <v>73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10</v>
      </c>
      <c r="F35" s="1259">
        <v>115783.359688678</v>
      </c>
    </row>
    <row r="36" spans="1:6">
      <c r="A36" s="1258" t="s">
        <v>24</v>
      </c>
      <c r="B36" s="1258" t="s">
        <v>26</v>
      </c>
      <c r="C36" s="1259">
        <v>36</v>
      </c>
      <c r="D36" s="1259">
        <v>1769989.52508911</v>
      </c>
      <c r="E36" s="1259">
        <v>99</v>
      </c>
      <c r="F36" s="1259">
        <v>6293472.6057255603</v>
      </c>
    </row>
    <row r="37" spans="1:6">
      <c r="A37" s="1258" t="s">
        <v>24</v>
      </c>
      <c r="B37" s="1258" t="s">
        <v>27</v>
      </c>
      <c r="C37" s="1259">
        <v>0</v>
      </c>
      <c r="D37" s="1259">
        <v>0</v>
      </c>
      <c r="E37" s="1259">
        <v>0</v>
      </c>
      <c r="F37" s="1259">
        <v>0</v>
      </c>
    </row>
    <row r="38" spans="1:6">
      <c r="A38" s="1258" t="s">
        <v>24</v>
      </c>
      <c r="B38" s="1258" t="s">
        <v>28</v>
      </c>
      <c r="C38" s="1259">
        <v>8</v>
      </c>
      <c r="D38" s="1259">
        <v>186580.53070517301</v>
      </c>
      <c r="E38" s="1259">
        <v>21</v>
      </c>
      <c r="F38" s="1259">
        <v>1251145.40622778</v>
      </c>
    </row>
    <row r="39" spans="1:6">
      <c r="A39" s="1258" t="s">
        <v>29</v>
      </c>
      <c r="B39" s="1258" t="s">
        <v>30</v>
      </c>
      <c r="C39" s="1259">
        <v>86268</v>
      </c>
      <c r="D39" s="1259">
        <v>1361674882.748524</v>
      </c>
      <c r="E39" s="1259">
        <v>115138</v>
      </c>
      <c r="F39" s="1259">
        <v>375345503.58448952</v>
      </c>
    </row>
    <row r="40" spans="1:6">
      <c r="A40" s="1258" t="s">
        <v>29</v>
      </c>
      <c r="B40" s="1258" t="s">
        <v>28</v>
      </c>
      <c r="C40" s="1259">
        <v>3</v>
      </c>
      <c r="D40" s="1259">
        <v>251153.36446871</v>
      </c>
      <c r="E40" s="1259">
        <v>3</v>
      </c>
      <c r="F40" s="1259">
        <v>13029.2489568</v>
      </c>
    </row>
    <row r="41" spans="1:6">
      <c r="A41" s="1258" t="s">
        <v>31</v>
      </c>
      <c r="B41" s="1258" t="s">
        <v>32</v>
      </c>
      <c r="C41" s="1259">
        <v>891</v>
      </c>
      <c r="D41" s="1259">
        <v>73348180.082651898</v>
      </c>
      <c r="E41" s="1259">
        <v>1636</v>
      </c>
      <c r="F41" s="1259">
        <v>37999802.967372797</v>
      </c>
    </row>
    <row r="42" spans="1:6">
      <c r="A42" s="1258" t="s">
        <v>31</v>
      </c>
      <c r="B42" s="1258" t="s">
        <v>33</v>
      </c>
      <c r="C42" s="1259">
        <v>6</v>
      </c>
      <c r="D42" s="1259">
        <v>6110082.7243416402</v>
      </c>
      <c r="E42" s="1259">
        <v>17</v>
      </c>
      <c r="F42" s="1259">
        <v>39138518.124988802</v>
      </c>
    </row>
    <row r="43" spans="1:6">
      <c r="A43" s="1258" t="s">
        <v>31</v>
      </c>
      <c r="B43" s="1258" t="s">
        <v>34</v>
      </c>
      <c r="C43" s="1259">
        <v>0</v>
      </c>
      <c r="D43" s="1259">
        <v>0</v>
      </c>
      <c r="E43" s="1259">
        <v>0</v>
      </c>
      <c r="F43" s="1259">
        <v>0</v>
      </c>
    </row>
    <row r="44" spans="1:6">
      <c r="A44" s="1258" t="s">
        <v>31</v>
      </c>
      <c r="B44" s="1258" t="s">
        <v>35</v>
      </c>
      <c r="C44" s="1259">
        <v>62</v>
      </c>
      <c r="D44" s="1259">
        <v>29814766.268429</v>
      </c>
      <c r="E44" s="1259">
        <v>160</v>
      </c>
      <c r="F44" s="1259">
        <v>31354449.407478001</v>
      </c>
    </row>
    <row r="45" spans="1:6">
      <c r="A45" s="1258" t="s">
        <v>31</v>
      </c>
      <c r="B45" s="1258" t="s">
        <v>36</v>
      </c>
      <c r="C45" s="1259">
        <v>3</v>
      </c>
      <c r="D45" s="1259">
        <v>195948.81196101799</v>
      </c>
      <c r="E45" s="1259">
        <v>33</v>
      </c>
      <c r="F45" s="1259">
        <v>78836678.193114206</v>
      </c>
    </row>
    <row r="46" spans="1:6">
      <c r="A46" s="1258" t="s">
        <v>31</v>
      </c>
      <c r="B46" s="1258" t="s">
        <v>37</v>
      </c>
      <c r="C46" s="1259">
        <v>0</v>
      </c>
      <c r="D46" s="1259">
        <v>0</v>
      </c>
      <c r="E46" s="1259">
        <v>0</v>
      </c>
      <c r="F46" s="1259">
        <v>0</v>
      </c>
    </row>
    <row r="47" spans="1:6">
      <c r="A47" s="1258" t="s">
        <v>31</v>
      </c>
      <c r="B47" s="1258" t="s">
        <v>38</v>
      </c>
      <c r="C47" s="1259">
        <v>77</v>
      </c>
      <c r="D47" s="1259">
        <v>2453563.3068096898</v>
      </c>
      <c r="E47" s="1259">
        <v>118</v>
      </c>
      <c r="F47" s="1259">
        <v>13306049.4173385</v>
      </c>
    </row>
    <row r="48" spans="1:6">
      <c r="A48" s="1258" t="s">
        <v>31</v>
      </c>
      <c r="B48" s="1258" t="s">
        <v>28</v>
      </c>
      <c r="C48" s="1259">
        <v>274</v>
      </c>
      <c r="D48" s="1259">
        <v>241186096.06824499</v>
      </c>
      <c r="E48" s="1259">
        <v>346</v>
      </c>
      <c r="F48" s="1259">
        <v>165485056.07067701</v>
      </c>
    </row>
    <row r="49" spans="1:6">
      <c r="A49" s="1258" t="s">
        <v>31</v>
      </c>
      <c r="B49" s="1258" t="s">
        <v>39</v>
      </c>
      <c r="C49" s="1259">
        <v>19</v>
      </c>
      <c r="D49" s="1259">
        <v>540798.39835464302</v>
      </c>
      <c r="E49" s="1259">
        <v>25</v>
      </c>
      <c r="F49" s="1259">
        <v>348959.992402801</v>
      </c>
    </row>
    <row r="50" spans="1:6">
      <c r="A50" s="1258" t="s">
        <v>31</v>
      </c>
      <c r="B50" s="1258" t="s">
        <v>40</v>
      </c>
      <c r="C50" s="1259">
        <v>151</v>
      </c>
      <c r="D50" s="1259">
        <v>29816316.6629689</v>
      </c>
      <c r="E50" s="1259">
        <v>217</v>
      </c>
      <c r="F50" s="1259">
        <v>17805521.938684899</v>
      </c>
    </row>
    <row r="51" spans="1:6">
      <c r="A51" s="1258" t="s">
        <v>41</v>
      </c>
      <c r="B51" s="1258" t="s">
        <v>42</v>
      </c>
      <c r="C51" s="1259">
        <v>67</v>
      </c>
      <c r="D51" s="1259">
        <v>4003608.0224129101</v>
      </c>
      <c r="E51" s="1259">
        <v>227</v>
      </c>
      <c r="F51" s="1259">
        <v>2550152.40283312</v>
      </c>
    </row>
    <row r="52" spans="1:6">
      <c r="A52" s="1258" t="s">
        <v>41</v>
      </c>
      <c r="B52" s="1258" t="s">
        <v>28</v>
      </c>
      <c r="C52" s="1259">
        <v>30</v>
      </c>
      <c r="D52" s="1259">
        <v>2996905.5274578501</v>
      </c>
      <c r="E52" s="1259">
        <v>53</v>
      </c>
      <c r="F52" s="1259">
        <v>484311.938360981</v>
      </c>
    </row>
    <row r="53" spans="1:6">
      <c r="A53" s="1258" t="s">
        <v>43</v>
      </c>
      <c r="B53" s="1258" t="s">
        <v>44</v>
      </c>
      <c r="C53" s="1259">
        <v>3478</v>
      </c>
      <c r="D53" s="1259">
        <v>98499386.837011695</v>
      </c>
      <c r="E53" s="1259">
        <v>5857</v>
      </c>
      <c r="F53" s="1259">
        <v>27365906.761385001</v>
      </c>
    </row>
    <row r="54" spans="1:6">
      <c r="A54" s="1258" t="s">
        <v>45</v>
      </c>
      <c r="B54" s="1258" t="s">
        <v>46</v>
      </c>
      <c r="C54" s="1259">
        <v>0</v>
      </c>
      <c r="D54" s="1259">
        <v>0</v>
      </c>
      <c r="E54" s="1259">
        <v>12</v>
      </c>
      <c r="F54" s="1259">
        <v>14614142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892</v>
      </c>
      <c r="D57" s="1259">
        <v>52487746.474877901</v>
      </c>
      <c r="E57" s="1259">
        <v>1336</v>
      </c>
      <c r="F57" s="1259">
        <v>43728600.753462002</v>
      </c>
    </row>
    <row r="58" spans="1:6">
      <c r="A58" s="1258" t="s">
        <v>48</v>
      </c>
      <c r="B58" s="1258" t="s">
        <v>50</v>
      </c>
      <c r="C58" s="1259">
        <v>663</v>
      </c>
      <c r="D58" s="1259">
        <v>111781913.077445</v>
      </c>
      <c r="E58" s="1259">
        <v>1027</v>
      </c>
      <c r="F58" s="1259">
        <v>98992742.851442397</v>
      </c>
    </row>
    <row r="59" spans="1:6">
      <c r="A59" s="1258" t="s">
        <v>48</v>
      </c>
      <c r="B59" s="1258" t="s">
        <v>51</v>
      </c>
      <c r="C59" s="1259">
        <v>2028</v>
      </c>
      <c r="D59" s="1259">
        <v>93719793.105707794</v>
      </c>
      <c r="E59" s="1259">
        <v>3553</v>
      </c>
      <c r="F59" s="1259">
        <v>159588054.449597</v>
      </c>
    </row>
    <row r="60" spans="1:6">
      <c r="A60" s="1258" t="s">
        <v>48</v>
      </c>
      <c r="B60" s="1258" t="s">
        <v>52</v>
      </c>
      <c r="C60" s="1259">
        <v>1314</v>
      </c>
      <c r="D60" s="1259">
        <v>99697299.242592007</v>
      </c>
      <c r="E60" s="1259">
        <v>1643</v>
      </c>
      <c r="F60" s="1259">
        <v>56938645.9270989</v>
      </c>
    </row>
    <row r="61" spans="1:6">
      <c r="A61" s="1258" t="s">
        <v>48</v>
      </c>
      <c r="B61" s="1258" t="s">
        <v>53</v>
      </c>
      <c r="C61" s="1259">
        <v>4875</v>
      </c>
      <c r="D61" s="1259">
        <v>378976345.52146</v>
      </c>
      <c r="E61" s="1259">
        <v>8940</v>
      </c>
      <c r="F61" s="1259">
        <v>194826174.67273799</v>
      </c>
    </row>
    <row r="62" spans="1:6">
      <c r="A62" s="1258" t="s">
        <v>48</v>
      </c>
      <c r="B62" s="1258" t="s">
        <v>54</v>
      </c>
      <c r="C62" s="1259">
        <v>483</v>
      </c>
      <c r="D62" s="1259">
        <v>141222929.44539699</v>
      </c>
      <c r="E62" s="1259">
        <v>830</v>
      </c>
      <c r="F62" s="1259">
        <v>90918294.695144206</v>
      </c>
    </row>
    <row r="63" spans="1:6">
      <c r="A63" s="1258" t="s">
        <v>48</v>
      </c>
      <c r="B63" s="1258" t="s">
        <v>28</v>
      </c>
      <c r="C63" s="1259">
        <v>830</v>
      </c>
      <c r="D63" s="1259">
        <v>112591979.17916501</v>
      </c>
      <c r="E63" s="1259">
        <v>897</v>
      </c>
      <c r="F63" s="1259">
        <v>74498696.950933501</v>
      </c>
    </row>
    <row r="64" spans="1:6">
      <c r="A64" s="1258" t="s">
        <v>55</v>
      </c>
      <c r="B64" s="1258" t="s">
        <v>56</v>
      </c>
      <c r="C64" s="1259">
        <v>0</v>
      </c>
      <c r="D64" s="1259">
        <v>0</v>
      </c>
      <c r="E64" s="1259">
        <v>0</v>
      </c>
      <c r="F64" s="1259">
        <v>0</v>
      </c>
    </row>
    <row r="65" spans="1:6">
      <c r="A65" s="1258" t="s">
        <v>55</v>
      </c>
      <c r="B65" s="1258" t="s">
        <v>28</v>
      </c>
      <c r="C65" s="1259">
        <v>13</v>
      </c>
      <c r="D65" s="1259">
        <v>524834.77394000697</v>
      </c>
      <c r="E65" s="1259">
        <v>24</v>
      </c>
      <c r="F65" s="1259">
        <v>1094967.9019653001</v>
      </c>
    </row>
    <row r="66" spans="1:6">
      <c r="A66" s="1258" t="s">
        <v>55</v>
      </c>
      <c r="B66" s="1258" t="s">
        <v>57</v>
      </c>
      <c r="C66" s="1259">
        <v>0</v>
      </c>
      <c r="D66" s="1259">
        <v>0</v>
      </c>
      <c r="E66" s="1259">
        <v>6</v>
      </c>
      <c r="F66" s="1259">
        <v>28533.862206077301</v>
      </c>
    </row>
    <row r="67" spans="1:6">
      <c r="A67" s="1258" t="s">
        <v>55</v>
      </c>
      <c r="B67" s="1258" t="s">
        <v>58</v>
      </c>
      <c r="C67" s="1259">
        <v>0</v>
      </c>
      <c r="D67" s="1259">
        <v>0</v>
      </c>
      <c r="E67" s="1259">
        <v>0</v>
      </c>
      <c r="F67" s="1259">
        <v>0</v>
      </c>
    </row>
    <row r="68" spans="1:6">
      <c r="A68" s="1253" t="s">
        <v>55</v>
      </c>
      <c r="B68" s="1253" t="s">
        <v>59</v>
      </c>
      <c r="C68" s="1261">
        <v>30</v>
      </c>
      <c r="D68" s="1261">
        <v>1502938.60133279</v>
      </c>
      <c r="E68" s="1261">
        <v>65</v>
      </c>
      <c r="F68" s="1261">
        <v>2279073.09372454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599576061</v>
      </c>
      <c r="E73" s="446"/>
      <c r="F73" s="327"/>
    </row>
    <row r="74" spans="1:6">
      <c r="A74" s="1258" t="s">
        <v>63</v>
      </c>
      <c r="B74" s="1258" t="s">
        <v>681</v>
      </c>
      <c r="C74" s="1271" t="s">
        <v>682</v>
      </c>
      <c r="D74" s="1259">
        <v>88264413.49243848</v>
      </c>
      <c r="E74" s="446"/>
      <c r="F74" s="327"/>
    </row>
    <row r="75" spans="1:6">
      <c r="A75" s="1258" t="s">
        <v>64</v>
      </c>
      <c r="B75" s="1258" t="s">
        <v>679</v>
      </c>
      <c r="C75" s="1271" t="s">
        <v>683</v>
      </c>
      <c r="D75" s="1259">
        <v>378480412</v>
      </c>
      <c r="E75" s="446"/>
      <c r="F75" s="327"/>
    </row>
    <row r="76" spans="1:6">
      <c r="A76" s="1258" t="s">
        <v>64</v>
      </c>
      <c r="B76" s="1258" t="s">
        <v>681</v>
      </c>
      <c r="C76" s="1271" t="s">
        <v>684</v>
      </c>
      <c r="D76" s="1259">
        <v>31037256.49243848</v>
      </c>
      <c r="E76" s="446"/>
      <c r="F76" s="327"/>
    </row>
    <row r="77" spans="1:6">
      <c r="A77" s="1258" t="s">
        <v>65</v>
      </c>
      <c r="B77" s="1258" t="s">
        <v>679</v>
      </c>
      <c r="C77" s="1271" t="s">
        <v>685</v>
      </c>
      <c r="D77" s="1259">
        <v>981972199</v>
      </c>
      <c r="E77" s="446"/>
      <c r="F77" s="327"/>
    </row>
    <row r="78" spans="1:6">
      <c r="A78" s="1253" t="s">
        <v>65</v>
      </c>
      <c r="B78" s="1253" t="s">
        <v>681</v>
      </c>
      <c r="C78" s="1253" t="s">
        <v>686</v>
      </c>
      <c r="D78" s="1261">
        <v>154995943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10346457.015123038</v>
      </c>
      <c r="C83" s="446"/>
      <c r="D83" s="327"/>
      <c r="E83" s="327"/>
      <c r="F83" s="327"/>
    </row>
    <row r="84" spans="1:6">
      <c r="A84" s="1253" t="s">
        <v>324</v>
      </c>
      <c r="B84" s="1261">
        <v>2610018.5804313007</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83819.039879999997</v>
      </c>
      <c r="C90" s="327"/>
      <c r="D90" s="327"/>
      <c r="E90" s="327"/>
      <c r="F90" s="327"/>
    </row>
    <row r="91" spans="1:6">
      <c r="A91" s="1258" t="s">
        <v>67</v>
      </c>
      <c r="B91" s="1259">
        <v>16462.074944218453</v>
      </c>
      <c r="C91" s="327"/>
      <c r="D91" s="327"/>
      <c r="E91" s="327"/>
      <c r="F91" s="327"/>
    </row>
    <row r="92" spans="1:6">
      <c r="A92" s="1253" t="s">
        <v>68</v>
      </c>
      <c r="B92" s="1254">
        <v>32983.802016546913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62627</v>
      </c>
      <c r="C97" s="327"/>
      <c r="D97" s="327"/>
      <c r="E97" s="327"/>
      <c r="F97" s="327"/>
    </row>
    <row r="98" spans="1:6">
      <c r="A98" s="1258" t="s">
        <v>71</v>
      </c>
      <c r="B98" s="1259">
        <v>127</v>
      </c>
      <c r="C98" s="327"/>
      <c r="D98" s="327"/>
      <c r="E98" s="327"/>
      <c r="F98" s="327"/>
    </row>
    <row r="99" spans="1:6">
      <c r="A99" s="1258" t="s">
        <v>72</v>
      </c>
      <c r="B99" s="1259">
        <v>385</v>
      </c>
      <c r="C99" s="327"/>
      <c r="D99" s="327"/>
      <c r="E99" s="327"/>
      <c r="F99" s="327"/>
    </row>
    <row r="100" spans="1:6">
      <c r="A100" s="1258" t="s">
        <v>73</v>
      </c>
      <c r="B100" s="1259">
        <v>8623</v>
      </c>
      <c r="C100" s="327"/>
      <c r="D100" s="327"/>
      <c r="E100" s="327"/>
      <c r="F100" s="327"/>
    </row>
    <row r="101" spans="1:6">
      <c r="A101" s="1258" t="s">
        <v>74</v>
      </c>
      <c r="B101" s="1259">
        <v>396</v>
      </c>
      <c r="C101" s="327"/>
      <c r="D101" s="327"/>
      <c r="E101" s="327"/>
      <c r="F101" s="327"/>
    </row>
    <row r="102" spans="1:6">
      <c r="A102" s="1258" t="s">
        <v>75</v>
      </c>
      <c r="B102" s="1259">
        <v>4616</v>
      </c>
      <c r="C102" s="327"/>
      <c r="D102" s="327"/>
      <c r="E102" s="327"/>
      <c r="F102" s="327"/>
    </row>
    <row r="103" spans="1:6">
      <c r="A103" s="1258" t="s">
        <v>76</v>
      </c>
      <c r="B103" s="1259">
        <v>1823</v>
      </c>
      <c r="C103" s="327"/>
      <c r="D103" s="327"/>
      <c r="E103" s="327"/>
      <c r="F103" s="327"/>
    </row>
    <row r="104" spans="1:6">
      <c r="A104" s="1258" t="s">
        <v>77</v>
      </c>
      <c r="B104" s="1259">
        <v>21695</v>
      </c>
      <c r="C104" s="327"/>
      <c r="D104" s="327"/>
      <c r="E104" s="327"/>
      <c r="F104" s="327"/>
    </row>
    <row r="105" spans="1:6">
      <c r="A105" s="1253" t="s">
        <v>78</v>
      </c>
      <c r="B105" s="1261">
        <v>311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2</v>
      </c>
      <c r="C110" s="327"/>
      <c r="D110" s="327"/>
      <c r="E110" s="327"/>
      <c r="F110" s="327"/>
    </row>
    <row r="111" spans="1:6">
      <c r="A111" s="1276" t="s">
        <v>628</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83</v>
      </c>
      <c r="C123" s="1259">
        <v>148</v>
      </c>
      <c r="D123" s="327"/>
      <c r="E123" s="327"/>
      <c r="F123" s="327"/>
    </row>
    <row r="124" spans="1:6">
      <c r="A124" s="1258" t="s">
        <v>88</v>
      </c>
      <c r="B124" s="1259">
        <v>1</v>
      </c>
      <c r="C124" s="1259">
        <v>4</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721</v>
      </c>
      <c r="C129" s="327"/>
      <c r="D129" s="327"/>
      <c r="E129" s="327"/>
      <c r="F129" s="327"/>
    </row>
    <row r="130" spans="1:6">
      <c r="A130" s="1258" t="s">
        <v>284</v>
      </c>
      <c r="B130" s="1259">
        <v>16</v>
      </c>
      <c r="C130" s="327"/>
      <c r="D130" s="327"/>
      <c r="E130" s="327"/>
      <c r="F130" s="327"/>
    </row>
    <row r="131" spans="1:6">
      <c r="A131" s="1258" t="s">
        <v>285</v>
      </c>
      <c r="B131" s="1259">
        <v>14</v>
      </c>
      <c r="C131" s="327"/>
      <c r="D131" s="327"/>
      <c r="E131" s="327"/>
      <c r="F131" s="327"/>
    </row>
    <row r="132" spans="1:6">
      <c r="A132" s="1253" t="s">
        <v>286</v>
      </c>
      <c r="B132" s="1254">
        <v>32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1562282.8823415432</v>
      </c>
      <c r="C3" s="43" t="s">
        <v>163</v>
      </c>
      <c r="D3" s="43"/>
      <c r="E3" s="156"/>
      <c r="F3" s="43"/>
      <c r="G3" s="43"/>
      <c r="H3" s="43"/>
      <c r="I3" s="43"/>
      <c r="J3" s="43"/>
      <c r="K3" s="96"/>
    </row>
    <row r="4" spans="1:11">
      <c r="A4" s="353" t="s">
        <v>164</v>
      </c>
      <c r="B4" s="49">
        <f>IF(ISERROR('SEAP template'!B78+'SEAP template'!C78),0,'SEAP template'!B78+'SEAP template'!C78)</f>
        <v>145401.41684076536</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864.56268117002901</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0.20098496252242545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982.28553311568544</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11677.5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8.4117793458846971E-2</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14614.142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14614.142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0.20098496252242545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2937.2227821674037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375358.53283344634</v>
      </c>
      <c r="C5" s="17">
        <f>IF(ISERROR('Eigen informatie GS &amp; warmtenet'!B57),0,'Eigen informatie GS &amp; warmtenet'!B57)</f>
        <v>0</v>
      </c>
      <c r="D5" s="30">
        <f>(SUM(HH_hh_gas_kWh,HH_rest_gas_kWh)/1000)*0.902</f>
        <v>1228457.2845739196</v>
      </c>
      <c r="E5" s="17">
        <f>B32*B41</f>
        <v>19779.282663475591</v>
      </c>
      <c r="F5" s="17">
        <f>B36*B45</f>
        <v>606145.46800848271</v>
      </c>
      <c r="G5" s="18"/>
      <c r="H5" s="17"/>
      <c r="I5" s="17"/>
      <c r="J5" s="17">
        <f>B35*B44+C35*C44</f>
        <v>11479.188222749912</v>
      </c>
      <c r="K5" s="17"/>
      <c r="L5" s="17"/>
      <c r="M5" s="17"/>
      <c r="N5" s="17">
        <f>B34*B43+C34*C43</f>
        <v>176787.54198263236</v>
      </c>
      <c r="O5" s="17">
        <f>B52*B53*B54</f>
        <v>1364.7900000000002</v>
      </c>
      <c r="P5" s="17">
        <f>B60*B61*B62/1000-B60*B61*B62/1000/B63</f>
        <v>2211.7333333333336</v>
      </c>
    </row>
    <row r="6" spans="1:16">
      <c r="A6" s="16" t="s">
        <v>592</v>
      </c>
      <c r="B6" s="733">
        <f>kWh_PV_kleiner_dan_10kW</f>
        <v>16462.074944218453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391820.60777766479</v>
      </c>
      <c r="C8" s="21">
        <f>C5</f>
        <v>0</v>
      </c>
      <c r="D8" s="21">
        <f>D5</f>
        <v>1228457.2845739196</v>
      </c>
      <c r="E8" s="21">
        <f>E5</f>
        <v>19779.282663475591</v>
      </c>
      <c r="F8" s="21">
        <f>F5</f>
        <v>606145.46800848271</v>
      </c>
      <c r="G8" s="21"/>
      <c r="H8" s="21"/>
      <c r="I8" s="21"/>
      <c r="J8" s="21">
        <f>J5</f>
        <v>11479.188222749912</v>
      </c>
      <c r="K8" s="21"/>
      <c r="L8" s="21">
        <f>L5</f>
        <v>0</v>
      </c>
      <c r="M8" s="21">
        <f>M5</f>
        <v>0</v>
      </c>
      <c r="N8" s="21">
        <f>N5</f>
        <v>176787.54198263236</v>
      </c>
      <c r="O8" s="21">
        <f>O5</f>
        <v>1364.7900000000002</v>
      </c>
      <c r="P8" s="21">
        <f>P5</f>
        <v>2211.7333333333336</v>
      </c>
    </row>
    <row r="9" spans="1:16">
      <c r="B9" s="19"/>
      <c r="C9" s="19"/>
      <c r="D9" s="257"/>
      <c r="E9" s="19"/>
      <c r="F9" s="19"/>
      <c r="G9" s="19"/>
      <c r="H9" s="19"/>
      <c r="I9" s="19"/>
      <c r="J9" s="19"/>
      <c r="K9" s="19"/>
      <c r="L9" s="19"/>
      <c r="M9" s="19"/>
      <c r="N9" s="19"/>
      <c r="O9" s="19"/>
      <c r="P9" s="19"/>
    </row>
    <row r="10" spans="1:16">
      <c r="A10" s="24" t="s">
        <v>207</v>
      </c>
      <c r="B10" s="25">
        <f ca="1">'EF ele_warmte'!B12</f>
        <v>0.20098496252242545</v>
      </c>
      <c r="C10" s="25">
        <f ca="1">'EF ele_warmte'!B22</f>
        <v>8.4117793458846971E-2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78750.050169707916</v>
      </c>
      <c r="C12" s="23">
        <f ca="1">C10*C8</f>
        <v>0</v>
      </c>
      <c r="D12" s="23">
        <f>D8*D10</f>
        <v>248148.37148393178</v>
      </c>
      <c r="E12" s="23">
        <f>E10*E8</f>
        <v>4489.8971646089594</v>
      </c>
      <c r="F12" s="23">
        <f>F10*F8</f>
        <v>161840.8399582649</v>
      </c>
      <c r="G12" s="23"/>
      <c r="H12" s="23"/>
      <c r="I12" s="23"/>
      <c r="J12" s="23">
        <f>J10*J8</f>
        <v>4063.6326308534685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116518</v>
      </c>
      <c r="C26" s="36"/>
      <c r="D26" s="227"/>
    </row>
    <row r="27" spans="1:5" s="15" customFormat="1">
      <c r="A27" s="229" t="s">
        <v>697</v>
      </c>
      <c r="B27" s="37">
        <f>SUM(HH_hh_gas_aantal,HH_rest_gas_aantal)</f>
        <v>86271</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81957.45</v>
      </c>
      <c r="C31" s="34" t="s">
        <v>104</v>
      </c>
      <c r="D31" s="173"/>
    </row>
    <row r="32" spans="1:5">
      <c r="A32" s="170" t="s">
        <v>72</v>
      </c>
      <c r="B32" s="33">
        <f>IF((B21*($B$26-($B$27-0.05*$B$27)-$B$60))&lt;0,0,B21*($B$26-($B$27-0.05*$B$27)-$B$60))</f>
        <v>862.54533633690301</v>
      </c>
      <c r="C32" s="34" t="s">
        <v>104</v>
      </c>
      <c r="D32" s="173"/>
    </row>
    <row r="33" spans="1:6">
      <c r="A33" s="170" t="s">
        <v>73</v>
      </c>
      <c r="B33" s="33">
        <f>IF((B22*($B$26-($B$27-0.05*$B$27)-$B$60))&lt;0,0,B22*($B$26-($B$27-0.05*$B$27)-$B$60))</f>
        <v>5805.9417407936799</v>
      </c>
      <c r="C33" s="34" t="s">
        <v>104</v>
      </c>
      <c r="D33" s="173"/>
    </row>
    <row r="34" spans="1:6">
      <c r="A34" s="170" t="s">
        <v>74</v>
      </c>
      <c r="B34" s="33">
        <f>IF((B24*($B$26-($B$27-0.05*$B$27)-$B$60))&lt;0,0,B24*($B$26-($B$27-0.05*$B$27)-$B$60))</f>
        <v>1473.046116380212</v>
      </c>
      <c r="C34" s="33">
        <f>B26*C24</f>
        <v>23834.929959970057</v>
      </c>
      <c r="D34" s="232"/>
    </row>
    <row r="35" spans="1:6">
      <c r="A35" s="170" t="s">
        <v>76</v>
      </c>
      <c r="B35" s="33">
        <f>IF((B19*($B$26-($B$27-0.05*$B$27)-$B$60))&lt;0,0,B19*($B$26-($B$27-0.05*$B$27)-$B$60))</f>
        <v>547.43232303110642</v>
      </c>
      <c r="C35" s="33">
        <f>B35/2</f>
        <v>273.71616151555321</v>
      </c>
      <c r="D35" s="232"/>
    </row>
    <row r="36" spans="1:6">
      <c r="A36" s="170" t="s">
        <v>77</v>
      </c>
      <c r="B36" s="33">
        <f>IF((B18*($B$26-($B$27-0.05*$B$27)-$B$60))&lt;0,0,B18*($B$26-($B$27-0.05*$B$27)-$B$60))</f>
        <v>25755.584483458104</v>
      </c>
      <c r="C36" s="34" t="s">
        <v>104</v>
      </c>
      <c r="D36" s="173"/>
    </row>
    <row r="37" spans="1:6">
      <c r="A37" s="170" t="s">
        <v>78</v>
      </c>
      <c r="B37" s="33">
        <f>B60</f>
        <v>116</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873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116</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719491.21030041599</v>
      </c>
      <c r="C5" s="17">
        <f>IF(ISERROR('Eigen informatie GS &amp; warmtenet'!B58),0,'Eigen informatie GS &amp; warmtenet'!B58)</f>
        <v>0</v>
      </c>
      <c r="D5" s="30">
        <f>SUM(D6:D12)</f>
        <v>893411.16145407362</v>
      </c>
      <c r="E5" s="17">
        <f>SUM(E6:E12)</f>
        <v>3663.8867798234796</v>
      </c>
      <c r="F5" s="17">
        <f>SUM(F6:F12)</f>
        <v>106664.62251429789</v>
      </c>
      <c r="G5" s="18"/>
      <c r="H5" s="17"/>
      <c r="I5" s="17"/>
      <c r="J5" s="17">
        <f>SUM(J6:J12)</f>
        <v>4333.1707649732352</v>
      </c>
      <c r="K5" s="17"/>
      <c r="L5" s="17"/>
      <c r="M5" s="17"/>
      <c r="N5" s="17">
        <f>SUM(N6:N12)</f>
        <v>34578.124512338742</v>
      </c>
      <c r="O5" s="17">
        <f>B38*B39*B40</f>
        <v>25.013333333333335</v>
      </c>
      <c r="P5" s="17">
        <f>B46*B47*B48/1000-B46*B47*B48/1000/B49</f>
        <v>266.93333333333334</v>
      </c>
      <c r="R5" s="32"/>
    </row>
    <row r="6" spans="1:18">
      <c r="A6" s="32" t="s">
        <v>53</v>
      </c>
      <c r="B6" s="37">
        <f>B26</f>
        <v>194826.17467273798</v>
      </c>
      <c r="C6" s="33"/>
      <c r="D6" s="37">
        <f>IF(ISERROR(TER_kantoor_gas_kWh/1000),0,TER_kantoor_gas_kWh/1000)*0.902</f>
        <v>341836.66366035695</v>
      </c>
      <c r="E6" s="33">
        <f>$C$26*'E Balans VL '!I12/100/3.6*1000000</f>
        <v>1644.5028398481988</v>
      </c>
      <c r="F6" s="33">
        <f>$C$26*('E Balans VL '!L12+'E Balans VL '!N12)/100/3.6*1000000</f>
        <v>26124.032891514707</v>
      </c>
      <c r="G6" s="34"/>
      <c r="H6" s="33"/>
      <c r="I6" s="33"/>
      <c r="J6" s="33">
        <f>$C$26*('E Balans VL '!D12+'E Balans VL '!E12)/100/3.6*1000000</f>
        <v>0</v>
      </c>
      <c r="K6" s="33"/>
      <c r="L6" s="33"/>
      <c r="M6" s="33"/>
      <c r="N6" s="33">
        <f>$C$26*'E Balans VL '!Y12/100/3.6*1000000</f>
        <v>1713.4359503405976</v>
      </c>
      <c r="O6" s="33"/>
      <c r="P6" s="33"/>
      <c r="R6" s="32"/>
    </row>
    <row r="7" spans="1:18">
      <c r="A7" s="32" t="s">
        <v>52</v>
      </c>
      <c r="B7" s="37">
        <f t="shared" ref="B7:B12" si="0">B27</f>
        <v>56938.6459270989</v>
      </c>
      <c r="C7" s="33"/>
      <c r="D7" s="37">
        <f>IF(ISERROR(TER_horeca_gas_kWh/1000),0,TER_horeca_gas_kWh/1000)*0.902</f>
        <v>89926.963916818</v>
      </c>
      <c r="E7" s="33">
        <f>$C$27*'E Balans VL '!I9/100/3.6*1000000</f>
        <v>748.62952014522045</v>
      </c>
      <c r="F7" s="33">
        <f>$C$27*('E Balans VL '!L9+'E Balans VL '!N9)/100/3.6*1000000</f>
        <v>14299.420521045347</v>
      </c>
      <c r="G7" s="34"/>
      <c r="H7" s="33"/>
      <c r="I7" s="33"/>
      <c r="J7" s="33">
        <f>$C$27*('E Balans VL '!D9+'E Balans VL '!E9)/100/3.6*1000000</f>
        <v>0</v>
      </c>
      <c r="K7" s="33"/>
      <c r="L7" s="33"/>
      <c r="M7" s="33"/>
      <c r="N7" s="33">
        <f>$C$27*'E Balans VL '!Y9/100/3.6*1000000</f>
        <v>15.50084743880074</v>
      </c>
      <c r="O7" s="33"/>
      <c r="P7" s="33"/>
      <c r="R7" s="32"/>
    </row>
    <row r="8" spans="1:18">
      <c r="A8" s="6" t="s">
        <v>51</v>
      </c>
      <c r="B8" s="37">
        <f t="shared" si="0"/>
        <v>159588.054449597</v>
      </c>
      <c r="C8" s="33"/>
      <c r="D8" s="37">
        <f>IF(ISERROR(TER_handel_gas_kWh/1000),0,TER_handel_gas_kWh/1000)*0.902</f>
        <v>84535.253381348433</v>
      </c>
      <c r="E8" s="33">
        <f>$C$28*'E Balans VL '!I13/100/3.6*1000000</f>
        <v>698.89479793988335</v>
      </c>
      <c r="F8" s="33">
        <f>$C$28*('E Balans VL '!L13+'E Balans VL '!N13)/100/3.6*1000000</f>
        <v>10726.650714054913</v>
      </c>
      <c r="G8" s="34"/>
      <c r="H8" s="33"/>
      <c r="I8" s="33"/>
      <c r="J8" s="33">
        <f>$C$28*('E Balans VL '!D13+'E Balans VL '!E13)/100/3.6*1000000</f>
        <v>0</v>
      </c>
      <c r="K8" s="33"/>
      <c r="L8" s="33"/>
      <c r="M8" s="33"/>
      <c r="N8" s="33">
        <f>$C$28*'E Balans VL '!Y13/100/3.6*1000000</f>
        <v>471.46385221932917</v>
      </c>
      <c r="O8" s="33"/>
      <c r="P8" s="33"/>
      <c r="R8" s="32"/>
    </row>
    <row r="9" spans="1:18">
      <c r="A9" s="32" t="s">
        <v>50</v>
      </c>
      <c r="B9" s="37">
        <f t="shared" si="0"/>
        <v>98992.742851442395</v>
      </c>
      <c r="C9" s="33"/>
      <c r="D9" s="37">
        <f>IF(ISERROR(TER_gezond_gas_kWh/1000),0,TER_gezond_gas_kWh/1000)*0.902</f>
        <v>100827.2855958554</v>
      </c>
      <c r="E9" s="33">
        <f>$C$29*'E Balans VL '!I10/100/3.6*1000000</f>
        <v>34.044041323013836</v>
      </c>
      <c r="F9" s="33">
        <f>$C$29*('E Balans VL '!L10+'E Balans VL '!N10)/100/3.6*1000000</f>
        <v>8652.355638161087</v>
      </c>
      <c r="G9" s="34"/>
      <c r="H9" s="33"/>
      <c r="I9" s="33"/>
      <c r="J9" s="33">
        <f>$C$29*('E Balans VL '!D10+'E Balans VL '!E10)/100/3.6*1000000</f>
        <v>4106.3038683310278</v>
      </c>
      <c r="K9" s="33"/>
      <c r="L9" s="33"/>
      <c r="M9" s="33"/>
      <c r="N9" s="33">
        <f>$C$29*'E Balans VL '!Y10/100/3.6*1000000</f>
        <v>1037.9023272711122</v>
      </c>
      <c r="O9" s="33"/>
      <c r="P9" s="33"/>
      <c r="R9" s="32"/>
    </row>
    <row r="10" spans="1:18">
      <c r="A10" s="32" t="s">
        <v>49</v>
      </c>
      <c r="B10" s="37">
        <f t="shared" si="0"/>
        <v>43728.600753462</v>
      </c>
      <c r="C10" s="33"/>
      <c r="D10" s="37">
        <f>IF(ISERROR(TER_ander_gas_kWh/1000),0,TER_ander_gas_kWh/1000)*0.902</f>
        <v>47343.947320339867</v>
      </c>
      <c r="E10" s="33">
        <f>$C$30*'E Balans VL '!I14/100/3.6*1000000</f>
        <v>26.006994431615208</v>
      </c>
      <c r="F10" s="33">
        <f>$C$30*('E Balans VL '!L14+'E Balans VL '!N14)/100/3.6*1000000</f>
        <v>7742.2860260266625</v>
      </c>
      <c r="G10" s="34"/>
      <c r="H10" s="33"/>
      <c r="I10" s="33"/>
      <c r="J10" s="33">
        <f>$C$30*('E Balans VL '!D14+'E Balans VL '!E14)/100/3.6*1000000</f>
        <v>0</v>
      </c>
      <c r="K10" s="33"/>
      <c r="L10" s="33"/>
      <c r="M10" s="33"/>
      <c r="N10" s="33">
        <f>$C$30*'E Balans VL '!Y14/100/3.6*1000000</f>
        <v>25964.5523912877</v>
      </c>
      <c r="O10" s="33"/>
      <c r="P10" s="33"/>
      <c r="R10" s="32"/>
    </row>
    <row r="11" spans="1:18">
      <c r="A11" s="32" t="s">
        <v>54</v>
      </c>
      <c r="B11" s="37">
        <f t="shared" si="0"/>
        <v>90918.294695144199</v>
      </c>
      <c r="C11" s="33"/>
      <c r="D11" s="37">
        <f>IF(ISERROR(TER_onderwijs_gas_kWh/1000),0,TER_onderwijs_gas_kWh/1000)*0.902</f>
        <v>127383.08235974809</v>
      </c>
      <c r="E11" s="33">
        <f>$C$31*'E Balans VL '!I11/100/3.6*1000000</f>
        <v>60.474396736644628</v>
      </c>
      <c r="F11" s="33">
        <f>$C$31*('E Balans VL '!L11+'E Balans VL '!N11)/100/3.6*1000000</f>
        <v>29128.450094323176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74498.696950933503</v>
      </c>
      <c r="C12" s="33"/>
      <c r="D12" s="37">
        <f>IF(ISERROR(TER_rest_gas_kWh/1000),0,TER_rest_gas_kWh/1000)*0.902</f>
        <v>101557.96521960683</v>
      </c>
      <c r="E12" s="33">
        <f>$C$32*'E Balans VL '!I8/100/3.6*1000000</f>
        <v>451.33418939890254</v>
      </c>
      <c r="F12" s="33">
        <f>$C$32*('E Balans VL '!L8+'E Balans VL '!N8)/100/3.6*1000000</f>
        <v>9991.4266291719996</v>
      </c>
      <c r="G12" s="34"/>
      <c r="H12" s="33"/>
      <c r="I12" s="33"/>
      <c r="J12" s="33">
        <f>$C$32*('E Balans VL '!D8+'E Balans VL '!E8)/100/3.6*1000000</f>
        <v>226.86689664220748</v>
      </c>
      <c r="K12" s="33"/>
      <c r="L12" s="33"/>
      <c r="M12" s="33"/>
      <c r="N12" s="33">
        <f>$C$32*'E Balans VL '!Y8/100/3.6*1000000</f>
        <v>5375.2691437812045</v>
      </c>
      <c r="O12" s="33"/>
      <c r="P12" s="33"/>
      <c r="R12" s="32"/>
    </row>
    <row r="13" spans="1:18">
      <c r="A13" s="16" t="s">
        <v>483</v>
      </c>
      <c r="B13" s="245">
        <f ca="1">'lokale energieproductie'!N41+'lokale energieproductie'!N34</f>
        <v>2236.5</v>
      </c>
      <c r="C13" s="245">
        <f ca="1">'lokale energieproductie'!O41+'lokale energieproductie'!O34</f>
        <v>540.00000000000011</v>
      </c>
      <c r="D13" s="305">
        <f ca="1">('lokale energieproductie'!P34+'lokale energieproductie'!P41)*(-1)</f>
        <v>-964.28571428571456</v>
      </c>
      <c r="E13" s="246"/>
      <c r="F13" s="305">
        <f ca="1">('lokale energieproductie'!S34+'lokale energieproductie'!S41)*(-1)</f>
        <v>0</v>
      </c>
      <c r="G13" s="247"/>
      <c r="H13" s="246"/>
      <c r="I13" s="246"/>
      <c r="J13" s="246"/>
      <c r="K13" s="246"/>
      <c r="L13" s="305">
        <f ca="1">('lokale energieproductie'!U34+'lokale energieproductie'!T34+'lokale energieproductie'!U41+'lokale energieproductie'!T41)*(-1)</f>
        <v>-115.71428571428572</v>
      </c>
      <c r="M13" s="246"/>
      <c r="N13" s="305">
        <f ca="1">('lokale energieproductie'!Q34+'lokale energieproductie'!R34+'lokale energieproductie'!V34+'lokale energieproductie'!Q41+'lokale energieproductie'!R41+'lokale energieproductie'!V41)*(-1)</f>
        <v>-5310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721727.71030041599</v>
      </c>
      <c r="C16" s="21">
        <f t="shared" ca="1" si="1"/>
        <v>540.00000000000011</v>
      </c>
      <c r="D16" s="21">
        <f t="shared" ca="1" si="1"/>
        <v>892446.87573978794</v>
      </c>
      <c r="E16" s="21">
        <f t="shared" si="1"/>
        <v>3663.8867798234796</v>
      </c>
      <c r="F16" s="21">
        <f t="shared" ca="1" si="1"/>
        <v>106664.62251429789</v>
      </c>
      <c r="G16" s="21">
        <f t="shared" si="1"/>
        <v>0</v>
      </c>
      <c r="H16" s="21">
        <f t="shared" si="1"/>
        <v>0</v>
      </c>
      <c r="I16" s="21">
        <f t="shared" si="1"/>
        <v>0</v>
      </c>
      <c r="J16" s="21">
        <f t="shared" si="1"/>
        <v>4333.1707649732352</v>
      </c>
      <c r="K16" s="21">
        <f t="shared" si="1"/>
        <v>0</v>
      </c>
      <c r="L16" s="21">
        <f t="shared" ca="1" si="1"/>
        <v>0</v>
      </c>
      <c r="M16" s="21">
        <f t="shared" si="1"/>
        <v>0</v>
      </c>
      <c r="N16" s="21">
        <f t="shared" ca="1" si="1"/>
        <v>29268.124512338742</v>
      </c>
      <c r="O16" s="21">
        <f>O5</f>
        <v>25.013333333333335</v>
      </c>
      <c r="P16" s="21">
        <f>P5</f>
        <v>266.93333333333334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0.20098496252242545</v>
      </c>
      <c r="C18" s="25">
        <f ca="1">'EF ele_warmte'!B22</f>
        <v>8.4117793458846971E-2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145056.41680612505</v>
      </c>
      <c r="C20" s="23">
        <f t="shared" ref="C20:P20" ca="1" si="2">C16*C18</f>
        <v>45.42360846777737</v>
      </c>
      <c r="D20" s="23">
        <f t="shared" ca="1" si="2"/>
        <v>180274.26889943719</v>
      </c>
      <c r="E20" s="23">
        <f t="shared" si="2"/>
        <v>831.70229901992991</v>
      </c>
      <c r="F20" s="23">
        <f t="shared" ca="1" si="2"/>
        <v>28479.454211317541</v>
      </c>
      <c r="G20" s="23">
        <f t="shared" si="2"/>
        <v>0</v>
      </c>
      <c r="H20" s="23">
        <f t="shared" si="2"/>
        <v>0</v>
      </c>
      <c r="I20" s="23">
        <f t="shared" si="2"/>
        <v>0</v>
      </c>
      <c r="J20" s="23">
        <f t="shared" si="2"/>
        <v>1533.9424508005252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194826.17467273798</v>
      </c>
      <c r="C26" s="39">
        <f>IF(ISERROR(B26*3.6/1000000/'E Balans VL '!Z12*100),0,B26*3.6/1000000/'E Balans VL '!Z12*100)</f>
        <v>4.0833147524625018</v>
      </c>
      <c r="D26" s="235" t="s">
        <v>647</v>
      </c>
      <c r="F26" s="6"/>
    </row>
    <row r="27" spans="1:18">
      <c r="A27" s="230" t="s">
        <v>52</v>
      </c>
      <c r="B27" s="33">
        <f>IF(ISERROR(TER_horeca_ele_kWh/1000),0,TER_horeca_ele_kWh/1000)</f>
        <v>56938.6459270989</v>
      </c>
      <c r="C27" s="39">
        <f>IF(ISERROR(B27*3.6/1000000/'E Balans VL '!Z9*100),0,B27*3.6/1000000/'E Balans VL '!Z9*100)</f>
        <v>4.3654761857658384</v>
      </c>
      <c r="D27" s="235" t="s">
        <v>647</v>
      </c>
      <c r="F27" s="6"/>
    </row>
    <row r="28" spans="1:18">
      <c r="A28" s="170" t="s">
        <v>51</v>
      </c>
      <c r="B28" s="33">
        <f>IF(ISERROR(TER_handel_ele_kWh/1000),0,TER_handel_ele_kWh/1000)</f>
        <v>159588.054449597</v>
      </c>
      <c r="C28" s="39">
        <f>IF(ISERROR(B28*3.6/1000000/'E Balans VL '!Z13*100),0,B28*3.6/1000000/'E Balans VL '!Z13*100)</f>
        <v>4.5022144434603746</v>
      </c>
      <c r="D28" s="235" t="s">
        <v>647</v>
      </c>
      <c r="F28" s="6"/>
    </row>
    <row r="29" spans="1:18">
      <c r="A29" s="230" t="s">
        <v>50</v>
      </c>
      <c r="B29" s="33">
        <f>IF(ISERROR(TER_gezond_ele_kWh/1000),0,TER_gezond_ele_kWh/1000)</f>
        <v>98992.742851442395</v>
      </c>
      <c r="C29" s="39">
        <f>IF(ISERROR(B29*3.6/1000000/'E Balans VL '!Z10*100),0,B29*3.6/1000000/'E Balans VL '!Z10*100)</f>
        <v>10.991912917971032</v>
      </c>
      <c r="D29" s="235" t="s">
        <v>647</v>
      </c>
      <c r="F29" s="6"/>
    </row>
    <row r="30" spans="1:18">
      <c r="A30" s="230" t="s">
        <v>49</v>
      </c>
      <c r="B30" s="33">
        <f>IF(ISERROR(TER_ander_ele_kWh/1000),0,TER_ander_ele_kWh/1000)</f>
        <v>43728.600753462</v>
      </c>
      <c r="C30" s="39">
        <f>IF(ISERROR(B30*3.6/1000000/'E Balans VL '!Z14*100),0,B30*3.6/1000000/'E Balans VL '!Z14*100)</f>
        <v>3.1552559747918809</v>
      </c>
      <c r="D30" s="235" t="s">
        <v>647</v>
      </c>
      <c r="F30" s="6"/>
    </row>
    <row r="31" spans="1:18">
      <c r="A31" s="230" t="s">
        <v>54</v>
      </c>
      <c r="B31" s="33">
        <f>IF(ISERROR(TER_onderwijs_ele_kWh/1000),0,TER_onderwijs_ele_kWh/1000)</f>
        <v>90918.294695144199</v>
      </c>
      <c r="C31" s="39">
        <f>IF(ISERROR(B31*3.6/1000000/'E Balans VL '!Z11*100),0,B31*3.6/1000000/'E Balans VL '!Z11*100)</f>
        <v>25.201831116216422</v>
      </c>
      <c r="D31" s="235" t="s">
        <v>647</v>
      </c>
    </row>
    <row r="32" spans="1:18">
      <c r="A32" s="230" t="s">
        <v>249</v>
      </c>
      <c r="B32" s="33">
        <f>IF(ISERROR(TER_rest_ele_kWh/1000),0,TER_rest_ele_kWh/1000)</f>
        <v>74498.696950933503</v>
      </c>
      <c r="C32" s="39">
        <f>IF(ISERROR(B32*3.6/1000000/'E Balans VL '!Z8*100),0,B32*3.6/1000000/'E Balans VL '!Z8*100)</f>
        <v>0.60728607814282942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16</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14</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384275.03611205705</v>
      </c>
      <c r="C5" s="17">
        <f>IF(ISERROR('Eigen informatie GS &amp; warmtenet'!B59),0,'Eigen informatie GS &amp; warmtenet'!B59)</f>
        <v>0</v>
      </c>
      <c r="D5" s="30">
        <f>SUM(D6:D15)</f>
        <v>345886.10859603318</v>
      </c>
      <c r="E5" s="17">
        <f>SUM(E6:E15)</f>
        <v>22809.208533619694</v>
      </c>
      <c r="F5" s="17">
        <f>SUM(F6:F15)</f>
        <v>130283.31621887733</v>
      </c>
      <c r="G5" s="18"/>
      <c r="H5" s="17"/>
      <c r="I5" s="17"/>
      <c r="J5" s="17">
        <f>SUM(J6:J15)</f>
        <v>857.97898802299324</v>
      </c>
      <c r="K5" s="17"/>
      <c r="L5" s="17"/>
      <c r="M5" s="17"/>
      <c r="N5" s="17">
        <f>SUM(N6:N15)</f>
        <v>20381.183136582415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31354.449407478001</v>
      </c>
      <c r="C8" s="33"/>
      <c r="D8" s="37">
        <f>IF( ISERROR(IND_metaal_Gas_kWH/1000),0,IND_metaal_Gas_kWH/1000)*0.902</f>
        <v>26892.919174122959</v>
      </c>
      <c r="E8" s="33">
        <f>C30*'E Balans VL '!I18/100/3.6*1000000</f>
        <v>900.61747714778403</v>
      </c>
      <c r="F8" s="33">
        <f>C30*'E Balans VL '!L18/100/3.6*1000000+C30*'E Balans VL '!N18/100/3.6*1000000</f>
        <v>8041.8132402933943</v>
      </c>
      <c r="G8" s="34"/>
      <c r="H8" s="33"/>
      <c r="I8" s="33"/>
      <c r="J8" s="40">
        <f>C30*'E Balans VL '!D18/100/3.6*1000000+C30*'E Balans VL '!E18/100/3.6*1000000</f>
        <v>0</v>
      </c>
      <c r="K8" s="33"/>
      <c r="L8" s="33"/>
      <c r="M8" s="33"/>
      <c r="N8" s="33">
        <f>C30*'E Balans VL '!Y18/100/3.6*1000000</f>
        <v>851.33730491213828</v>
      </c>
      <c r="O8" s="33"/>
      <c r="P8" s="33"/>
      <c r="R8" s="32"/>
    </row>
    <row r="9" spans="1:18">
      <c r="A9" s="6" t="s">
        <v>32</v>
      </c>
      <c r="B9" s="37">
        <f t="shared" si="0"/>
        <v>37999.802967372794</v>
      </c>
      <c r="C9" s="33"/>
      <c r="D9" s="37">
        <f>IF( ISERROR(IND_andere_gas_kWh/1000),0,IND_andere_gas_kWh/1000)*0.902</f>
        <v>66160.058434552018</v>
      </c>
      <c r="E9" s="33">
        <f>C31*'E Balans VL '!I19/100/3.6*1000000</f>
        <v>10285.612360575324</v>
      </c>
      <c r="F9" s="33">
        <f>C31*'E Balans VL '!L19/100/3.6*1000000+C31*'E Balans VL '!N19/100/3.6*1000000</f>
        <v>25311.889995417696</v>
      </c>
      <c r="G9" s="34"/>
      <c r="H9" s="33"/>
      <c r="I9" s="33"/>
      <c r="J9" s="40">
        <f>C31*'E Balans VL '!D19/100/3.6*1000000+C31*'E Balans VL '!E19/100/3.6*1000000</f>
        <v>0</v>
      </c>
      <c r="K9" s="33"/>
      <c r="L9" s="33"/>
      <c r="M9" s="33"/>
      <c r="N9" s="33">
        <f>C31*'E Balans VL '!Y19/100/3.6*1000000</f>
        <v>3212.6316209415622</v>
      </c>
      <c r="O9" s="33"/>
      <c r="P9" s="33"/>
      <c r="R9" s="32"/>
    </row>
    <row r="10" spans="1:18">
      <c r="A10" s="6" t="s">
        <v>40</v>
      </c>
      <c r="B10" s="37">
        <f t="shared" si="0"/>
        <v>17805.521938684898</v>
      </c>
      <c r="C10" s="33"/>
      <c r="D10" s="37">
        <f>IF( ISERROR(IND_voed_gas_kWh/1000),0,IND_voed_gas_kWh/1000)*0.902</f>
        <v>26894.31762999795</v>
      </c>
      <c r="E10" s="33">
        <f>C32*'E Balans VL '!I20/100/3.6*1000000</f>
        <v>1452.2592764413357</v>
      </c>
      <c r="F10" s="33">
        <f>C32*'E Balans VL '!L20/100/3.6*1000000+C32*'E Balans VL '!N20/100/3.6*1000000</f>
        <v>26549.648669078015</v>
      </c>
      <c r="G10" s="34"/>
      <c r="H10" s="33"/>
      <c r="I10" s="33"/>
      <c r="J10" s="40">
        <f>C32*'E Balans VL '!D20/100/3.6*1000000+C32*'E Balans VL '!E20/100/3.6*1000000</f>
        <v>0.23554544224456536</v>
      </c>
      <c r="K10" s="33"/>
      <c r="L10" s="33"/>
      <c r="M10" s="33"/>
      <c r="N10" s="33">
        <f>C32*'E Balans VL '!Y20/100/3.6*1000000</f>
        <v>5230.6340564634775</v>
      </c>
      <c r="O10" s="33"/>
      <c r="P10" s="33"/>
      <c r="R10" s="32"/>
    </row>
    <row r="11" spans="1:18">
      <c r="A11" s="6" t="s">
        <v>39</v>
      </c>
      <c r="B11" s="37">
        <f t="shared" si="0"/>
        <v>348.95999240280099</v>
      </c>
      <c r="C11" s="33"/>
      <c r="D11" s="37">
        <f>IF( ISERROR(IND_textiel_gas_kWh/1000),0,IND_textiel_gas_kWh/1000)*0.902</f>
        <v>487.80015531588805</v>
      </c>
      <c r="E11" s="33">
        <f>C33*'E Balans VL '!I21/100/3.6*1000000</f>
        <v>6.9171010114392958E-2</v>
      </c>
      <c r="F11" s="33">
        <f>C33*'E Balans VL '!L21/100/3.6*1000000+C33*'E Balans VL '!N21/100/3.6*1000000</f>
        <v>12.852617541770027</v>
      </c>
      <c r="G11" s="34"/>
      <c r="H11" s="33"/>
      <c r="I11" s="33"/>
      <c r="J11" s="40">
        <f>C33*'E Balans VL '!D21/100/3.6*1000000+C33*'E Balans VL '!E21/100/3.6*1000000</f>
        <v>0</v>
      </c>
      <c r="K11" s="33"/>
      <c r="L11" s="33"/>
      <c r="M11" s="33"/>
      <c r="N11" s="33">
        <f>C33*'E Balans VL '!Y21/100/3.6*1000000</f>
        <v>1.6225758725681312</v>
      </c>
      <c r="O11" s="33"/>
      <c r="P11" s="33"/>
      <c r="R11" s="32"/>
    </row>
    <row r="12" spans="1:18">
      <c r="A12" s="6" t="s">
        <v>36</v>
      </c>
      <c r="B12" s="37">
        <f t="shared" si="0"/>
        <v>78836.678193114203</v>
      </c>
      <c r="C12" s="33"/>
      <c r="D12" s="37">
        <f>IF( ISERROR(IND_min_gas_kWh/1000),0,IND_min_gas_kWh/1000)*0.902</f>
        <v>176.74582838883822</v>
      </c>
      <c r="E12" s="33">
        <f>C34*'E Balans VL '!I22/100/3.6*1000000</f>
        <v>614.12054534336289</v>
      </c>
      <c r="F12" s="33">
        <f>C34*'E Balans VL '!L22/100/3.6*1000000+C34*'E Balans VL '!N22/100/3.6*1000000</f>
        <v>29732.350352600864</v>
      </c>
      <c r="G12" s="34"/>
      <c r="H12" s="33"/>
      <c r="I12" s="33"/>
      <c r="J12" s="40">
        <f>C34*'E Balans VL '!D22/100/3.6*1000000+C34*'E Balans VL '!E22/100/3.6*1000000</f>
        <v>433.59483714056438</v>
      </c>
      <c r="K12" s="33"/>
      <c r="L12" s="33"/>
      <c r="M12" s="33"/>
      <c r="N12" s="33">
        <f>C34*'E Balans VL '!Y22/100/3.6*1000000</f>
        <v>0</v>
      </c>
      <c r="O12" s="33"/>
      <c r="P12" s="33"/>
      <c r="R12" s="32"/>
    </row>
    <row r="13" spans="1:18">
      <c r="A13" s="6" t="s">
        <v>38</v>
      </c>
      <c r="B13" s="37">
        <f t="shared" si="0"/>
        <v>13306.0494173385</v>
      </c>
      <c r="C13" s="33"/>
      <c r="D13" s="37">
        <f>IF( ISERROR(IND_papier_gas_kWh/1000),0,IND_papier_gas_kWh/1000)*0.902</f>
        <v>2213.1141027423405</v>
      </c>
      <c r="E13" s="33">
        <f>C35*'E Balans VL '!I23/100/3.6*1000000</f>
        <v>139.40510831032242</v>
      </c>
      <c r="F13" s="33">
        <f>C35*'E Balans VL '!L23/100/3.6*1000000+C35*'E Balans VL '!N23/100/3.6*1000000</f>
        <v>992.89976596627309</v>
      </c>
      <c r="G13" s="34"/>
      <c r="H13" s="33"/>
      <c r="I13" s="33"/>
      <c r="J13" s="40">
        <f>C35*'E Balans VL '!D23/100/3.6*1000000+C35*'E Balans VL '!E23/100/3.6*1000000</f>
        <v>0</v>
      </c>
      <c r="K13" s="33"/>
      <c r="L13" s="33"/>
      <c r="M13" s="33"/>
      <c r="N13" s="33">
        <f>C35*'E Balans VL '!Y23/100/3.6*1000000</f>
        <v>2454.6784076921567</v>
      </c>
      <c r="O13" s="33"/>
      <c r="P13" s="33"/>
      <c r="R13" s="32"/>
    </row>
    <row r="14" spans="1:18">
      <c r="A14" s="6" t="s">
        <v>33</v>
      </c>
      <c r="B14" s="37">
        <f t="shared" si="0"/>
        <v>39138.518124988805</v>
      </c>
      <c r="C14" s="33"/>
      <c r="D14" s="37">
        <f>IF( ISERROR(IND_chemie_gas_kWh/1000),0,IND_chemie_gas_kWh/1000)*0.902</f>
        <v>5511.2946173561604</v>
      </c>
      <c r="E14" s="33">
        <f>C36*'E Balans VL '!I24/100/3.6*1000000</f>
        <v>185.01696608397475</v>
      </c>
      <c r="F14" s="33">
        <f>C36*'E Balans VL '!L24/100/3.6*1000000+C36*'E Balans VL '!N24/100/3.6*1000000</f>
        <v>739.69698453003423</v>
      </c>
      <c r="G14" s="34"/>
      <c r="H14" s="33"/>
      <c r="I14" s="33"/>
      <c r="J14" s="40">
        <f>C36*'E Balans VL '!D24/100/3.6*1000000+C36*'E Balans VL '!E24/100/3.6*1000000</f>
        <v>0</v>
      </c>
      <c r="K14" s="33"/>
      <c r="L14" s="33"/>
      <c r="M14" s="33"/>
      <c r="N14" s="33">
        <f>C36*'E Balans VL '!Y24/100/3.6*1000000</f>
        <v>950.15081324851622</v>
      </c>
      <c r="O14" s="33"/>
      <c r="P14" s="33"/>
      <c r="R14" s="32"/>
    </row>
    <row r="15" spans="1:18">
      <c r="A15" s="6" t="s">
        <v>259</v>
      </c>
      <c r="B15" s="37">
        <f t="shared" si="0"/>
        <v>165485.056070677</v>
      </c>
      <c r="C15" s="33"/>
      <c r="D15" s="37">
        <f>IF( ISERROR(IND_rest_gas_kWh/1000),0,IND_rest_gas_kWh/1000)*0.902</f>
        <v>217549.85865355699</v>
      </c>
      <c r="E15" s="33">
        <f>C37*'E Balans VL '!I15/100/3.6*1000000</f>
        <v>9232.1076287074757</v>
      </c>
      <c r="F15" s="33">
        <f>C37*'E Balans VL '!L15/100/3.6*1000000+C37*'E Balans VL '!N15/100/3.6*1000000</f>
        <v>38902.164593449284</v>
      </c>
      <c r="G15" s="34"/>
      <c r="H15" s="33"/>
      <c r="I15" s="33"/>
      <c r="J15" s="40">
        <f>C37*'E Balans VL '!D15/100/3.6*1000000+C37*'E Balans VL '!E15/100/3.6*1000000</f>
        <v>424.14860544018427</v>
      </c>
      <c r="K15" s="33"/>
      <c r="L15" s="33"/>
      <c r="M15" s="33"/>
      <c r="N15" s="33">
        <f>C37*'E Balans VL '!Y15/100/3.6*1000000</f>
        <v>7680.1283574519966</v>
      </c>
      <c r="O15" s="33"/>
      <c r="P15" s="33"/>
      <c r="R15" s="32"/>
    </row>
    <row r="16" spans="1:18">
      <c r="A16" s="16" t="s">
        <v>483</v>
      </c>
      <c r="B16" s="245">
        <f>'lokale energieproductie'!N40+'lokale energieproductie'!N33</f>
        <v>9900</v>
      </c>
      <c r="C16" s="245">
        <f>'lokale energieproductie'!O40+'lokale energieproductie'!O33</f>
        <v>11137.5</v>
      </c>
      <c r="D16" s="305">
        <f>('lokale energieproductie'!P33+'lokale energieproductie'!P40)*(-1)</f>
        <v>0</v>
      </c>
      <c r="E16" s="246"/>
      <c r="F16" s="305">
        <f>('lokale energieproductie'!S33+'lokale energieproductie'!S40)*(-1)</f>
        <v>-6187.5</v>
      </c>
      <c r="G16" s="247"/>
      <c r="H16" s="246"/>
      <c r="I16" s="246"/>
      <c r="J16" s="246"/>
      <c r="K16" s="246"/>
      <c r="L16" s="305">
        <f>('lokale energieproductie'!T33+'lokale energieproductie'!U33+'lokale energieproductie'!T40+'lokale energieproductie'!U40)*(-1)</f>
        <v>-18562.5</v>
      </c>
      <c r="M16" s="246"/>
      <c r="N16" s="305">
        <f>('lokale energieproductie'!Q33+'lokale energieproductie'!R33+'lokale energieproductie'!V33+'lokale energieproductie'!Q40+'lokale energieproductie'!R40+'lokale energieproductie'!V40)*(-1)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394175.03611205705</v>
      </c>
      <c r="C18" s="21">
        <f>C5+C16</f>
        <v>11137.5</v>
      </c>
      <c r="D18" s="21">
        <f>MAX((D5+D16),0)</f>
        <v>345886.10859603318</v>
      </c>
      <c r="E18" s="21">
        <f>MAX((E5+E16),0)</f>
        <v>22809.208533619694</v>
      </c>
      <c r="F18" s="21">
        <f>MAX((F5+F16),0)</f>
        <v>124095.81621887733</v>
      </c>
      <c r="G18" s="21"/>
      <c r="H18" s="21"/>
      <c r="I18" s="21"/>
      <c r="J18" s="21">
        <f>MAX((J5+J16),0)</f>
        <v>857.97898802299324</v>
      </c>
      <c r="K18" s="21"/>
      <c r="L18" s="21">
        <f>MAX((L5+L16),0)</f>
        <v>0</v>
      </c>
      <c r="M18" s="21"/>
      <c r="N18" s="21">
        <f>MAX((N5+N16),0)</f>
        <v>20381.183136582415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0.20098496252242545</v>
      </c>
      <c r="C20" s="25">
        <f ca="1">'EF ele_warmte'!B22</f>
        <v>8.4117793458846971E-2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79223.254860257483</v>
      </c>
      <c r="C22" s="23">
        <f ca="1">C18*C20</f>
        <v>936.86192464790815</v>
      </c>
      <c r="D22" s="23">
        <f>D18*D20</f>
        <v>69868.993936398707</v>
      </c>
      <c r="E22" s="23">
        <f>E18*E20</f>
        <v>5177.6903371316712</v>
      </c>
      <c r="F22" s="23">
        <f>F18*F20</f>
        <v>33133.58293044025</v>
      </c>
      <c r="G22" s="23"/>
      <c r="H22" s="23"/>
      <c r="I22" s="23"/>
      <c r="J22" s="23">
        <f>J18*J20</f>
        <v>303.72456176013958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31354.449407478001</v>
      </c>
      <c r="C30" s="39">
        <f>IF(ISERROR(B30*3.6/1000000/'E Balans VL '!Z18*100),0,B30*3.6/1000000/'E Balans VL '!Z18*100)</f>
        <v>3.0851977823126977</v>
      </c>
      <c r="D30" s="235" t="s">
        <v>647</v>
      </c>
    </row>
    <row r="31" spans="1:18">
      <c r="A31" s="6" t="s">
        <v>32</v>
      </c>
      <c r="B31" s="37">
        <f>IF( ISERROR(IND_ander_ele_kWh/1000),0,IND_ander_ele_kWh/1000)</f>
        <v>37999.802967372794</v>
      </c>
      <c r="C31" s="39">
        <f>IF(ISERROR(B31*3.6/1000000/'E Balans VL '!Z19*100),0,B31*3.6/1000000/'E Balans VL '!Z19*100)</f>
        <v>1.6548611070848522</v>
      </c>
      <c r="D31" s="235" t="s">
        <v>647</v>
      </c>
    </row>
    <row r="32" spans="1:18">
      <c r="A32" s="170" t="s">
        <v>40</v>
      </c>
      <c r="B32" s="37">
        <f>IF( ISERROR(IND_voed_ele_kWh/1000),0,IND_voed_ele_kWh/1000)</f>
        <v>17805.521938684898</v>
      </c>
      <c r="C32" s="39">
        <f>IF(ISERROR(B32*3.6/1000000/'E Balans VL '!Z20*100),0,B32*3.6/1000000/'E Balans VL '!Z20*100)</f>
        <v>3.37834100430439</v>
      </c>
      <c r="D32" s="235" t="s">
        <v>647</v>
      </c>
    </row>
    <row r="33" spans="1:5">
      <c r="A33" s="170" t="s">
        <v>39</v>
      </c>
      <c r="B33" s="37">
        <f>IF( ISERROR(IND_textiel_ele_kWh/1000),0,IND_textiel_ele_kWh/1000)</f>
        <v>348.95999240280099</v>
      </c>
      <c r="C33" s="39">
        <f>IF(ISERROR(B33*3.6/1000000/'E Balans VL '!Z21*100),0,B33*3.6/1000000/'E Balans VL '!Z21*100)</f>
        <v>1.9923845900966203E-2</v>
      </c>
      <c r="D33" s="235" t="s">
        <v>647</v>
      </c>
    </row>
    <row r="34" spans="1:5">
      <c r="A34" s="170" t="s">
        <v>36</v>
      </c>
      <c r="B34" s="37">
        <f>IF( ISERROR(IND_min_ele_kWh/1000),0,IND_min_ele_kWh/1000)</f>
        <v>78836.678193114203</v>
      </c>
      <c r="C34" s="39">
        <f>IF(ISERROR(B34*3.6/1000000/'E Balans VL '!Z22*100),0,B34*3.6/1000000/'E Balans VL '!Z22*100)</f>
        <v>11.085228607198731</v>
      </c>
      <c r="D34" s="235" t="s">
        <v>647</v>
      </c>
    </row>
    <row r="35" spans="1:5">
      <c r="A35" s="170" t="s">
        <v>38</v>
      </c>
      <c r="B35" s="37">
        <f>IF( ISERROR(IND_papier_ele_kWh/1000),0,IND_papier_ele_kWh/1000)</f>
        <v>13306.0494173385</v>
      </c>
      <c r="C35" s="39">
        <f>IF(ISERROR(B35*3.6/1000000/'E Balans VL '!Z22*100),0,B35*3.6/1000000/'E Balans VL '!Z22*100)</f>
        <v>1.8709641632613061</v>
      </c>
      <c r="D35" s="235" t="s">
        <v>647</v>
      </c>
    </row>
    <row r="36" spans="1:5">
      <c r="A36" s="170" t="s">
        <v>33</v>
      </c>
      <c r="B36" s="37">
        <f>IF( ISERROR(IND_chemie_ele_kWh/1000),0,IND_chemie_ele_kWh/1000)</f>
        <v>39138.518124988805</v>
      </c>
      <c r="C36" s="39">
        <f>IF(ISERROR(B36*3.6/1000000/'E Balans VL '!Z24*100),0,B36*3.6/1000000/'E Balans VL '!Z24*100)</f>
        <v>1.1406120702301632</v>
      </c>
      <c r="D36" s="235" t="s">
        <v>647</v>
      </c>
    </row>
    <row r="37" spans="1:5">
      <c r="A37" s="170" t="s">
        <v>259</v>
      </c>
      <c r="B37" s="37">
        <f>IF( ISERROR(IND_rest_ele_kWh/1000),0,IND_rest_ele_kWh/1000)</f>
        <v>165485.056070677</v>
      </c>
      <c r="C37" s="39">
        <f>IF(ISERROR(B37*3.6/1000000/'E Balans VL '!Z15*100),0,B37*3.6/1000000/'E Balans VL '!Z15*100)</f>
        <v>1.2752656145706038</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3034.4643411941011</v>
      </c>
      <c r="C5" s="17">
        <f>'Eigen informatie GS &amp; warmtenet'!B60</f>
        <v>0</v>
      </c>
      <c r="D5" s="30">
        <f>IF(ISERROR(SUM(LB_lb_gas_kWh,LB_rest_gas_kWh)/1000),0,SUM(LB_lb_gas_kWh,LB_rest_gas_kWh)/1000)*0.902</f>
        <v>6314.4632219834257</v>
      </c>
      <c r="E5" s="17">
        <f>B17*'E Balans VL '!I25/3.6*1000000/100</f>
        <v>63.009772525005019</v>
      </c>
      <c r="F5" s="17">
        <f>B17*('E Balans VL '!L25/3.6*1000000+'E Balans VL '!N25/3.6*1000000)/100</f>
        <v>10723.874412446779</v>
      </c>
      <c r="G5" s="18"/>
      <c r="H5" s="17"/>
      <c r="I5" s="17"/>
      <c r="J5" s="17">
        <f>('E Balans VL '!D25+'E Balans VL '!E25)/3.6*1000000*landbouw!B17/100</f>
        <v>348.03386746287418</v>
      </c>
      <c r="K5" s="17"/>
      <c r="L5" s="17">
        <f>L6*(-1)</f>
        <v>0</v>
      </c>
      <c r="M5" s="17"/>
      <c r="N5" s="17">
        <f>N6*(-1)</f>
        <v>0</v>
      </c>
      <c r="O5" s="17"/>
      <c r="P5" s="17"/>
      <c r="R5" s="32"/>
    </row>
    <row r="6" spans="1:18">
      <c r="A6" s="16" t="s">
        <v>483</v>
      </c>
      <c r="B6" s="17" t="s">
        <v>204</v>
      </c>
      <c r="C6" s="17">
        <f>'lokale energieproductie'!O42+'lokale energieproductie'!O35</f>
        <v>0</v>
      </c>
      <c r="D6" s="305">
        <f>('lokale energieproductie'!P35+'lokale energieproductie'!P42)*(-1)</f>
        <v>0</v>
      </c>
      <c r="E6" s="246"/>
      <c r="F6" s="305">
        <f>('lokale energieproductie'!S35+'lokale energieproductie'!S42)*(-1)</f>
        <v>0</v>
      </c>
      <c r="G6" s="247"/>
      <c r="H6" s="246"/>
      <c r="I6" s="246"/>
      <c r="J6" s="246"/>
      <c r="K6" s="246"/>
      <c r="L6" s="305">
        <f>('lokale energieproductie'!T35+'lokale energieproductie'!U35+'lokale energieproductie'!T42+'lokale energieproductie'!U42)*(-1)</f>
        <v>0</v>
      </c>
      <c r="M6" s="246"/>
      <c r="N6" s="978">
        <f>('lokale energieproductie'!V35+'lokale energieproductie'!R35+'lokale energieproductie'!Q35+'lokale energieproductie'!Q42+'lokale energieproductie'!R42+'lokale energieproductie'!V42)*(-1)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3034.4643411941011</v>
      </c>
      <c r="C8" s="21">
        <f>C5+C6</f>
        <v>0</v>
      </c>
      <c r="D8" s="21">
        <f>MAX((D5+D6),0)</f>
        <v>6314.4632219834257</v>
      </c>
      <c r="E8" s="21">
        <f>MAX((E5+E6),0)</f>
        <v>63.009772525005019</v>
      </c>
      <c r="F8" s="21">
        <f>MAX((F5+F6),0)</f>
        <v>10723.874412446779</v>
      </c>
      <c r="G8" s="21"/>
      <c r="H8" s="21"/>
      <c r="I8" s="21"/>
      <c r="J8" s="21">
        <f>MAX((J5+J6),0)</f>
        <v>348.03386746287418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0.20098496252242545</v>
      </c>
      <c r="C10" s="31">
        <f ca="1">'EF ele_warmte'!B22</f>
        <v>8.4117793458846971E-2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609.8817018905329</v>
      </c>
      <c r="C12" s="23">
        <f ca="1">C8*C10</f>
        <v>0</v>
      </c>
      <c r="D12" s="23">
        <f>D8*D10</f>
        <v>1275.521570840652</v>
      </c>
      <c r="E12" s="23">
        <f>E8*E10</f>
        <v>14.303218363176139</v>
      </c>
      <c r="F12" s="23">
        <f>F8*F10</f>
        <v>2863.2744681232903</v>
      </c>
      <c r="G12" s="23"/>
      <c r="H12" s="23"/>
      <c r="I12" s="23"/>
      <c r="J12" s="23">
        <f>J8*J10</f>
        <v>123.20398908185746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0.42321213483213521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387.09282579424911</v>
      </c>
      <c r="C26" s="245">
        <f>B26*'GWP N2O_CH4'!B5</f>
        <v>8128.9493416792311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83.329914174125079</v>
      </c>
      <c r="C27" s="245">
        <f>B27*'GWP N2O_CH4'!B5</f>
        <v>1749.9281976566267</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5.5682902848360403</v>
      </c>
      <c r="C28" s="245">
        <f>B28*'GWP N2O_CH4'!B4</f>
        <v>1726.1699882991725</v>
      </c>
      <c r="D28" s="50"/>
    </row>
    <row r="29" spans="1:4">
      <c r="A29" s="41" t="s">
        <v>266</v>
      </c>
      <c r="B29" s="245">
        <f>B34*'ha_N2O bodem landbouw'!B4</f>
        <v>18.781235962854275</v>
      </c>
      <c r="C29" s="245">
        <f>B29*'GWP N2O_CH4'!B4</f>
        <v>5822.1831484848253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4.6894869525771357E-3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5.5231904128069838E-4</v>
      </c>
      <c r="C5" s="434" t="s">
        <v>204</v>
      </c>
      <c r="D5" s="419">
        <f>SUM(D6:D11)</f>
        <v>5.1360120072584667E-4</v>
      </c>
      <c r="E5" s="419">
        <f>SUM(E6:E11)</f>
        <v>2.0105312036274539E-2</v>
      </c>
      <c r="F5" s="432" t="s">
        <v>204</v>
      </c>
      <c r="G5" s="419">
        <f>SUM(G6:G11)</f>
        <v>6.3820788153275743</v>
      </c>
      <c r="H5" s="419">
        <f>SUM(H6:H11)</f>
        <v>0.9572018165961379</v>
      </c>
      <c r="I5" s="434" t="s">
        <v>204</v>
      </c>
      <c r="J5" s="434" t="s">
        <v>204</v>
      </c>
      <c r="K5" s="434" t="s">
        <v>204</v>
      </c>
      <c r="L5" s="434" t="s">
        <v>204</v>
      </c>
      <c r="M5" s="419">
        <f>SUM(M6:M11)</f>
        <v>0.33179061313430924</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1.5631916260406179E-4</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1.3865633897854101E-4</v>
      </c>
      <c r="E6" s="836">
        <f>vkm_GW_PW*SUMIFS(TableVerdeelsleutelVkm[LPG],TableVerdeelsleutelVkm[Voertuigtype],"Lichte voertuigen")*SUMIFS(TableECFTransport[EnergieConsumptieFactor (PJ per km)],TableECFTransport[Index],CONCATENATE($A6,"_LPG_LPG"))</f>
        <v>4.9790346957565811E-3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0.98980436992738918</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0.25551197475500148</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5.6338346732159601E-2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5.3384761171135298E-6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0.83539213664883194</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2.1975482469220217E-5</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3.7719375872689365E-2</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1.0671521603741736E-4</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1.4892373324992142E-4</v>
      </c>
      <c r="E8" s="422">
        <f>vkm_NGW_PW*SUMIFS(TableVerdeelsleutelVkm[LPG],TableVerdeelsleutelVkm[Voertuigtype],"Lichte voertuigen")*SUMIFS(TableECFTransport[EnergieConsumptieFactor (PJ per km)],TableECFTransport[Index],CONCATENATE($A8,"_LPG_LPG"))</f>
        <v>5.0770335023277106E-3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0.9521899686067532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0.2630476823440745</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5.4983572618261645E-2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1.8772192095266606E-6</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0.37733589385614602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9.3272270867569125E-6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1.7037330112634749E-2</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2.7269438352263658E-4</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2.2602112849738422E-4</v>
      </c>
      <c r="E10" s="422">
        <f>vkm_SW_PW*SUMIFS(TableVerdeelsleutelVkm[LPG],TableVerdeelsleutelVkm[Voertuigtype],"Lichte voertuigen")*SUMIFS(TableECFTransport[EnergieConsumptieFactor (PJ per km)],TableECFTransport[Index],CONCATENATE($A10,"_LPG_LPG"))</f>
        <v>1.0049243838190249E-2</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1.8296287529816948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0.43857113730796943</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0.10260207052803037</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9.3745837899424355E-6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1.3977276933067595</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3.9719479536449581E-5</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6.3109917270533472E-2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153.4219559113051</v>
      </c>
      <c r="C14" s="21"/>
      <c r="D14" s="21">
        <f t="shared" ref="D14:M14" si="0">((D5)*10^9/3600)+D12</f>
        <v>142.66700020162409</v>
      </c>
      <c r="E14" s="21">
        <f t="shared" si="0"/>
        <v>5584.8088989651496</v>
      </c>
      <c r="F14" s="21"/>
      <c r="G14" s="21">
        <f t="shared" si="0"/>
        <v>1772799.6709243264</v>
      </c>
      <c r="H14" s="21">
        <f t="shared" si="0"/>
        <v>265889.39349892718</v>
      </c>
      <c r="I14" s="21"/>
      <c r="J14" s="21"/>
      <c r="K14" s="21"/>
      <c r="L14" s="21"/>
      <c r="M14" s="21">
        <f t="shared" si="0"/>
        <v>92164.059203974786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0.20098496252242545</v>
      </c>
      <c r="C16" s="56">
        <f ca="1">'EF ele_warmte'!B22</f>
        <v>8.4117793458846971E-2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30.835506058950866</v>
      </c>
      <c r="C18" s="23"/>
      <c r="D18" s="23">
        <f t="shared" ref="D18:M18" si="1">D14*D16</f>
        <v>28.818734040728067</v>
      </c>
      <c r="E18" s="23">
        <f t="shared" si="1"/>
        <v>1267.7516200650889</v>
      </c>
      <c r="F18" s="23"/>
      <c r="G18" s="23">
        <f t="shared" si="1"/>
        <v>473337.51213679515</v>
      </c>
      <c r="H18" s="23">
        <f t="shared" si="1"/>
        <v>66206.458981232863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3.3809735134494E-2</v>
      </c>
      <c r="C50" s="316">
        <f t="shared" ref="C50:P50" si="2">SUM(C51:C52)</f>
        <v>0</v>
      </c>
      <c r="D50" s="316">
        <f t="shared" si="2"/>
        <v>0</v>
      </c>
      <c r="E50" s="316">
        <f t="shared" si="2"/>
        <v>0</v>
      </c>
      <c r="F50" s="316">
        <f t="shared" si="2"/>
        <v>0</v>
      </c>
      <c r="G50" s="316">
        <f t="shared" si="2"/>
        <v>0.13403196688220928</v>
      </c>
      <c r="H50" s="316">
        <f t="shared" si="2"/>
        <v>0</v>
      </c>
      <c r="I50" s="316">
        <f t="shared" si="2"/>
        <v>0</v>
      </c>
      <c r="J50" s="316">
        <f t="shared" si="2"/>
        <v>0</v>
      </c>
      <c r="K50" s="316">
        <f t="shared" si="2"/>
        <v>0</v>
      </c>
      <c r="L50" s="316">
        <f t="shared" si="2"/>
        <v>0</v>
      </c>
      <c r="M50" s="316">
        <f t="shared" si="2"/>
        <v>6.0101060174120842E-3</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6.8859934882079714E-4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0.13403196688220928</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6.0101060174120842E-3</v>
      </c>
      <c r="N51" s="318"/>
      <c r="O51" s="318"/>
      <c r="P51" s="321"/>
    </row>
    <row r="52" spans="1:18">
      <c r="A52" s="4" t="s">
        <v>318</v>
      </c>
      <c r="B52" s="322">
        <f>vkm_tram*SUMIFS(TableECFTransport[EnergieConsumptieFactor (PJ per km)],TableECFTransport[Index],"Tram_gemiddeld_Electric_Electric")</f>
        <v>3.3121135785673203E-2</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9391.5930929149999</v>
      </c>
      <c r="C54" s="21">
        <f t="shared" ref="C54:P54" si="3">(C50)*10^9/3600</f>
        <v>0</v>
      </c>
      <c r="D54" s="21">
        <f t="shared" si="3"/>
        <v>0</v>
      </c>
      <c r="E54" s="21">
        <f t="shared" si="3"/>
        <v>0</v>
      </c>
      <c r="F54" s="21">
        <f t="shared" si="3"/>
        <v>0</v>
      </c>
      <c r="G54" s="21">
        <f t="shared" si="3"/>
        <v>37231.1019117248</v>
      </c>
      <c r="H54" s="21">
        <f t="shared" si="3"/>
        <v>0</v>
      </c>
      <c r="I54" s="21">
        <f t="shared" si="3"/>
        <v>0</v>
      </c>
      <c r="J54" s="21">
        <f t="shared" si="3"/>
        <v>0</v>
      </c>
      <c r="K54" s="21">
        <f t="shared" si="3"/>
        <v>0</v>
      </c>
      <c r="L54" s="21">
        <f t="shared" si="3"/>
        <v>0</v>
      </c>
      <c r="M54" s="21">
        <f t="shared" si="3"/>
        <v>1669.4738937255788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0.20098496252242545</v>
      </c>
      <c r="C56" s="56">
        <f ca="1">'EF ele_warmte'!B22</f>
        <v>8.4117793458846971E-2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1887.5689858053911</v>
      </c>
      <c r="C58" s="23">
        <f t="shared" ref="C58:P58" ca="1" si="4">C54*C56</f>
        <v>0</v>
      </c>
      <c r="D58" s="23">
        <f t="shared" si="4"/>
        <v>0</v>
      </c>
      <c r="E58" s="23">
        <f t="shared" si="4"/>
        <v>0</v>
      </c>
      <c r="F58" s="23">
        <f t="shared" si="4"/>
        <v>0</v>
      </c>
      <c r="G58" s="23">
        <f t="shared" si="4"/>
        <v>9940.7042104305219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83819.039879999997</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49445.876960765367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10278</v>
      </c>
      <c r="C8" s="546">
        <f>B51</f>
        <v>451.40983222557327</v>
      </c>
      <c r="D8" s="963"/>
      <c r="E8" s="963">
        <f>E51</f>
        <v>2896.5464234474275</v>
      </c>
      <c r="F8" s="964"/>
      <c r="G8" s="547"/>
      <c r="H8" s="963">
        <f>I51</f>
        <v>0</v>
      </c>
      <c r="I8" s="963">
        <f>G51+F51</f>
        <v>8743.8084502093516</v>
      </c>
      <c r="J8" s="963">
        <f>H51+D51+C51</f>
        <v>0</v>
      </c>
      <c r="K8" s="963"/>
      <c r="L8" s="963"/>
      <c r="M8" s="963"/>
      <c r="N8" s="548"/>
      <c r="O8" s="549">
        <f>C8*$C$12+D8*$D$12+E8*$E$12+F8*$F$12+G8*$G$12+H8*$H$12+I8*$I$12+J8*$J$12</f>
        <v>864.56268117002901</v>
      </c>
      <c r="P8" s="1206"/>
      <c r="Q8" s="1207"/>
      <c r="S8" s="975"/>
      <c r="T8" s="1227"/>
      <c r="U8" s="1227"/>
    </row>
    <row r="9" spans="1:21" s="534" customFormat="1" ht="17.45" customHeight="1" thickBot="1">
      <c r="A9" s="550" t="s">
        <v>237</v>
      </c>
      <c r="B9" s="551">
        <f>N39+'Eigen informatie GS &amp; warmtenet'!B12</f>
        <v>1858.5</v>
      </c>
      <c r="C9" s="552">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5310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145401.41684076536</v>
      </c>
      <c r="C10" s="559">
        <f t="shared" ref="C10:L10" si="0">SUM(C8:C9)</f>
        <v>451.40983222557327</v>
      </c>
      <c r="D10" s="559">
        <f t="shared" si="0"/>
        <v>0</v>
      </c>
      <c r="E10" s="559">
        <f t="shared" si="0"/>
        <v>2896.5464234474275</v>
      </c>
      <c r="F10" s="559">
        <f t="shared" si="0"/>
        <v>0</v>
      </c>
      <c r="G10" s="559">
        <f t="shared" si="0"/>
        <v>0</v>
      </c>
      <c r="H10" s="559">
        <f t="shared" si="0"/>
        <v>0</v>
      </c>
      <c r="I10" s="559">
        <f t="shared" si="0"/>
        <v>8743.8084502093516</v>
      </c>
      <c r="J10" s="559">
        <f t="shared" si="0"/>
        <v>5310</v>
      </c>
      <c r="K10" s="559">
        <f t="shared" si="0"/>
        <v>0</v>
      </c>
      <c r="L10" s="559">
        <f t="shared" si="0"/>
        <v>0</v>
      </c>
      <c r="M10" s="966"/>
      <c r="N10" s="966"/>
      <c r="O10" s="560">
        <f>SUM(O4:O9)</f>
        <v>864.56268117002901</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11677.5</v>
      </c>
      <c r="C17" s="571">
        <f>B52</f>
        <v>512.87588206014129</v>
      </c>
      <c r="D17" s="572"/>
      <c r="E17" s="572">
        <f>E52</f>
        <v>3290.9535765525725</v>
      </c>
      <c r="F17" s="969"/>
      <c r="G17" s="573"/>
      <c r="H17" s="571">
        <f>I52</f>
        <v>0</v>
      </c>
      <c r="I17" s="572">
        <f>G52+F52</f>
        <v>9934.4058355049347</v>
      </c>
      <c r="J17" s="572">
        <f>H52+D52+C52</f>
        <v>0</v>
      </c>
      <c r="K17" s="572"/>
      <c r="L17" s="572"/>
      <c r="M17" s="572"/>
      <c r="N17" s="970"/>
      <c r="O17" s="574">
        <f>C17*$C$22+E17*$E$22+H17*$H$22+I17*$I$22+J17*$J$22+D17*$D$22+F17*$F$22+G17*$G$22+K17*$K$22+L17*$L$22</f>
        <v>982.28553311568544</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11677.5</v>
      </c>
      <c r="C20" s="558">
        <f>SUM(C17:C19)</f>
        <v>512.87588206014129</v>
      </c>
      <c r="D20" s="558">
        <f t="shared" ref="D20:L20" si="1">SUM(D17:D19)</f>
        <v>0</v>
      </c>
      <c r="E20" s="558">
        <f t="shared" si="1"/>
        <v>3290.9535765525725</v>
      </c>
      <c r="F20" s="558">
        <f t="shared" si="1"/>
        <v>0</v>
      </c>
      <c r="G20" s="558">
        <f t="shared" si="1"/>
        <v>0</v>
      </c>
      <c r="H20" s="558">
        <f t="shared" si="1"/>
        <v>0</v>
      </c>
      <c r="I20" s="558">
        <f t="shared" si="1"/>
        <v>9934.4058355049347</v>
      </c>
      <c r="J20" s="558">
        <f t="shared" si="1"/>
        <v>0</v>
      </c>
      <c r="K20" s="558">
        <f t="shared" si="1"/>
        <v>0</v>
      </c>
      <c r="L20" s="558">
        <f t="shared" si="1"/>
        <v>0</v>
      </c>
      <c r="M20" s="558"/>
      <c r="N20" s="558"/>
      <c r="O20" s="578">
        <f>SUM(O17:O19)</f>
        <v>982.28553311568544</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38.25" hidden="1">
      <c r="A28" s="582"/>
      <c r="B28" s="741">
        <v>44021</v>
      </c>
      <c r="C28" s="741">
        <v>9042</v>
      </c>
      <c r="D28" s="630"/>
      <c r="E28" s="629"/>
      <c r="F28" s="629"/>
      <c r="G28" s="629" t="s">
        <v>908</v>
      </c>
      <c r="H28" s="629" t="s">
        <v>909</v>
      </c>
      <c r="I28" s="629"/>
      <c r="J28" s="740"/>
      <c r="K28" s="740"/>
      <c r="L28" s="629" t="s">
        <v>910</v>
      </c>
      <c r="M28" s="629">
        <v>2200</v>
      </c>
      <c r="N28" s="629">
        <v>9900</v>
      </c>
      <c r="O28" s="629">
        <v>11137.5</v>
      </c>
      <c r="P28" s="629">
        <v>0</v>
      </c>
      <c r="Q28" s="629">
        <v>0</v>
      </c>
      <c r="R28" s="629">
        <v>0</v>
      </c>
      <c r="S28" s="629">
        <v>6187.5</v>
      </c>
      <c r="T28" s="629">
        <v>18562.5</v>
      </c>
      <c r="U28" s="629">
        <v>0</v>
      </c>
      <c r="V28" s="629">
        <v>0</v>
      </c>
      <c r="W28" s="629">
        <v>0</v>
      </c>
      <c r="X28" s="629"/>
      <c r="Y28" s="629">
        <v>300</v>
      </c>
      <c r="Z28" s="629" t="s">
        <v>33</v>
      </c>
      <c r="AA28" s="631" t="s">
        <v>377</v>
      </c>
    </row>
    <row r="29" spans="1:27" s="583" customFormat="1" ht="63.75" hidden="1">
      <c r="A29" s="582"/>
      <c r="B29" s="741">
        <v>44021</v>
      </c>
      <c r="C29" s="741">
        <v>9031</v>
      </c>
      <c r="D29" s="630"/>
      <c r="E29" s="629"/>
      <c r="F29" s="629"/>
      <c r="G29" s="629" t="s">
        <v>908</v>
      </c>
      <c r="H29" s="629" t="s">
        <v>911</v>
      </c>
      <c r="I29" s="629"/>
      <c r="J29" s="740"/>
      <c r="K29" s="740"/>
      <c r="L29" s="629" t="s">
        <v>910</v>
      </c>
      <c r="M29" s="629">
        <v>9</v>
      </c>
      <c r="N29" s="629">
        <v>40.5</v>
      </c>
      <c r="O29" s="629">
        <v>57.857142857142861</v>
      </c>
      <c r="P29" s="629">
        <v>0</v>
      </c>
      <c r="Q29" s="629">
        <v>0</v>
      </c>
      <c r="R29" s="629">
        <v>0</v>
      </c>
      <c r="S29" s="629">
        <v>0</v>
      </c>
      <c r="T29" s="629">
        <v>0</v>
      </c>
      <c r="U29" s="629">
        <v>115.71428571428572</v>
      </c>
      <c r="V29" s="629">
        <v>0</v>
      </c>
      <c r="W29" s="629">
        <v>0</v>
      </c>
      <c r="X29" s="629"/>
      <c r="Y29" s="629">
        <v>1600</v>
      </c>
      <c r="Z29" s="629" t="s">
        <v>49</v>
      </c>
      <c r="AA29" s="631" t="s">
        <v>149</v>
      </c>
    </row>
    <row r="30" spans="1:27" s="583" customFormat="1" ht="25.5" hidden="1">
      <c r="A30" s="582"/>
      <c r="B30" s="741">
        <v>44021</v>
      </c>
      <c r="C30" s="741">
        <v>9000</v>
      </c>
      <c r="D30" s="630"/>
      <c r="E30" s="629"/>
      <c r="F30" s="629"/>
      <c r="G30" s="629" t="s">
        <v>908</v>
      </c>
      <c r="H30" s="629" t="s">
        <v>911</v>
      </c>
      <c r="I30" s="629"/>
      <c r="J30" s="740"/>
      <c r="K30" s="740"/>
      <c r="L30" s="629" t="s">
        <v>910</v>
      </c>
      <c r="M30" s="629">
        <v>5</v>
      </c>
      <c r="N30" s="629">
        <v>22.5</v>
      </c>
      <c r="O30" s="629">
        <v>32.142857142857146</v>
      </c>
      <c r="P30" s="629">
        <v>64.285714285714292</v>
      </c>
      <c r="Q30" s="629">
        <v>0</v>
      </c>
      <c r="R30" s="629">
        <v>0</v>
      </c>
      <c r="S30" s="629">
        <v>0</v>
      </c>
      <c r="T30" s="629">
        <v>0</v>
      </c>
      <c r="U30" s="629">
        <v>0</v>
      </c>
      <c r="V30" s="629">
        <v>0</v>
      </c>
      <c r="W30" s="629">
        <v>0</v>
      </c>
      <c r="X30" s="629"/>
      <c r="Y30" s="629">
        <v>1300</v>
      </c>
      <c r="Z30" s="629" t="s">
        <v>53</v>
      </c>
      <c r="AA30" s="631" t="s">
        <v>149</v>
      </c>
    </row>
    <row r="31" spans="1:27" s="583" customFormat="1" ht="25.5" hidden="1">
      <c r="A31" s="582"/>
      <c r="B31" s="741">
        <v>44021</v>
      </c>
      <c r="C31" s="741">
        <v>9040</v>
      </c>
      <c r="D31" s="630"/>
      <c r="E31" s="629"/>
      <c r="F31" s="629"/>
      <c r="G31" s="629" t="s">
        <v>908</v>
      </c>
      <c r="H31" s="629" t="s">
        <v>911</v>
      </c>
      <c r="I31" s="629"/>
      <c r="J31" s="740"/>
      <c r="K31" s="740"/>
      <c r="L31" s="629" t="s">
        <v>910</v>
      </c>
      <c r="M31" s="629">
        <v>70</v>
      </c>
      <c r="N31" s="629">
        <v>315.00000000000006</v>
      </c>
      <c r="O31" s="629">
        <v>450.00000000000011</v>
      </c>
      <c r="P31" s="629">
        <v>900.00000000000023</v>
      </c>
      <c r="Q31" s="629">
        <v>0</v>
      </c>
      <c r="R31" s="629">
        <v>0</v>
      </c>
      <c r="S31" s="629">
        <v>0</v>
      </c>
      <c r="T31" s="629">
        <v>0</v>
      </c>
      <c r="U31" s="629">
        <v>0</v>
      </c>
      <c r="V31" s="629">
        <v>0</v>
      </c>
      <c r="W31" s="629">
        <v>0</v>
      </c>
      <c r="X31" s="629"/>
      <c r="Y31" s="629">
        <v>1300</v>
      </c>
      <c r="Z31" s="629" t="s">
        <v>53</v>
      </c>
      <c r="AA31" s="631" t="s">
        <v>149</v>
      </c>
    </row>
    <row r="32" spans="1:27" s="566" customFormat="1" hidden="1">
      <c r="A32" s="585" t="s">
        <v>269</v>
      </c>
      <c r="B32" s="586"/>
      <c r="C32" s="586"/>
      <c r="D32" s="586"/>
      <c r="E32" s="586"/>
      <c r="F32" s="586"/>
      <c r="G32" s="586"/>
      <c r="H32" s="586"/>
      <c r="I32" s="586"/>
      <c r="J32" s="586"/>
      <c r="K32" s="586"/>
      <c r="L32" s="587"/>
      <c r="M32" s="587">
        <f>SUM(M28:M31)</f>
        <v>2284</v>
      </c>
      <c r="N32" s="587">
        <f>SUM(N28:N31)</f>
        <v>10278</v>
      </c>
      <c r="O32" s="587">
        <f>SUM(O28:O31)</f>
        <v>11677.5</v>
      </c>
      <c r="P32" s="587">
        <f>SUM(P28:P31)</f>
        <v>964.28571428571456</v>
      </c>
      <c r="Q32" s="587">
        <f>SUM(Q28:Q31)</f>
        <v>0</v>
      </c>
      <c r="R32" s="587">
        <f>SUM(R28:R31)</f>
        <v>0</v>
      </c>
      <c r="S32" s="587">
        <f>SUM(S28:S31)</f>
        <v>6187.5</v>
      </c>
      <c r="T32" s="587">
        <f>SUM(T28:T31)</f>
        <v>18562.5</v>
      </c>
      <c r="U32" s="587">
        <f>SUM(U28:U31)</f>
        <v>115.71428571428572</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2200</v>
      </c>
      <c r="N33" s="587">
        <f>SUMIF($AA$28:$AA$31,"industrie",N28:N31)</f>
        <v>9900</v>
      </c>
      <c r="O33" s="587">
        <f>SUMIF($AA$28:$AA$31,"industrie",O28:O31)</f>
        <v>11137.5</v>
      </c>
      <c r="P33" s="587">
        <f>SUMIF($AA$28:$AA$31,"industrie",P28:P31)</f>
        <v>0</v>
      </c>
      <c r="Q33" s="587">
        <f>SUMIF($AA$28:$AA$31,"industrie",Q28:Q31)</f>
        <v>0</v>
      </c>
      <c r="R33" s="587">
        <f>SUMIF($AA$28:$AA$31,"industrie",R28:R31)</f>
        <v>0</v>
      </c>
      <c r="S33" s="587">
        <f>SUMIF($AA$28:$AA$31,"industrie",S28:S31)</f>
        <v>6187.5</v>
      </c>
      <c r="T33" s="587">
        <f>SUMIF($AA$28:$AA$31,"industrie",T28:T31)</f>
        <v>18562.5</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84</v>
      </c>
      <c r="N34" s="587">
        <f ca="1">SUMIF($AA$28:AE31,"tertiair",N28:N31)</f>
        <v>378.00000000000006</v>
      </c>
      <c r="O34" s="587">
        <f ca="1">SUMIF($AA$28:AF31,"tertiair",O28:O31)</f>
        <v>540.00000000000011</v>
      </c>
      <c r="P34" s="587">
        <f ca="1">SUMIF($AA$28:AG31,"tertiair",P28:P31)</f>
        <v>964.28571428571456</v>
      </c>
      <c r="Q34" s="587">
        <f ca="1">SUMIF($AA$28:AH31,"tertiair",Q28:Q31)</f>
        <v>0</v>
      </c>
      <c r="R34" s="587">
        <f ca="1">SUMIF($AA$28:AI31,"tertiair",R28:R31)</f>
        <v>0</v>
      </c>
      <c r="S34" s="587">
        <f ca="1">SUMIF($AA$28:AJ31,"tertiair",S28:S31)</f>
        <v>0</v>
      </c>
      <c r="T34" s="587">
        <f ca="1">SUMIF($AA$28:AK31,"tertiair",T28:T31)</f>
        <v>0</v>
      </c>
      <c r="U34" s="587">
        <f ca="1">SUMIF($AA$28:AL31,"tertiair",U28:U31)</f>
        <v>115.71428571428572</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0</v>
      </c>
      <c r="N35" s="592">
        <f>SUMIF($AA$28:$AA$31,"landbouw",N28:N31)</f>
        <v>0</v>
      </c>
      <c r="O35" s="592">
        <f>SUMIF($AA$28:$AA$31,"landbouw",O28:O31)</f>
        <v>0</v>
      </c>
      <c r="P35" s="592">
        <f>SUMIF($AA$28:$AA$31,"landbouw",P28:P31)</f>
        <v>0</v>
      </c>
      <c r="Q35" s="592">
        <f>SUMIF($AA$28:$AA$31,"landbouw",Q28:Q31)</f>
        <v>0</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63.75" hidden="1">
      <c r="A38" s="584"/>
      <c r="B38" s="741">
        <v>44021</v>
      </c>
      <c r="C38" s="741">
        <v>9000</v>
      </c>
      <c r="D38" s="632"/>
      <c r="E38" s="632"/>
      <c r="F38" s="632"/>
      <c r="G38" s="632" t="s">
        <v>912</v>
      </c>
      <c r="H38" s="632" t="s">
        <v>913</v>
      </c>
      <c r="I38" s="632"/>
      <c r="J38" s="740"/>
      <c r="K38" s="740"/>
      <c r="L38" s="632" t="s">
        <v>914</v>
      </c>
      <c r="M38" s="632">
        <v>413</v>
      </c>
      <c r="N38" s="632">
        <v>1858.5</v>
      </c>
      <c r="O38" s="632">
        <v>0</v>
      </c>
      <c r="P38" s="632">
        <v>0</v>
      </c>
      <c r="Q38" s="632">
        <v>5310</v>
      </c>
      <c r="R38" s="632">
        <v>0</v>
      </c>
      <c r="S38" s="632">
        <v>0</v>
      </c>
      <c r="T38" s="632">
        <v>0</v>
      </c>
      <c r="U38" s="632">
        <v>0</v>
      </c>
      <c r="V38" s="632">
        <v>0</v>
      </c>
      <c r="W38" s="632">
        <v>0</v>
      </c>
      <c r="X38" s="632"/>
      <c r="Y38" s="632">
        <v>1600</v>
      </c>
      <c r="Z38" s="632" t="s">
        <v>49</v>
      </c>
      <c r="AA38" s="633" t="s">
        <v>149</v>
      </c>
    </row>
    <row r="39" spans="1:28" s="566" customFormat="1" hidden="1">
      <c r="A39" s="585" t="s">
        <v>269</v>
      </c>
      <c r="B39" s="586"/>
      <c r="C39" s="586"/>
      <c r="D39" s="586"/>
      <c r="E39" s="586"/>
      <c r="F39" s="586"/>
      <c r="G39" s="586"/>
      <c r="H39" s="586"/>
      <c r="I39" s="586"/>
      <c r="J39" s="586"/>
      <c r="K39" s="586"/>
      <c r="L39" s="587"/>
      <c r="M39" s="587">
        <f>SUM(M38:M38)</f>
        <v>413</v>
      </c>
      <c r="N39" s="587">
        <f>SUM(N38:N38)</f>
        <v>1858.5</v>
      </c>
      <c r="O39" s="587">
        <f>SUM(O38:O38)</f>
        <v>0</v>
      </c>
      <c r="P39" s="587">
        <f>SUM(P38:P38)</f>
        <v>0</v>
      </c>
      <c r="Q39" s="587">
        <f>SUM(Q38:Q38)</f>
        <v>5310</v>
      </c>
      <c r="R39" s="587">
        <f>SUM(R38:R38)</f>
        <v>0</v>
      </c>
      <c r="S39" s="587">
        <f>SUM(S38:S38)</f>
        <v>0</v>
      </c>
      <c r="T39" s="587">
        <f>SUM(T38:T38)</f>
        <v>0</v>
      </c>
      <c r="U39" s="587">
        <f>SUM(U38:U38)</f>
        <v>0</v>
      </c>
      <c r="V39" s="587">
        <f>SUM(V38:V38)</f>
        <v>0</v>
      </c>
      <c r="W39" s="587">
        <f>SUM(W38:W38)</f>
        <v>0</v>
      </c>
      <c r="X39" s="587"/>
      <c r="Y39" s="588"/>
      <c r="Z39" s="588"/>
      <c r="AA39" s="589"/>
    </row>
    <row r="40" spans="1:28" s="566" customFormat="1">
      <c r="A40" s="585" t="s">
        <v>276</v>
      </c>
      <c r="B40" s="586"/>
      <c r="C40" s="586"/>
      <c r="D40" s="586"/>
      <c r="E40" s="586"/>
      <c r="F40" s="586"/>
      <c r="G40" s="586"/>
      <c r="H40" s="586"/>
      <c r="I40" s="586"/>
      <c r="J40" s="586"/>
      <c r="K40" s="586"/>
      <c r="L40" s="587"/>
      <c r="M40" s="587">
        <f>SUMIF($AA$38:$AA$38,"industrie",M38:M38)</f>
        <v>0</v>
      </c>
      <c r="N40" s="587">
        <f>SUMIF($AA$38:$AA$38,"industrie",N38:N38)</f>
        <v>0</v>
      </c>
      <c r="O40" s="587">
        <f>SUMIF($AA$38:$AA$38,"industrie",O38:O38)</f>
        <v>0</v>
      </c>
      <c r="P40" s="587">
        <f>SUMIF($AA$38:$AA$38,"industrie",P38:P38)</f>
        <v>0</v>
      </c>
      <c r="Q40" s="587">
        <f>SUMIF($AA$38:$AA$38,"industrie",Q38:Q38)</f>
        <v>0</v>
      </c>
      <c r="R40" s="587">
        <f>SUMIF($AA$38:$AA$38,"industrie",R38:R38)</f>
        <v>0</v>
      </c>
      <c r="S40" s="587">
        <f>SUMIF($AA$38:$AA$38,"industrie",S38:S38)</f>
        <v>0</v>
      </c>
      <c r="T40" s="587">
        <f>SUMIF($AA$38:$AA$38,"industrie",T38:T38)</f>
        <v>0</v>
      </c>
      <c r="U40" s="587">
        <f>SUMIF($AA$38:$AA$38,"industrie",U38:U38)</f>
        <v>0</v>
      </c>
      <c r="V40" s="587">
        <f>SUMIF($AA$38:$AA$38,"industrie",V38:V38)</f>
        <v>0</v>
      </c>
      <c r="W40" s="587">
        <f>SUMIF($AA$38:$AA$38,"industrie",W38:W38)</f>
        <v>0</v>
      </c>
      <c r="X40" s="587"/>
      <c r="Y40" s="588"/>
      <c r="Z40" s="588"/>
      <c r="AA40" s="589"/>
    </row>
    <row r="41" spans="1:28" s="566" customFormat="1">
      <c r="A41" s="585" t="s">
        <v>277</v>
      </c>
      <c r="B41" s="586"/>
      <c r="C41" s="586"/>
      <c r="D41" s="586"/>
      <c r="E41" s="586"/>
      <c r="F41" s="586"/>
      <c r="G41" s="586"/>
      <c r="H41" s="586"/>
      <c r="I41" s="586"/>
      <c r="J41" s="586"/>
      <c r="K41" s="586"/>
      <c r="L41" s="587"/>
      <c r="M41" s="587">
        <f>SUMIF($AA$38:$AA$39,"tertiair",M38:M39)</f>
        <v>413</v>
      </c>
      <c r="N41" s="587">
        <f>SUMIF($AA$38:$AA$39,"tertiair",N38:N39)</f>
        <v>1858.5</v>
      </c>
      <c r="O41" s="587">
        <f>SUMIF($AA$38:$AA$39,"tertiair",O38:O39)</f>
        <v>0</v>
      </c>
      <c r="P41" s="587">
        <f>SUMIF($AA$38:$AA$39,"tertiair",P38:P39)</f>
        <v>0</v>
      </c>
      <c r="Q41" s="587">
        <f>SUMIF($AA$38:$AA$39,"tertiair",Q38:Q39)</f>
        <v>5310</v>
      </c>
      <c r="R41" s="587">
        <f>SUMIF($AA$38:$AA$39,"tertiair",R38:R39)</f>
        <v>0</v>
      </c>
      <c r="S41" s="587">
        <f>SUMIF($AA$38:$AA$39,"tertiair",S38:S39)</f>
        <v>0</v>
      </c>
      <c r="T41" s="587">
        <f>SUMIF($AA$38:$AA$39,"tertiair",T38:T39)</f>
        <v>0</v>
      </c>
      <c r="U41" s="587">
        <f>SUMIF($AA$38:$AA$39,"tertiair",U38:U39)</f>
        <v>0</v>
      </c>
      <c r="V41" s="587">
        <f>SUMIF($AA$38:$AA$39,"tertiair",V38:V39)</f>
        <v>0</v>
      </c>
      <c r="W41" s="587">
        <f>SUMIF($AA$38:$AA$39,"tertiair",W38:W39)</f>
        <v>0</v>
      </c>
      <c r="X41" s="587"/>
      <c r="Y41" s="588"/>
      <c r="Z41" s="588"/>
      <c r="AA41" s="589"/>
    </row>
    <row r="42" spans="1:28" s="566" customFormat="1" ht="15.75" thickBot="1">
      <c r="A42" s="590" t="s">
        <v>278</v>
      </c>
      <c r="B42" s="591"/>
      <c r="C42" s="591"/>
      <c r="D42" s="591"/>
      <c r="E42" s="591"/>
      <c r="F42" s="591"/>
      <c r="G42" s="591"/>
      <c r="H42" s="591"/>
      <c r="I42" s="591"/>
      <c r="J42" s="591"/>
      <c r="K42" s="591"/>
      <c r="L42" s="592"/>
      <c r="M42" s="592">
        <f>SUMIF($AA$38:$AA$40,"landbouw",M38:M40)</f>
        <v>0</v>
      </c>
      <c r="N42" s="592">
        <f>SUMIF($AA$38:$AA$40,"landbouw",N38:N40)</f>
        <v>0</v>
      </c>
      <c r="O42" s="592">
        <f>SUMIF($AA$38:$AA$40,"landbouw",O38:O40)</f>
        <v>0</v>
      </c>
      <c r="P42" s="592">
        <f>SUMIF($AA$38:$AA$40,"landbouw",P38:P40)</f>
        <v>0</v>
      </c>
      <c r="Q42" s="592">
        <f>SUMIF($AA$38:$AA$40,"landbouw",Q38:Q40)</f>
        <v>0</v>
      </c>
      <c r="R42" s="592">
        <f>SUMIF($AA$38:$AA$40,"landbouw",R38:R40)</f>
        <v>0</v>
      </c>
      <c r="S42" s="592">
        <f>SUMIF($AA$38:$AA$40,"landbouw",S38:S40)</f>
        <v>0</v>
      </c>
      <c r="T42" s="592">
        <f>SUMIF($AA$38:$AA$40,"landbouw",T38:T40)</f>
        <v>0</v>
      </c>
      <c r="U42" s="592">
        <f>SUMIF($AA$38:$AA$40,"landbouw",U38:U40)</f>
        <v>0</v>
      </c>
      <c r="V42" s="592">
        <f>SUMIF($AA$38:$AA$40,"landbouw",V38:V40)</f>
        <v>0</v>
      </c>
      <c r="W42" s="592">
        <f>SUMIF($AA$38:$AA$40,"landbouw",W38:W40)</f>
        <v>0</v>
      </c>
      <c r="X42" s="592"/>
      <c r="Y42" s="593"/>
      <c r="Z42" s="593"/>
      <c r="AA42" s="594"/>
    </row>
    <row r="43" spans="1:28" s="599" customForma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row>
    <row r="44" spans="1:28" s="599" customFormat="1" ht="15.75" thickBot="1">
      <c r="A44" s="595"/>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row>
    <row r="45" spans="1:28">
      <c r="A45" s="600" t="s">
        <v>271</v>
      </c>
      <c r="B45" s="601"/>
      <c r="C45" s="601"/>
      <c r="D45" s="601"/>
      <c r="E45" s="601"/>
      <c r="F45" s="601"/>
      <c r="G45" s="601"/>
      <c r="H45" s="601"/>
      <c r="I45" s="602"/>
      <c r="J45" s="603"/>
      <c r="K45" s="603"/>
      <c r="L45" s="604"/>
      <c r="M45" s="604"/>
      <c r="N45" s="604"/>
      <c r="O45" s="604"/>
      <c r="P45" s="604"/>
    </row>
    <row r="46" spans="1:28">
      <c r="A46" s="606"/>
      <c r="B46" s="596"/>
      <c r="C46" s="596"/>
      <c r="D46" s="596"/>
      <c r="E46" s="596"/>
      <c r="F46" s="596"/>
      <c r="G46" s="596"/>
      <c r="H46" s="596"/>
      <c r="I46" s="607"/>
      <c r="J46" s="596"/>
      <c r="K46" s="596"/>
      <c r="L46" s="604"/>
      <c r="M46" s="604"/>
      <c r="N46" s="604"/>
      <c r="O46" s="604"/>
      <c r="P46" s="604"/>
    </row>
    <row r="47" spans="1:28">
      <c r="A47" s="608"/>
      <c r="B47" s="609" t="s">
        <v>272</v>
      </c>
      <c r="C47" s="609" t="s">
        <v>273</v>
      </c>
      <c r="D47" s="609"/>
      <c r="E47" s="609"/>
      <c r="F47" s="609"/>
      <c r="G47" s="609"/>
      <c r="H47" s="609"/>
      <c r="I47" s="610"/>
      <c r="J47" s="609"/>
      <c r="K47" s="609"/>
      <c r="L47" s="609"/>
      <c r="M47" s="609"/>
      <c r="N47" s="609"/>
      <c r="O47" s="609"/>
      <c r="P47" s="604"/>
    </row>
    <row r="48" spans="1:28">
      <c r="A48" s="606" t="s">
        <v>269</v>
      </c>
      <c r="B48" s="611">
        <f>IF(ISERROR(O32/(O32+N32)),0,O32/(O32+N32))</f>
        <v>0.53187128509940562</v>
      </c>
      <c r="C48" s="612">
        <f>IF(ISERROR(N32/(O32+N32)),0,N32/(N32+O32))</f>
        <v>0.46812871490059438</v>
      </c>
      <c r="D48" s="579"/>
      <c r="E48" s="579"/>
      <c r="F48" s="579"/>
      <c r="G48" s="579"/>
      <c r="H48" s="579"/>
      <c r="I48" s="613"/>
      <c r="J48" s="579"/>
      <c r="K48" s="579"/>
      <c r="L48" s="614"/>
      <c r="M48" s="614"/>
      <c r="N48" s="614"/>
      <c r="O48" s="614"/>
      <c r="P48" s="604"/>
    </row>
    <row r="49" spans="1:16">
      <c r="A49" s="606"/>
      <c r="B49" s="615"/>
      <c r="C49" s="615"/>
      <c r="D49" s="615"/>
      <c r="E49" s="615"/>
      <c r="F49" s="615"/>
      <c r="G49" s="615"/>
      <c r="H49" s="615"/>
      <c r="I49" s="616"/>
      <c r="J49" s="615"/>
      <c r="K49" s="615"/>
      <c r="L49" s="617"/>
      <c r="M49" s="617"/>
      <c r="N49" s="617"/>
      <c r="O49" s="617"/>
      <c r="P49" s="604"/>
    </row>
    <row r="50" spans="1:16" ht="30">
      <c r="A50" s="618"/>
      <c r="B50" s="619" t="s">
        <v>528</v>
      </c>
      <c r="C50" s="619" t="s">
        <v>96</v>
      </c>
      <c r="D50" s="619" t="s">
        <v>97</v>
      </c>
      <c r="E50" s="619" t="s">
        <v>98</v>
      </c>
      <c r="F50" s="619" t="s">
        <v>99</v>
      </c>
      <c r="G50" s="619" t="s">
        <v>100</v>
      </c>
      <c r="H50" s="619" t="s">
        <v>101</v>
      </c>
      <c r="I50" s="620" t="s">
        <v>102</v>
      </c>
      <c r="J50" s="609"/>
      <c r="K50" s="609"/>
      <c r="L50" s="617"/>
      <c r="M50" s="617"/>
      <c r="N50" s="617"/>
      <c r="O50" s="604"/>
      <c r="P50" s="604"/>
    </row>
    <row r="51" spans="1:16">
      <c r="A51" s="608" t="s">
        <v>274</v>
      </c>
      <c r="B51" s="621">
        <f t="shared" ref="B51:I51" si="2">$C$48*P32</f>
        <v>451.40983222557327</v>
      </c>
      <c r="C51" s="621">
        <f t="shared" si="2"/>
        <v>0</v>
      </c>
      <c r="D51" s="621">
        <f t="shared" si="2"/>
        <v>0</v>
      </c>
      <c r="E51" s="621">
        <f t="shared" si="2"/>
        <v>2896.5464234474275</v>
      </c>
      <c r="F51" s="621">
        <f t="shared" si="2"/>
        <v>8689.6392703422825</v>
      </c>
      <c r="G51" s="621">
        <f t="shared" si="2"/>
        <v>54.169179867068785</v>
      </c>
      <c r="H51" s="621">
        <f t="shared" si="2"/>
        <v>0</v>
      </c>
      <c r="I51" s="622">
        <f t="shared" si="2"/>
        <v>0</v>
      </c>
      <c r="J51" s="579"/>
      <c r="K51" s="579"/>
      <c r="L51" s="617"/>
      <c r="M51" s="617"/>
      <c r="N51" s="617"/>
      <c r="O51" s="604"/>
      <c r="P51" s="604"/>
    </row>
    <row r="52" spans="1:16" ht="15.75" thickBot="1">
      <c r="A52" s="623" t="s">
        <v>275</v>
      </c>
      <c r="B52" s="624">
        <f t="shared" ref="B52:I52" si="3">$B$48*P32</f>
        <v>512.87588206014129</v>
      </c>
      <c r="C52" s="624">
        <f t="shared" si="3"/>
        <v>0</v>
      </c>
      <c r="D52" s="624">
        <f t="shared" si="3"/>
        <v>0</v>
      </c>
      <c r="E52" s="624">
        <f t="shared" si="3"/>
        <v>3290.9535765525725</v>
      </c>
      <c r="F52" s="624">
        <f t="shared" si="3"/>
        <v>9872.8607296577175</v>
      </c>
      <c r="G52" s="624">
        <f t="shared" si="3"/>
        <v>61.545105847216938</v>
      </c>
      <c r="H52" s="624">
        <f t="shared" si="3"/>
        <v>0</v>
      </c>
      <c r="I52" s="625">
        <f t="shared" si="3"/>
        <v>0</v>
      </c>
      <c r="J52" s="579"/>
      <c r="K52" s="579"/>
      <c r="L52" s="617"/>
      <c r="M52" s="617"/>
      <c r="N52" s="617"/>
      <c r="O52" s="604"/>
      <c r="P52" s="604"/>
    </row>
    <row r="53" spans="1:16">
      <c r="J53" s="564"/>
      <c r="K53" s="564"/>
      <c r="L53" s="564"/>
      <c r="M53" s="564"/>
      <c r="N53" s="564"/>
    </row>
    <row r="54" spans="1:16">
      <c r="J54" s="564"/>
      <c r="K54" s="564"/>
      <c r="L54" s="564"/>
      <c r="M54" s="564"/>
      <c r="N54"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736341.85230041598</v>
      </c>
      <c r="D10" s="640">
        <f ca="1">tertiair!C16</f>
        <v>540.00000000000011</v>
      </c>
      <c r="E10" s="640">
        <f ca="1">tertiair!D16</f>
        <v>892446.87573978794</v>
      </c>
      <c r="F10" s="640">
        <f>tertiair!E16</f>
        <v>3663.8867798234796</v>
      </c>
      <c r="G10" s="640">
        <f ca="1">tertiair!F16</f>
        <v>106664.62251429789</v>
      </c>
      <c r="H10" s="640">
        <f>tertiair!G16</f>
        <v>0</v>
      </c>
      <c r="I10" s="640">
        <f>tertiair!H16</f>
        <v>0</v>
      </c>
      <c r="J10" s="640">
        <f>tertiair!I16</f>
        <v>0</v>
      </c>
      <c r="K10" s="640">
        <f>tertiair!J16</f>
        <v>4333.1707649732352</v>
      </c>
      <c r="L10" s="640">
        <f>tertiair!K16</f>
        <v>0</v>
      </c>
      <c r="M10" s="640">
        <f ca="1">tertiair!L16</f>
        <v>0</v>
      </c>
      <c r="N10" s="640">
        <f>tertiair!M16</f>
        <v>0</v>
      </c>
      <c r="O10" s="640">
        <f ca="1">tertiair!N16</f>
        <v>29268.124512338742</v>
      </c>
      <c r="P10" s="640">
        <f>tertiair!O16</f>
        <v>25.013333333333335</v>
      </c>
      <c r="Q10" s="641">
        <f>tertiair!P16</f>
        <v>266.93333333333334</v>
      </c>
      <c r="R10" s="643">
        <f ca="1">SUM(C10:Q10)</f>
        <v>1773550.4792783041</v>
      </c>
      <c r="S10" s="67"/>
    </row>
    <row r="11" spans="1:19" s="444" customFormat="1">
      <c r="A11" s="754" t="s">
        <v>214</v>
      </c>
      <c r="B11" s="759"/>
      <c r="C11" s="640">
        <f>huishoudens!B8</f>
        <v>391820.60777766479</v>
      </c>
      <c r="D11" s="640">
        <f>huishoudens!C8</f>
        <v>0</v>
      </c>
      <c r="E11" s="640">
        <f>huishoudens!D8</f>
        <v>1228457.2845739196</v>
      </c>
      <c r="F11" s="640">
        <f>huishoudens!E8</f>
        <v>19779.282663475591</v>
      </c>
      <c r="G11" s="640">
        <f>huishoudens!F8</f>
        <v>606145.46800848271</v>
      </c>
      <c r="H11" s="640">
        <f>huishoudens!G8</f>
        <v>0</v>
      </c>
      <c r="I11" s="640">
        <f>huishoudens!H8</f>
        <v>0</v>
      </c>
      <c r="J11" s="640">
        <f>huishoudens!I8</f>
        <v>0</v>
      </c>
      <c r="K11" s="640">
        <f>huishoudens!J8</f>
        <v>11479.188222749912</v>
      </c>
      <c r="L11" s="640">
        <f>huishoudens!K8</f>
        <v>0</v>
      </c>
      <c r="M11" s="640">
        <f>huishoudens!L8</f>
        <v>0</v>
      </c>
      <c r="N11" s="640">
        <f>huishoudens!M8</f>
        <v>0</v>
      </c>
      <c r="O11" s="640">
        <f>huishoudens!N8</f>
        <v>176787.54198263236</v>
      </c>
      <c r="P11" s="640">
        <f>huishoudens!O8</f>
        <v>1364.7900000000002</v>
      </c>
      <c r="Q11" s="641">
        <f>huishoudens!P8</f>
        <v>2211.7333333333336</v>
      </c>
      <c r="R11" s="643">
        <f>SUM(C11:Q11)</f>
        <v>2438045.8965622587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394175.03611205705</v>
      </c>
      <c r="D13" s="640">
        <f>industrie!C18</f>
        <v>11137.5</v>
      </c>
      <c r="E13" s="640">
        <f>industrie!D18</f>
        <v>345886.10859603318</v>
      </c>
      <c r="F13" s="640">
        <f>industrie!E18</f>
        <v>22809.208533619694</v>
      </c>
      <c r="G13" s="640">
        <f>industrie!F18</f>
        <v>124095.81621887733</v>
      </c>
      <c r="H13" s="640">
        <f>industrie!G18</f>
        <v>0</v>
      </c>
      <c r="I13" s="640">
        <f>industrie!H18</f>
        <v>0</v>
      </c>
      <c r="J13" s="640">
        <f>industrie!I18</f>
        <v>0</v>
      </c>
      <c r="K13" s="640">
        <f>industrie!J18</f>
        <v>857.97898802299324</v>
      </c>
      <c r="L13" s="640">
        <f>industrie!K18</f>
        <v>0</v>
      </c>
      <c r="M13" s="640">
        <f>industrie!L18</f>
        <v>0</v>
      </c>
      <c r="N13" s="640">
        <f>industrie!M18</f>
        <v>0</v>
      </c>
      <c r="O13" s="640">
        <f>industrie!N18</f>
        <v>20381.183136582415</v>
      </c>
      <c r="P13" s="640">
        <f>industrie!O18</f>
        <v>0</v>
      </c>
      <c r="Q13" s="641">
        <f>industrie!P18</f>
        <v>0</v>
      </c>
      <c r="R13" s="643">
        <f>SUM(C13:Q13)</f>
        <v>919342.83158519259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1522337.4961901377</v>
      </c>
      <c r="D16" s="675">
        <f t="shared" ref="D16:R16" ca="1" si="0">SUM(D9:D15)</f>
        <v>11677.5</v>
      </c>
      <c r="E16" s="675">
        <f t="shared" ca="1" si="0"/>
        <v>2466790.2689097412</v>
      </c>
      <c r="F16" s="675">
        <f t="shared" si="0"/>
        <v>46252.377976918768</v>
      </c>
      <c r="G16" s="675">
        <f t="shared" ca="1" si="0"/>
        <v>836905.90674165788</v>
      </c>
      <c r="H16" s="675">
        <f t="shared" si="0"/>
        <v>0</v>
      </c>
      <c r="I16" s="675">
        <f t="shared" si="0"/>
        <v>0</v>
      </c>
      <c r="J16" s="675">
        <f t="shared" si="0"/>
        <v>0</v>
      </c>
      <c r="K16" s="675">
        <f t="shared" si="0"/>
        <v>16670.337975746141</v>
      </c>
      <c r="L16" s="675">
        <f t="shared" si="0"/>
        <v>0</v>
      </c>
      <c r="M16" s="675">
        <f t="shared" ca="1" si="0"/>
        <v>0</v>
      </c>
      <c r="N16" s="675">
        <f t="shared" si="0"/>
        <v>0</v>
      </c>
      <c r="O16" s="675">
        <f t="shared" ca="1" si="0"/>
        <v>226436.84963155352</v>
      </c>
      <c r="P16" s="675">
        <f t="shared" si="0"/>
        <v>1389.8033333333335</v>
      </c>
      <c r="Q16" s="675">
        <f t="shared" si="0"/>
        <v>2478.666666666667</v>
      </c>
      <c r="R16" s="675">
        <f t="shared" ca="1" si="0"/>
        <v>5130939.2074257564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9391.5930929149999</v>
      </c>
      <c r="D19" s="640">
        <f>transport!C54</f>
        <v>0</v>
      </c>
      <c r="E19" s="640">
        <f>transport!D54</f>
        <v>0</v>
      </c>
      <c r="F19" s="640">
        <f>transport!E54</f>
        <v>0</v>
      </c>
      <c r="G19" s="640">
        <f>transport!F54</f>
        <v>0</v>
      </c>
      <c r="H19" s="640">
        <f>transport!G54</f>
        <v>37231.1019117248</v>
      </c>
      <c r="I19" s="640">
        <f>transport!H54</f>
        <v>0</v>
      </c>
      <c r="J19" s="640">
        <f>transport!I54</f>
        <v>0</v>
      </c>
      <c r="K19" s="640">
        <f>transport!J54</f>
        <v>0</v>
      </c>
      <c r="L19" s="640">
        <f>transport!K54</f>
        <v>0</v>
      </c>
      <c r="M19" s="640">
        <f>transport!L54</f>
        <v>0</v>
      </c>
      <c r="N19" s="640">
        <f>transport!M54</f>
        <v>1669.4738937255788</v>
      </c>
      <c r="O19" s="640">
        <f>transport!N54</f>
        <v>0</v>
      </c>
      <c r="P19" s="640">
        <f>transport!O54</f>
        <v>0</v>
      </c>
      <c r="Q19" s="641">
        <f>transport!P54</f>
        <v>0</v>
      </c>
      <c r="R19" s="643">
        <f>SUM(C19:Q19)</f>
        <v>48292.168898365373</v>
      </c>
      <c r="S19" s="67"/>
    </row>
    <row r="20" spans="1:19" s="444" customFormat="1">
      <c r="A20" s="754" t="s">
        <v>296</v>
      </c>
      <c r="B20" s="759"/>
      <c r="C20" s="640">
        <f>transport!B14</f>
        <v>153.4219559113051</v>
      </c>
      <c r="D20" s="640">
        <f>transport!C14</f>
        <v>0</v>
      </c>
      <c r="E20" s="640">
        <f>transport!D14</f>
        <v>142.66700020162409</v>
      </c>
      <c r="F20" s="640">
        <f>transport!E14</f>
        <v>5584.8088989651496</v>
      </c>
      <c r="G20" s="640">
        <f>transport!F14</f>
        <v>0</v>
      </c>
      <c r="H20" s="640">
        <f>transport!G14</f>
        <v>1772799.6709243264</v>
      </c>
      <c r="I20" s="640">
        <f>transport!H14</f>
        <v>265889.39349892718</v>
      </c>
      <c r="J20" s="640">
        <f>transport!I14</f>
        <v>0</v>
      </c>
      <c r="K20" s="640">
        <f>transport!J14</f>
        <v>0</v>
      </c>
      <c r="L20" s="640">
        <f>transport!K14</f>
        <v>0</v>
      </c>
      <c r="M20" s="640">
        <f>transport!L14</f>
        <v>0</v>
      </c>
      <c r="N20" s="640">
        <f>transport!M14</f>
        <v>92164.059203974786</v>
      </c>
      <c r="O20" s="640">
        <f>transport!N14</f>
        <v>0</v>
      </c>
      <c r="P20" s="640">
        <f>transport!O14</f>
        <v>0</v>
      </c>
      <c r="Q20" s="641">
        <f>transport!P14</f>
        <v>0</v>
      </c>
      <c r="R20" s="643">
        <f>SUM(C20:Q20)</f>
        <v>2136734.0214823065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9545.0150488263043</v>
      </c>
      <c r="D22" s="757">
        <f t="shared" ref="D22:R22" si="1">SUM(D18:D21)</f>
        <v>0</v>
      </c>
      <c r="E22" s="757">
        <f t="shared" si="1"/>
        <v>142.66700020162409</v>
      </c>
      <c r="F22" s="757">
        <f t="shared" si="1"/>
        <v>5584.8088989651496</v>
      </c>
      <c r="G22" s="757">
        <f t="shared" si="1"/>
        <v>0</v>
      </c>
      <c r="H22" s="757">
        <f t="shared" si="1"/>
        <v>1810030.7728360512</v>
      </c>
      <c r="I22" s="757">
        <f t="shared" si="1"/>
        <v>265889.39349892718</v>
      </c>
      <c r="J22" s="757">
        <f t="shared" si="1"/>
        <v>0</v>
      </c>
      <c r="K22" s="757">
        <f t="shared" si="1"/>
        <v>0</v>
      </c>
      <c r="L22" s="757">
        <f t="shared" si="1"/>
        <v>0</v>
      </c>
      <c r="M22" s="757">
        <f t="shared" si="1"/>
        <v>0</v>
      </c>
      <c r="N22" s="757">
        <f t="shared" si="1"/>
        <v>93833.533097700361</v>
      </c>
      <c r="O22" s="757">
        <f t="shared" si="1"/>
        <v>0</v>
      </c>
      <c r="P22" s="757">
        <f t="shared" si="1"/>
        <v>0</v>
      </c>
      <c r="Q22" s="757">
        <f t="shared" si="1"/>
        <v>0</v>
      </c>
      <c r="R22" s="757">
        <f t="shared" si="1"/>
        <v>2185026.190380672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3034.4643411941011</v>
      </c>
      <c r="D24" s="640">
        <f>+landbouw!C8</f>
        <v>0</v>
      </c>
      <c r="E24" s="640">
        <f>+landbouw!D8</f>
        <v>6314.4632219834257</v>
      </c>
      <c r="F24" s="640">
        <f>+landbouw!E8</f>
        <v>63.009772525005019</v>
      </c>
      <c r="G24" s="640">
        <f>+landbouw!F8</f>
        <v>10723.874412446779</v>
      </c>
      <c r="H24" s="640">
        <f>+landbouw!G8</f>
        <v>0</v>
      </c>
      <c r="I24" s="640">
        <f>+landbouw!H8</f>
        <v>0</v>
      </c>
      <c r="J24" s="640">
        <f>+landbouw!I8</f>
        <v>0</v>
      </c>
      <c r="K24" s="640">
        <f>+landbouw!J8</f>
        <v>348.03386746287418</v>
      </c>
      <c r="L24" s="640">
        <f>+landbouw!K8</f>
        <v>0</v>
      </c>
      <c r="M24" s="640">
        <f>+landbouw!L8</f>
        <v>0</v>
      </c>
      <c r="N24" s="640">
        <f>+landbouw!M8</f>
        <v>0</v>
      </c>
      <c r="O24" s="640">
        <f>+landbouw!N8</f>
        <v>0</v>
      </c>
      <c r="P24" s="640">
        <f>+landbouw!O8</f>
        <v>0</v>
      </c>
      <c r="Q24" s="641">
        <f>+landbouw!P8</f>
        <v>0</v>
      </c>
      <c r="R24" s="643">
        <f>SUM(C24:Q24)</f>
        <v>20483.845615612183</v>
      </c>
      <c r="S24" s="67"/>
    </row>
    <row r="25" spans="1:19" s="444" customFormat="1" ht="15" thickBot="1">
      <c r="A25" s="776" t="s">
        <v>806</v>
      </c>
      <c r="B25" s="939"/>
      <c r="C25" s="940">
        <f>IF(Onbekend_ele_kWh="---",0,Onbekend_ele_kWh)/1000+IF(REST_rest_ele_kWh="---",0,REST_rest_ele_kWh)/1000</f>
        <v>27365.906761385002</v>
      </c>
      <c r="D25" s="940"/>
      <c r="E25" s="940">
        <f>IF(onbekend_gas_kWh="---",0,onbekend_gas_kWh)/1000+IF(REST_rest_gas_kWh="---",0,REST_rest_gas_kWh)/1000</f>
        <v>98499.386837011698</v>
      </c>
      <c r="F25" s="940"/>
      <c r="G25" s="940"/>
      <c r="H25" s="940"/>
      <c r="I25" s="940"/>
      <c r="J25" s="940"/>
      <c r="K25" s="940"/>
      <c r="L25" s="940"/>
      <c r="M25" s="940"/>
      <c r="N25" s="940"/>
      <c r="O25" s="940"/>
      <c r="P25" s="940"/>
      <c r="Q25" s="941"/>
      <c r="R25" s="643">
        <f>SUM(C25:Q25)</f>
        <v>125865.2935983967</v>
      </c>
      <c r="S25" s="67"/>
    </row>
    <row r="26" spans="1:19" s="444" customFormat="1" ht="15.75" thickBot="1">
      <c r="A26" s="648" t="s">
        <v>807</v>
      </c>
      <c r="B26" s="762"/>
      <c r="C26" s="757">
        <f>SUM(C24:C25)</f>
        <v>30400.371102579102</v>
      </c>
      <c r="D26" s="757">
        <f t="shared" ref="D26:R26" si="2">SUM(D24:D25)</f>
        <v>0</v>
      </c>
      <c r="E26" s="757">
        <f t="shared" si="2"/>
        <v>104813.85005899513</v>
      </c>
      <c r="F26" s="757">
        <f t="shared" si="2"/>
        <v>63.009772525005019</v>
      </c>
      <c r="G26" s="757">
        <f t="shared" si="2"/>
        <v>10723.874412446779</v>
      </c>
      <c r="H26" s="757">
        <f t="shared" si="2"/>
        <v>0</v>
      </c>
      <c r="I26" s="757">
        <f t="shared" si="2"/>
        <v>0</v>
      </c>
      <c r="J26" s="757">
        <f t="shared" si="2"/>
        <v>0</v>
      </c>
      <c r="K26" s="757">
        <f t="shared" si="2"/>
        <v>348.03386746287418</v>
      </c>
      <c r="L26" s="757">
        <f t="shared" si="2"/>
        <v>0</v>
      </c>
      <c r="M26" s="757">
        <f t="shared" si="2"/>
        <v>0</v>
      </c>
      <c r="N26" s="757">
        <f t="shared" si="2"/>
        <v>0</v>
      </c>
      <c r="O26" s="757">
        <f t="shared" si="2"/>
        <v>0</v>
      </c>
      <c r="P26" s="757">
        <f t="shared" si="2"/>
        <v>0</v>
      </c>
      <c r="Q26" s="757">
        <f t="shared" si="2"/>
        <v>0</v>
      </c>
      <c r="R26" s="757">
        <f t="shared" si="2"/>
        <v>146349.13921400887</v>
      </c>
      <c r="S26" s="67"/>
    </row>
    <row r="27" spans="1:19" s="444" customFormat="1" ht="17.25" thickTop="1" thickBot="1">
      <c r="A27" s="649" t="s">
        <v>109</v>
      </c>
      <c r="B27" s="749"/>
      <c r="C27" s="650">
        <f ca="1">C22+C16+C26</f>
        <v>1562282.8823415432</v>
      </c>
      <c r="D27" s="650">
        <f t="shared" ref="D27:R27" ca="1" si="3">D22+D16+D26</f>
        <v>11677.5</v>
      </c>
      <c r="E27" s="650">
        <f t="shared" ca="1" si="3"/>
        <v>2571746.7859689379</v>
      </c>
      <c r="F27" s="650">
        <f t="shared" si="3"/>
        <v>51900.196648408921</v>
      </c>
      <c r="G27" s="650">
        <f t="shared" ca="1" si="3"/>
        <v>847629.78115410462</v>
      </c>
      <c r="H27" s="650">
        <f t="shared" si="3"/>
        <v>1810030.7728360512</v>
      </c>
      <c r="I27" s="650">
        <f t="shared" si="3"/>
        <v>265889.39349892718</v>
      </c>
      <c r="J27" s="650">
        <f t="shared" si="3"/>
        <v>0</v>
      </c>
      <c r="K27" s="650">
        <f t="shared" si="3"/>
        <v>17018.371843209014</v>
      </c>
      <c r="L27" s="650">
        <f t="shared" si="3"/>
        <v>0</v>
      </c>
      <c r="M27" s="650">
        <f t="shared" ca="1" si="3"/>
        <v>0</v>
      </c>
      <c r="N27" s="650">
        <f t="shared" si="3"/>
        <v>93833.533097700361</v>
      </c>
      <c r="O27" s="650">
        <f t="shared" ca="1" si="3"/>
        <v>226436.84963155352</v>
      </c>
      <c r="P27" s="650">
        <f t="shared" si="3"/>
        <v>1389.8033333333335</v>
      </c>
      <c r="Q27" s="650">
        <f t="shared" si="3"/>
        <v>2478.666666666667</v>
      </c>
      <c r="R27" s="650">
        <f t="shared" ca="1" si="3"/>
        <v>7462314.5370204374</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147993.63958829246</v>
      </c>
      <c r="D40" s="640">
        <f ca="1">tertiair!C20</f>
        <v>45.42360846777737</v>
      </c>
      <c r="E40" s="640">
        <f ca="1">tertiair!D20</f>
        <v>180274.26889943719</v>
      </c>
      <c r="F40" s="640">
        <f>tertiair!E20</f>
        <v>831.70229901992991</v>
      </c>
      <c r="G40" s="640">
        <f ca="1">tertiair!F20</f>
        <v>28479.454211317541</v>
      </c>
      <c r="H40" s="640">
        <f>tertiair!G20</f>
        <v>0</v>
      </c>
      <c r="I40" s="640">
        <f>tertiair!H20</f>
        <v>0</v>
      </c>
      <c r="J40" s="640">
        <f>tertiair!I20</f>
        <v>0</v>
      </c>
      <c r="K40" s="640">
        <f>tertiair!J20</f>
        <v>1533.9424508005252</v>
      </c>
      <c r="L40" s="640">
        <f>tertiair!K20</f>
        <v>0</v>
      </c>
      <c r="M40" s="640">
        <f ca="1">tertiair!L20</f>
        <v>0</v>
      </c>
      <c r="N40" s="640">
        <f>tertiair!M20</f>
        <v>0</v>
      </c>
      <c r="O40" s="640">
        <f ca="1">tertiair!N20</f>
        <v>0</v>
      </c>
      <c r="P40" s="640">
        <f>tertiair!O20</f>
        <v>0</v>
      </c>
      <c r="Q40" s="717">
        <f>tertiair!P20</f>
        <v>0</v>
      </c>
      <c r="R40" s="795">
        <f t="shared" ca="1" si="4"/>
        <v>359158.43105733534</v>
      </c>
    </row>
    <row r="41" spans="1:18">
      <c r="A41" s="767" t="s">
        <v>214</v>
      </c>
      <c r="B41" s="774"/>
      <c r="C41" s="640">
        <f ca="1">huishoudens!B12</f>
        <v>78750.050169707916</v>
      </c>
      <c r="D41" s="640">
        <f ca="1">huishoudens!C12</f>
        <v>0</v>
      </c>
      <c r="E41" s="640">
        <f>huishoudens!D12</f>
        <v>248148.37148393178</v>
      </c>
      <c r="F41" s="640">
        <f>huishoudens!E12</f>
        <v>4489.8971646089594</v>
      </c>
      <c r="G41" s="640">
        <f>huishoudens!F12</f>
        <v>161840.8399582649</v>
      </c>
      <c r="H41" s="640">
        <f>huishoudens!G12</f>
        <v>0</v>
      </c>
      <c r="I41" s="640">
        <f>huishoudens!H12</f>
        <v>0</v>
      </c>
      <c r="J41" s="640">
        <f>huishoudens!I12</f>
        <v>0</v>
      </c>
      <c r="K41" s="640">
        <f>huishoudens!J12</f>
        <v>4063.6326308534685</v>
      </c>
      <c r="L41" s="640">
        <f>huishoudens!K12</f>
        <v>0</v>
      </c>
      <c r="M41" s="640">
        <f>huishoudens!L12</f>
        <v>0</v>
      </c>
      <c r="N41" s="640">
        <f>huishoudens!M12</f>
        <v>0</v>
      </c>
      <c r="O41" s="640">
        <f>huishoudens!N12</f>
        <v>0</v>
      </c>
      <c r="P41" s="640">
        <f>huishoudens!O12</f>
        <v>0</v>
      </c>
      <c r="Q41" s="717">
        <f>huishoudens!P12</f>
        <v>0</v>
      </c>
      <c r="R41" s="795">
        <f t="shared" ca="1" si="4"/>
        <v>497292.79140736698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79223.254860257483</v>
      </c>
      <c r="D43" s="640">
        <f ca="1">industrie!C22</f>
        <v>936.86192464790815</v>
      </c>
      <c r="E43" s="640">
        <f>industrie!D22</f>
        <v>69868.993936398707</v>
      </c>
      <c r="F43" s="640">
        <f>industrie!E22</f>
        <v>5177.6903371316712</v>
      </c>
      <c r="G43" s="640">
        <f>industrie!F22</f>
        <v>33133.58293044025</v>
      </c>
      <c r="H43" s="640">
        <f>industrie!G22</f>
        <v>0</v>
      </c>
      <c r="I43" s="640">
        <f>industrie!H22</f>
        <v>0</v>
      </c>
      <c r="J43" s="640">
        <f>industrie!I22</f>
        <v>0</v>
      </c>
      <c r="K43" s="640">
        <f>industrie!J22</f>
        <v>303.72456176013958</v>
      </c>
      <c r="L43" s="640">
        <f>industrie!K22</f>
        <v>0</v>
      </c>
      <c r="M43" s="640">
        <f>industrie!L22</f>
        <v>0</v>
      </c>
      <c r="N43" s="640">
        <f>industrie!M22</f>
        <v>0</v>
      </c>
      <c r="O43" s="640">
        <f>industrie!N22</f>
        <v>0</v>
      </c>
      <c r="P43" s="640">
        <f>industrie!O22</f>
        <v>0</v>
      </c>
      <c r="Q43" s="717">
        <f>industrie!P22</f>
        <v>0</v>
      </c>
      <c r="R43" s="794">
        <f t="shared" ca="1" si="4"/>
        <v>188644.10855063616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305966.94461825787</v>
      </c>
      <c r="D46" s="675">
        <f t="shared" ref="D46:Q46" ca="1" si="5">SUM(D39:D45)</f>
        <v>982.28553311568555</v>
      </c>
      <c r="E46" s="675">
        <f t="shared" ca="1" si="5"/>
        <v>498291.63431976765</v>
      </c>
      <c r="F46" s="675">
        <f t="shared" si="5"/>
        <v>10499.289800760562</v>
      </c>
      <c r="G46" s="675">
        <f t="shared" ca="1" si="5"/>
        <v>223453.87710002268</v>
      </c>
      <c r="H46" s="675">
        <f t="shared" si="5"/>
        <v>0</v>
      </c>
      <c r="I46" s="675">
        <f t="shared" si="5"/>
        <v>0</v>
      </c>
      <c r="J46" s="675">
        <f t="shared" si="5"/>
        <v>0</v>
      </c>
      <c r="K46" s="675">
        <f t="shared" si="5"/>
        <v>5901.2996434141332</v>
      </c>
      <c r="L46" s="675">
        <f t="shared" si="5"/>
        <v>0</v>
      </c>
      <c r="M46" s="675">
        <f t="shared" ca="1" si="5"/>
        <v>0</v>
      </c>
      <c r="N46" s="675">
        <f t="shared" si="5"/>
        <v>0</v>
      </c>
      <c r="O46" s="675">
        <f t="shared" ca="1" si="5"/>
        <v>0</v>
      </c>
      <c r="P46" s="675">
        <f t="shared" si="5"/>
        <v>0</v>
      </c>
      <c r="Q46" s="675">
        <f t="shared" si="5"/>
        <v>0</v>
      </c>
      <c r="R46" s="675">
        <f ca="1">SUM(R39:R45)</f>
        <v>1045095.3310153384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1887.5689858053911</v>
      </c>
      <c r="D49" s="640">
        <f ca="1">transport!C58</f>
        <v>0</v>
      </c>
      <c r="E49" s="640">
        <f>transport!D58</f>
        <v>0</v>
      </c>
      <c r="F49" s="640">
        <f>transport!E58</f>
        <v>0</v>
      </c>
      <c r="G49" s="640">
        <f>transport!F58</f>
        <v>0</v>
      </c>
      <c r="H49" s="640">
        <f>transport!G58</f>
        <v>9940.7042104305219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11828.273196235914</v>
      </c>
    </row>
    <row r="50" spans="1:18">
      <c r="A50" s="770" t="s">
        <v>296</v>
      </c>
      <c r="B50" s="780"/>
      <c r="C50" s="646">
        <f ca="1">transport!B18</f>
        <v>30.835506058950866</v>
      </c>
      <c r="D50" s="646">
        <f>transport!C18</f>
        <v>0</v>
      </c>
      <c r="E50" s="646">
        <f>transport!D18</f>
        <v>28.818734040728067</v>
      </c>
      <c r="F50" s="646">
        <f>transport!E18</f>
        <v>1267.7516200650889</v>
      </c>
      <c r="G50" s="646">
        <f>transport!F18</f>
        <v>0</v>
      </c>
      <c r="H50" s="646">
        <f>transport!G18</f>
        <v>473337.51213679515</v>
      </c>
      <c r="I50" s="646">
        <f>transport!H18</f>
        <v>66206.458981232863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540871.37697819283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1918.4044918643419</v>
      </c>
      <c r="D52" s="675">
        <f t="shared" ref="D52:Q52" ca="1" si="6">SUM(D48:D51)</f>
        <v>0</v>
      </c>
      <c r="E52" s="675">
        <f t="shared" si="6"/>
        <v>28.818734040728067</v>
      </c>
      <c r="F52" s="675">
        <f t="shared" si="6"/>
        <v>1267.7516200650889</v>
      </c>
      <c r="G52" s="675">
        <f t="shared" si="6"/>
        <v>0</v>
      </c>
      <c r="H52" s="675">
        <f t="shared" si="6"/>
        <v>483278.21634722565</v>
      </c>
      <c r="I52" s="675">
        <f t="shared" si="6"/>
        <v>66206.458981232863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552699.65017442871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609.8817018905329</v>
      </c>
      <c r="D54" s="646">
        <f ca="1">+landbouw!C12</f>
        <v>0</v>
      </c>
      <c r="E54" s="646">
        <f>+landbouw!D12</f>
        <v>1275.521570840652</v>
      </c>
      <c r="F54" s="646">
        <f>+landbouw!E12</f>
        <v>14.303218363176139</v>
      </c>
      <c r="G54" s="646">
        <f>+landbouw!F12</f>
        <v>2863.2744681232903</v>
      </c>
      <c r="H54" s="646">
        <f>+landbouw!G12</f>
        <v>0</v>
      </c>
      <c r="I54" s="646">
        <f>+landbouw!H12</f>
        <v>0</v>
      </c>
      <c r="J54" s="646">
        <f>+landbouw!I12</f>
        <v>0</v>
      </c>
      <c r="K54" s="646">
        <f>+landbouw!J12</f>
        <v>123.20398908185746</v>
      </c>
      <c r="L54" s="646">
        <f>+landbouw!K12</f>
        <v>0</v>
      </c>
      <c r="M54" s="646">
        <f>+landbouw!L12</f>
        <v>0</v>
      </c>
      <c r="N54" s="646">
        <f>+landbouw!M12</f>
        <v>0</v>
      </c>
      <c r="O54" s="646">
        <f>+landbouw!N12</f>
        <v>0</v>
      </c>
      <c r="P54" s="646">
        <f>+landbouw!O12</f>
        <v>0</v>
      </c>
      <c r="Q54" s="647">
        <f>+landbouw!P12</f>
        <v>0</v>
      </c>
      <c r="R54" s="674">
        <f ca="1">SUM(C54:Q54)</f>
        <v>4886.1849482995094</v>
      </c>
    </row>
    <row r="55" spans="1:18" ht="15" thickBot="1">
      <c r="A55" s="770" t="s">
        <v>806</v>
      </c>
      <c r="B55" s="780"/>
      <c r="C55" s="646">
        <f ca="1">C25*'EF ele_warmte'!B12</f>
        <v>5500.1357448291537</v>
      </c>
      <c r="D55" s="646"/>
      <c r="E55" s="646">
        <f>E25*EF_CO2_aardgas</f>
        <v>19896.876141076365</v>
      </c>
      <c r="F55" s="646"/>
      <c r="G55" s="646"/>
      <c r="H55" s="646"/>
      <c r="I55" s="646"/>
      <c r="J55" s="646"/>
      <c r="K55" s="646"/>
      <c r="L55" s="646"/>
      <c r="M55" s="646"/>
      <c r="N55" s="646"/>
      <c r="O55" s="646"/>
      <c r="P55" s="646"/>
      <c r="Q55" s="647"/>
      <c r="R55" s="674">
        <f ca="1">SUM(C55:Q55)</f>
        <v>25397.011885905518</v>
      </c>
    </row>
    <row r="56" spans="1:18" ht="15.75" thickBot="1">
      <c r="A56" s="768" t="s">
        <v>807</v>
      </c>
      <c r="B56" s="781"/>
      <c r="C56" s="675">
        <f ca="1">SUM(C54:C55)</f>
        <v>6110.0174467196866</v>
      </c>
      <c r="D56" s="675">
        <f t="shared" ref="D56:Q56" ca="1" si="7">SUM(D54:D55)</f>
        <v>0</v>
      </c>
      <c r="E56" s="675">
        <f t="shared" si="7"/>
        <v>21172.397711917016</v>
      </c>
      <c r="F56" s="675">
        <f t="shared" si="7"/>
        <v>14.303218363176139</v>
      </c>
      <c r="G56" s="675">
        <f t="shared" si="7"/>
        <v>2863.2744681232903</v>
      </c>
      <c r="H56" s="675">
        <f t="shared" si="7"/>
        <v>0</v>
      </c>
      <c r="I56" s="675">
        <f t="shared" si="7"/>
        <v>0</v>
      </c>
      <c r="J56" s="675">
        <f t="shared" si="7"/>
        <v>0</v>
      </c>
      <c r="K56" s="675">
        <f t="shared" si="7"/>
        <v>123.20398908185746</v>
      </c>
      <c r="L56" s="675">
        <f t="shared" si="7"/>
        <v>0</v>
      </c>
      <c r="M56" s="675">
        <f t="shared" si="7"/>
        <v>0</v>
      </c>
      <c r="N56" s="675">
        <f t="shared" si="7"/>
        <v>0</v>
      </c>
      <c r="O56" s="675">
        <f t="shared" si="7"/>
        <v>0</v>
      </c>
      <c r="P56" s="675">
        <f t="shared" si="7"/>
        <v>0</v>
      </c>
      <c r="Q56" s="676">
        <f t="shared" si="7"/>
        <v>0</v>
      </c>
      <c r="R56" s="677">
        <f ca="1">SUM(R54:R55)</f>
        <v>30283.196834205028</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313995.36655684188</v>
      </c>
      <c r="D61" s="683">
        <f t="shared" ref="D61:Q61" ca="1" si="8">D46+D52+D56</f>
        <v>982.28553311568555</v>
      </c>
      <c r="E61" s="683">
        <f t="shared" ca="1" si="8"/>
        <v>519492.85076572536</v>
      </c>
      <c r="F61" s="683">
        <f t="shared" si="8"/>
        <v>11781.344639188828</v>
      </c>
      <c r="G61" s="683">
        <f t="shared" ca="1" si="8"/>
        <v>226317.15156814599</v>
      </c>
      <c r="H61" s="683">
        <f t="shared" si="8"/>
        <v>483278.21634722565</v>
      </c>
      <c r="I61" s="683">
        <f t="shared" si="8"/>
        <v>66206.458981232863</v>
      </c>
      <c r="J61" s="683">
        <f t="shared" si="8"/>
        <v>0</v>
      </c>
      <c r="K61" s="683">
        <f t="shared" si="8"/>
        <v>6024.503632495991</v>
      </c>
      <c r="L61" s="683">
        <f t="shared" si="8"/>
        <v>0</v>
      </c>
      <c r="M61" s="683">
        <f t="shared" ca="1" si="8"/>
        <v>0</v>
      </c>
      <c r="N61" s="683">
        <f t="shared" si="8"/>
        <v>0</v>
      </c>
      <c r="O61" s="683">
        <f t="shared" ca="1" si="8"/>
        <v>0</v>
      </c>
      <c r="P61" s="683">
        <f t="shared" si="8"/>
        <v>0</v>
      </c>
      <c r="Q61" s="683">
        <f t="shared" si="8"/>
        <v>0</v>
      </c>
      <c r="R61" s="683">
        <f ca="1">R46+R52+R56</f>
        <v>1628078.1780239721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0.20098496252242545</v>
      </c>
      <c r="D63" s="726">
        <f t="shared" ca="1" si="9"/>
        <v>8.4117793458846971E-2</v>
      </c>
      <c r="E63" s="946">
        <f t="shared" ca="1" si="9"/>
        <v>0.20199999999999996</v>
      </c>
      <c r="F63" s="726">
        <f t="shared" si="9"/>
        <v>0.22700000000000006</v>
      </c>
      <c r="G63" s="726">
        <f t="shared" ca="1" si="9"/>
        <v>0.26700000000000007</v>
      </c>
      <c r="H63" s="726">
        <f t="shared" si="9"/>
        <v>0.26700000000000002</v>
      </c>
      <c r="I63" s="726">
        <f t="shared" si="9"/>
        <v>0.24899999999999997</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83819.039879999997</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49445.876960765367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7432.237182677949</v>
      </c>
      <c r="C76" s="693">
        <f>'lokale energieproductie'!B8*IFERROR(SUM(D76:H76)/SUM(D76:O76),0)</f>
        <v>2845.7628173220505</v>
      </c>
      <c r="D76" s="956">
        <f>'lokale energieproductie'!C8</f>
        <v>451.40983222557327</v>
      </c>
      <c r="E76" s="957">
        <f>'lokale energieproductie'!D8</f>
        <v>0</v>
      </c>
      <c r="F76" s="957">
        <f>'lokale energieproductie'!E8</f>
        <v>2896.5464234474275</v>
      </c>
      <c r="G76" s="957">
        <f>'lokale energieproductie'!F8</f>
        <v>0</v>
      </c>
      <c r="H76" s="957">
        <f>'lokale energieproductie'!G8</f>
        <v>0</v>
      </c>
      <c r="I76" s="957">
        <f>'lokale energieproductie'!I8</f>
        <v>8743.8084502093516</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864.56268117002901</v>
      </c>
      <c r="R76" s="797">
        <v>0</v>
      </c>
    </row>
    <row r="77" spans="1:18" ht="30.75" thickBot="1">
      <c r="A77" s="696" t="s">
        <v>340</v>
      </c>
      <c r="B77" s="693">
        <f>'lokale energieproductie'!B9*IFERROR(SUM(I77:O77)/SUM(D77:O77),0)</f>
        <v>1858.5</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5310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142555.65402344332</v>
      </c>
      <c r="C78" s="698">
        <f>SUM(C72:C77)</f>
        <v>2845.7628173220505</v>
      </c>
      <c r="D78" s="699">
        <f t="shared" ref="D78:H78" si="10">SUM(D76:D77)</f>
        <v>451.40983222557327</v>
      </c>
      <c r="E78" s="699">
        <f t="shared" si="10"/>
        <v>0</v>
      </c>
      <c r="F78" s="699">
        <f t="shared" si="10"/>
        <v>2896.5464234474275</v>
      </c>
      <c r="G78" s="699">
        <f t="shared" si="10"/>
        <v>0</v>
      </c>
      <c r="H78" s="699">
        <f t="shared" si="10"/>
        <v>0</v>
      </c>
      <c r="I78" s="699">
        <f>SUM(I76:I77)</f>
        <v>8743.8084502093516</v>
      </c>
      <c r="J78" s="699">
        <f>SUM(J76:J77)</f>
        <v>5310</v>
      </c>
      <c r="K78" s="699">
        <f t="shared" ref="K78:L78" si="11">SUM(K76:K77)</f>
        <v>0</v>
      </c>
      <c r="L78" s="699">
        <f t="shared" si="11"/>
        <v>0</v>
      </c>
      <c r="M78" s="699">
        <f>SUM(M76:M77)</f>
        <v>0</v>
      </c>
      <c r="N78" s="699">
        <f>SUM(N76:N77)</f>
        <v>0</v>
      </c>
      <c r="O78" s="805">
        <f>SUM(O76:O77)</f>
        <v>0</v>
      </c>
      <c r="P78" s="700">
        <v>0</v>
      </c>
      <c r="Q78" s="700">
        <f>SUM(Q76:Q77)</f>
        <v>864.56268117002901</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8444.2449601791923</v>
      </c>
      <c r="C87" s="709">
        <f>'lokale energieproductie'!B17*IFERROR(SUM(D87:H87)/SUM(D87:O87),0)</f>
        <v>3233.2550398208064</v>
      </c>
      <c r="D87" s="720">
        <f>'lokale energieproductie'!C17</f>
        <v>512.87588206014129</v>
      </c>
      <c r="E87" s="720">
        <f>'lokale energieproductie'!D17</f>
        <v>0</v>
      </c>
      <c r="F87" s="720">
        <f>'lokale energieproductie'!E17</f>
        <v>3290.9535765525725</v>
      </c>
      <c r="G87" s="720">
        <f>'lokale energieproductie'!F17</f>
        <v>0</v>
      </c>
      <c r="H87" s="720">
        <f>'lokale energieproductie'!G17</f>
        <v>0</v>
      </c>
      <c r="I87" s="720">
        <f>'lokale energieproductie'!I17</f>
        <v>9934.4058355049347</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982.28553311568544</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8444.2449601791923</v>
      </c>
      <c r="C90" s="698">
        <f>SUM(C87:C89)</f>
        <v>3233.2550398208064</v>
      </c>
      <c r="D90" s="698">
        <f t="shared" ref="D90:H90" si="12">SUM(D87:D89)</f>
        <v>512.87588206014129</v>
      </c>
      <c r="E90" s="698">
        <f t="shared" si="12"/>
        <v>0</v>
      </c>
      <c r="F90" s="698">
        <f t="shared" si="12"/>
        <v>3290.9535765525725</v>
      </c>
      <c r="G90" s="698">
        <f t="shared" si="12"/>
        <v>0</v>
      </c>
      <c r="H90" s="698">
        <f t="shared" si="12"/>
        <v>0</v>
      </c>
      <c r="I90" s="698">
        <f>SUM(I87:I89)</f>
        <v>9934.4058355049347</v>
      </c>
      <c r="J90" s="698">
        <f>SUM(J87:J89)</f>
        <v>0</v>
      </c>
      <c r="K90" s="698">
        <f t="shared" ref="K90:L90" si="13">SUM(K87:K89)</f>
        <v>0</v>
      </c>
      <c r="L90" s="698">
        <f t="shared" si="13"/>
        <v>0</v>
      </c>
      <c r="M90" s="698">
        <f>SUM(M87:M89)</f>
        <v>0</v>
      </c>
      <c r="N90" s="698">
        <f>SUM(N87:N89)</f>
        <v>0</v>
      </c>
      <c r="O90" s="698">
        <f>SUM(O87:O89)</f>
        <v>0</v>
      </c>
      <c r="P90" s="698">
        <v>0</v>
      </c>
      <c r="Q90" s="698">
        <f>SUM(Q87:Q89)</f>
        <v>982.28553311568544</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391820.60777766479</v>
      </c>
      <c r="C4" s="448">
        <f>huishoudens!C8</f>
        <v>0</v>
      </c>
      <c r="D4" s="448">
        <f>huishoudens!D8</f>
        <v>1228457.2845739196</v>
      </c>
      <c r="E4" s="448">
        <f>huishoudens!E8</f>
        <v>19779.282663475591</v>
      </c>
      <c r="F4" s="448">
        <f>huishoudens!F8</f>
        <v>606145.46800848271</v>
      </c>
      <c r="G4" s="448">
        <f>huishoudens!G8</f>
        <v>0</v>
      </c>
      <c r="H4" s="448">
        <f>huishoudens!H8</f>
        <v>0</v>
      </c>
      <c r="I4" s="448">
        <f>huishoudens!I8</f>
        <v>0</v>
      </c>
      <c r="J4" s="448">
        <f>huishoudens!J8</f>
        <v>11479.188222749912</v>
      </c>
      <c r="K4" s="448">
        <f>huishoudens!K8</f>
        <v>0</v>
      </c>
      <c r="L4" s="448">
        <f>huishoudens!L8</f>
        <v>0</v>
      </c>
      <c r="M4" s="448">
        <f>huishoudens!M8</f>
        <v>0</v>
      </c>
      <c r="N4" s="448">
        <f>huishoudens!N8</f>
        <v>176787.54198263236</v>
      </c>
      <c r="O4" s="448">
        <f>huishoudens!O8</f>
        <v>1364.7900000000002</v>
      </c>
      <c r="P4" s="449">
        <f>huishoudens!P8</f>
        <v>2211.7333333333336</v>
      </c>
      <c r="Q4" s="450">
        <f>SUM(B4:P4)</f>
        <v>2438045.8965622587</v>
      </c>
    </row>
    <row r="5" spans="1:17">
      <c r="A5" s="447" t="s">
        <v>149</v>
      </c>
      <c r="B5" s="448">
        <f ca="1">tertiair!B16</f>
        <v>721727.71030041599</v>
      </c>
      <c r="C5" s="448">
        <f ca="1">tertiair!C16</f>
        <v>540.00000000000011</v>
      </c>
      <c r="D5" s="448">
        <f ca="1">tertiair!D16</f>
        <v>892446.87573978794</v>
      </c>
      <c r="E5" s="448">
        <f>tertiair!E16</f>
        <v>3663.8867798234796</v>
      </c>
      <c r="F5" s="448">
        <f ca="1">tertiair!F16</f>
        <v>106664.62251429789</v>
      </c>
      <c r="G5" s="448">
        <f>tertiair!G16</f>
        <v>0</v>
      </c>
      <c r="H5" s="448">
        <f>tertiair!H16</f>
        <v>0</v>
      </c>
      <c r="I5" s="448">
        <f>tertiair!I16</f>
        <v>0</v>
      </c>
      <c r="J5" s="448">
        <f>tertiair!J16</f>
        <v>4333.1707649732352</v>
      </c>
      <c r="K5" s="448">
        <f>tertiair!K16</f>
        <v>0</v>
      </c>
      <c r="L5" s="448">
        <f ca="1">tertiair!L16</f>
        <v>0</v>
      </c>
      <c r="M5" s="448">
        <f>tertiair!M16</f>
        <v>0</v>
      </c>
      <c r="N5" s="448">
        <f ca="1">tertiair!N16</f>
        <v>29268.124512338742</v>
      </c>
      <c r="O5" s="448">
        <f>tertiair!O16</f>
        <v>25.013333333333335</v>
      </c>
      <c r="P5" s="449">
        <f>tertiair!P16</f>
        <v>266.93333333333334</v>
      </c>
      <c r="Q5" s="447">
        <f t="shared" ref="Q5:Q14" ca="1" si="0">SUM(B5:P5)</f>
        <v>1758936.3372783042</v>
      </c>
    </row>
    <row r="6" spans="1:17">
      <c r="A6" s="447" t="s">
        <v>187</v>
      </c>
      <c r="B6" s="448">
        <f>'openbare verlichting'!B8</f>
        <v>14614.142</v>
      </c>
      <c r="C6" s="448"/>
      <c r="D6" s="448"/>
      <c r="E6" s="448"/>
      <c r="F6" s="448"/>
      <c r="G6" s="448"/>
      <c r="H6" s="448"/>
      <c r="I6" s="448"/>
      <c r="J6" s="448"/>
      <c r="K6" s="448"/>
      <c r="L6" s="448"/>
      <c r="M6" s="448"/>
      <c r="N6" s="448"/>
      <c r="O6" s="448"/>
      <c r="P6" s="449"/>
      <c r="Q6" s="447">
        <f t="shared" si="0"/>
        <v>14614.142</v>
      </c>
    </row>
    <row r="7" spans="1:17">
      <c r="A7" s="447" t="s">
        <v>105</v>
      </c>
      <c r="B7" s="448">
        <f>landbouw!B8</f>
        <v>3034.4643411941011</v>
      </c>
      <c r="C7" s="448">
        <f>landbouw!C8</f>
        <v>0</v>
      </c>
      <c r="D7" s="448">
        <f>landbouw!D8</f>
        <v>6314.4632219834257</v>
      </c>
      <c r="E7" s="448">
        <f>landbouw!E8</f>
        <v>63.009772525005019</v>
      </c>
      <c r="F7" s="448">
        <f>landbouw!F8</f>
        <v>10723.874412446779</v>
      </c>
      <c r="G7" s="448">
        <f>landbouw!G8</f>
        <v>0</v>
      </c>
      <c r="H7" s="448">
        <f>landbouw!H8</f>
        <v>0</v>
      </c>
      <c r="I7" s="448">
        <f>landbouw!I8</f>
        <v>0</v>
      </c>
      <c r="J7" s="448">
        <f>landbouw!J8</f>
        <v>348.03386746287418</v>
      </c>
      <c r="K7" s="448">
        <f>landbouw!K8</f>
        <v>0</v>
      </c>
      <c r="L7" s="448">
        <f>landbouw!L8</f>
        <v>0</v>
      </c>
      <c r="M7" s="448">
        <f>landbouw!M8</f>
        <v>0</v>
      </c>
      <c r="N7" s="448">
        <f>landbouw!N8</f>
        <v>0</v>
      </c>
      <c r="O7" s="448">
        <f>landbouw!O8</f>
        <v>0</v>
      </c>
      <c r="P7" s="449">
        <f>landbouw!P8</f>
        <v>0</v>
      </c>
      <c r="Q7" s="447">
        <f t="shared" si="0"/>
        <v>20483.845615612183</v>
      </c>
    </row>
    <row r="8" spans="1:17">
      <c r="A8" s="447" t="s">
        <v>614</v>
      </c>
      <c r="B8" s="448">
        <f>industrie!B18</f>
        <v>394175.03611205705</v>
      </c>
      <c r="C8" s="448">
        <f>industrie!C18</f>
        <v>11137.5</v>
      </c>
      <c r="D8" s="448">
        <f>industrie!D18</f>
        <v>345886.10859603318</v>
      </c>
      <c r="E8" s="448">
        <f>industrie!E18</f>
        <v>22809.208533619694</v>
      </c>
      <c r="F8" s="448">
        <f>industrie!F18</f>
        <v>124095.81621887733</v>
      </c>
      <c r="G8" s="448">
        <f>industrie!G18</f>
        <v>0</v>
      </c>
      <c r="H8" s="448">
        <f>industrie!H18</f>
        <v>0</v>
      </c>
      <c r="I8" s="448">
        <f>industrie!I18</f>
        <v>0</v>
      </c>
      <c r="J8" s="448">
        <f>industrie!J18</f>
        <v>857.97898802299324</v>
      </c>
      <c r="K8" s="448">
        <f>industrie!K18</f>
        <v>0</v>
      </c>
      <c r="L8" s="448">
        <f>industrie!L18</f>
        <v>0</v>
      </c>
      <c r="M8" s="448">
        <f>industrie!M18</f>
        <v>0</v>
      </c>
      <c r="N8" s="448">
        <f>industrie!N18</f>
        <v>20381.183136582415</v>
      </c>
      <c r="O8" s="448">
        <f>industrie!O18</f>
        <v>0</v>
      </c>
      <c r="P8" s="449">
        <f>industrie!P18</f>
        <v>0</v>
      </c>
      <c r="Q8" s="447">
        <f t="shared" si="0"/>
        <v>919342.83158519259</v>
      </c>
    </row>
    <row r="9" spans="1:17" s="453" customFormat="1">
      <c r="A9" s="451" t="s">
        <v>555</v>
      </c>
      <c r="B9" s="452">
        <f>transport!B14</f>
        <v>153.4219559113051</v>
      </c>
      <c r="C9" s="452">
        <f>transport!C14</f>
        <v>0</v>
      </c>
      <c r="D9" s="452">
        <f>transport!D14</f>
        <v>142.66700020162409</v>
      </c>
      <c r="E9" s="452">
        <f>transport!E14</f>
        <v>5584.8088989651496</v>
      </c>
      <c r="F9" s="452">
        <f>transport!F14</f>
        <v>0</v>
      </c>
      <c r="G9" s="452">
        <f>transport!G14</f>
        <v>1772799.6709243264</v>
      </c>
      <c r="H9" s="452">
        <f>transport!H14</f>
        <v>265889.39349892718</v>
      </c>
      <c r="I9" s="452">
        <f>transport!I14</f>
        <v>0</v>
      </c>
      <c r="J9" s="452">
        <f>transport!J14</f>
        <v>0</v>
      </c>
      <c r="K9" s="452">
        <f>transport!K14</f>
        <v>0</v>
      </c>
      <c r="L9" s="452">
        <f>transport!L14</f>
        <v>0</v>
      </c>
      <c r="M9" s="452">
        <f>transport!M14</f>
        <v>92164.059203974786</v>
      </c>
      <c r="N9" s="452">
        <f>transport!N14</f>
        <v>0</v>
      </c>
      <c r="O9" s="452">
        <f>transport!O14</f>
        <v>0</v>
      </c>
      <c r="P9" s="452">
        <f>transport!P14</f>
        <v>0</v>
      </c>
      <c r="Q9" s="451">
        <f>SUM(B9:P9)</f>
        <v>2136734.0214823065</v>
      </c>
    </row>
    <row r="10" spans="1:17">
      <c r="A10" s="447" t="s">
        <v>545</v>
      </c>
      <c r="B10" s="448">
        <f>transport!B54</f>
        <v>9391.5930929149999</v>
      </c>
      <c r="C10" s="448">
        <f>transport!C54</f>
        <v>0</v>
      </c>
      <c r="D10" s="448">
        <f>transport!D54</f>
        <v>0</v>
      </c>
      <c r="E10" s="448">
        <f>transport!E54</f>
        <v>0</v>
      </c>
      <c r="F10" s="448">
        <f>transport!F54</f>
        <v>0</v>
      </c>
      <c r="G10" s="448">
        <f>transport!G54</f>
        <v>37231.1019117248</v>
      </c>
      <c r="H10" s="448">
        <f>transport!H54</f>
        <v>0</v>
      </c>
      <c r="I10" s="448">
        <f>transport!I54</f>
        <v>0</v>
      </c>
      <c r="J10" s="448">
        <f>transport!J54</f>
        <v>0</v>
      </c>
      <c r="K10" s="448">
        <f>transport!K54</f>
        <v>0</v>
      </c>
      <c r="L10" s="448">
        <f>transport!L54</f>
        <v>0</v>
      </c>
      <c r="M10" s="448">
        <f>transport!M54</f>
        <v>1669.4738937255788</v>
      </c>
      <c r="N10" s="448">
        <f>transport!N54</f>
        <v>0</v>
      </c>
      <c r="O10" s="448">
        <f>transport!O54</f>
        <v>0</v>
      </c>
      <c r="P10" s="449">
        <f>transport!P54</f>
        <v>0</v>
      </c>
      <c r="Q10" s="447">
        <f t="shared" si="0"/>
        <v>48292.168898365373</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27365.906761385002</v>
      </c>
      <c r="C14" s="455"/>
      <c r="D14" s="455">
        <f>'SEAP template'!E25</f>
        <v>98499.386837011698</v>
      </c>
      <c r="E14" s="455"/>
      <c r="F14" s="455"/>
      <c r="G14" s="455"/>
      <c r="H14" s="455"/>
      <c r="I14" s="455"/>
      <c r="J14" s="455"/>
      <c r="K14" s="455"/>
      <c r="L14" s="455"/>
      <c r="M14" s="455"/>
      <c r="N14" s="455"/>
      <c r="O14" s="455"/>
      <c r="P14" s="456"/>
      <c r="Q14" s="447">
        <f t="shared" si="0"/>
        <v>125865.2935983967</v>
      </c>
    </row>
    <row r="15" spans="1:17" s="460" customFormat="1">
      <c r="A15" s="457" t="s">
        <v>549</v>
      </c>
      <c r="B15" s="458">
        <f ca="1">SUM(B4:B14)</f>
        <v>1562282.882341543</v>
      </c>
      <c r="C15" s="458">
        <f t="shared" ref="C15:Q15" ca="1" si="1">SUM(C4:C14)</f>
        <v>11677.5</v>
      </c>
      <c r="D15" s="458">
        <f t="shared" ca="1" si="1"/>
        <v>2571746.7859689374</v>
      </c>
      <c r="E15" s="458">
        <f t="shared" si="1"/>
        <v>51900.196648408921</v>
      </c>
      <c r="F15" s="458">
        <f t="shared" ca="1" si="1"/>
        <v>847629.78115410462</v>
      </c>
      <c r="G15" s="458">
        <f t="shared" si="1"/>
        <v>1810030.7728360512</v>
      </c>
      <c r="H15" s="458">
        <f t="shared" si="1"/>
        <v>265889.39349892718</v>
      </c>
      <c r="I15" s="458">
        <f t="shared" si="1"/>
        <v>0</v>
      </c>
      <c r="J15" s="458">
        <f t="shared" si="1"/>
        <v>17018.371843209014</v>
      </c>
      <c r="K15" s="458">
        <f t="shared" si="1"/>
        <v>0</v>
      </c>
      <c r="L15" s="458">
        <f t="shared" ca="1" si="1"/>
        <v>0</v>
      </c>
      <c r="M15" s="458">
        <f t="shared" si="1"/>
        <v>93833.533097700361</v>
      </c>
      <c r="N15" s="458">
        <f t="shared" ca="1" si="1"/>
        <v>226436.84963155352</v>
      </c>
      <c r="O15" s="458">
        <f t="shared" si="1"/>
        <v>1389.8033333333335</v>
      </c>
      <c r="P15" s="458">
        <f t="shared" si="1"/>
        <v>2478.666666666667</v>
      </c>
      <c r="Q15" s="458">
        <f t="shared" ca="1" si="1"/>
        <v>7462314.5370204356</v>
      </c>
    </row>
    <row r="17" spans="1:17">
      <c r="A17" s="461" t="s">
        <v>550</v>
      </c>
      <c r="B17" s="731">
        <f ca="1">huishoudens!B10</f>
        <v>0.20098496252242545</v>
      </c>
      <c r="C17" s="731">
        <f ca="1">huishoudens!C10</f>
        <v>8.4117793458846971E-2</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78750.050169707916</v>
      </c>
      <c r="C22" s="448">
        <f t="shared" ref="C22:C32" ca="1" si="3">C4*$C$17</f>
        <v>0</v>
      </c>
      <c r="D22" s="448">
        <f t="shared" ref="D22:D32" si="4">D4*$D$17</f>
        <v>248148.37148393178</v>
      </c>
      <c r="E22" s="448">
        <f t="shared" ref="E22:E32" si="5">E4*$E$17</f>
        <v>4489.8971646089594</v>
      </c>
      <c r="F22" s="448">
        <f t="shared" ref="F22:F32" si="6">F4*$F$17</f>
        <v>161840.8399582649</v>
      </c>
      <c r="G22" s="448">
        <f t="shared" ref="G22:G32" si="7">G4*$G$17</f>
        <v>0</v>
      </c>
      <c r="H22" s="448">
        <f t="shared" ref="H22:H32" si="8">H4*$H$17</f>
        <v>0</v>
      </c>
      <c r="I22" s="448">
        <f t="shared" ref="I22:I32" si="9">I4*$I$17</f>
        <v>0</v>
      </c>
      <c r="J22" s="448">
        <f t="shared" ref="J22:J32" si="10">J4*$J$17</f>
        <v>4063.6326308534685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497292.79140736698</v>
      </c>
    </row>
    <row r="23" spans="1:17">
      <c r="A23" s="447" t="s">
        <v>149</v>
      </c>
      <c r="B23" s="448">
        <f t="shared" ca="1" si="2"/>
        <v>145056.41680612505</v>
      </c>
      <c r="C23" s="448">
        <f t="shared" ca="1" si="3"/>
        <v>45.42360846777737</v>
      </c>
      <c r="D23" s="448">
        <f t="shared" ca="1" si="4"/>
        <v>180274.26889943719</v>
      </c>
      <c r="E23" s="448">
        <f t="shared" si="5"/>
        <v>831.70229901992991</v>
      </c>
      <c r="F23" s="448">
        <f t="shared" ca="1" si="6"/>
        <v>28479.454211317541</v>
      </c>
      <c r="G23" s="448">
        <f t="shared" si="7"/>
        <v>0</v>
      </c>
      <c r="H23" s="448">
        <f t="shared" si="8"/>
        <v>0</v>
      </c>
      <c r="I23" s="448">
        <f t="shared" si="9"/>
        <v>0</v>
      </c>
      <c r="J23" s="448">
        <f t="shared" si="10"/>
        <v>1533.9424508005252</v>
      </c>
      <c r="K23" s="448">
        <f t="shared" si="11"/>
        <v>0</v>
      </c>
      <c r="L23" s="448">
        <f t="shared" ca="1" si="12"/>
        <v>0</v>
      </c>
      <c r="M23" s="448">
        <f t="shared" si="13"/>
        <v>0</v>
      </c>
      <c r="N23" s="448">
        <f t="shared" ca="1" si="14"/>
        <v>0</v>
      </c>
      <c r="O23" s="448">
        <f t="shared" si="15"/>
        <v>0</v>
      </c>
      <c r="P23" s="449">
        <f t="shared" si="16"/>
        <v>0</v>
      </c>
      <c r="Q23" s="447">
        <f t="shared" ref="Q23:Q32" ca="1" si="17">SUM(B23:P23)</f>
        <v>356221.20827516797</v>
      </c>
    </row>
    <row r="24" spans="1:17">
      <c r="A24" s="447" t="s">
        <v>187</v>
      </c>
      <c r="B24" s="448">
        <f t="shared" ca="1" si="2"/>
        <v>2937.2227821674037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2937.2227821674037</v>
      </c>
    </row>
    <row r="25" spans="1:17">
      <c r="A25" s="447" t="s">
        <v>105</v>
      </c>
      <c r="B25" s="448">
        <f t="shared" ca="1" si="2"/>
        <v>609.8817018905329</v>
      </c>
      <c r="C25" s="448">
        <f t="shared" ca="1" si="3"/>
        <v>0</v>
      </c>
      <c r="D25" s="448">
        <f t="shared" si="4"/>
        <v>1275.521570840652</v>
      </c>
      <c r="E25" s="448">
        <f t="shared" si="5"/>
        <v>14.303218363176139</v>
      </c>
      <c r="F25" s="448">
        <f t="shared" si="6"/>
        <v>2863.2744681232903</v>
      </c>
      <c r="G25" s="448">
        <f t="shared" si="7"/>
        <v>0</v>
      </c>
      <c r="H25" s="448">
        <f t="shared" si="8"/>
        <v>0</v>
      </c>
      <c r="I25" s="448">
        <f t="shared" si="9"/>
        <v>0</v>
      </c>
      <c r="J25" s="448">
        <f t="shared" si="10"/>
        <v>123.20398908185746</v>
      </c>
      <c r="K25" s="448">
        <f t="shared" si="11"/>
        <v>0</v>
      </c>
      <c r="L25" s="448">
        <f t="shared" si="12"/>
        <v>0</v>
      </c>
      <c r="M25" s="448">
        <f t="shared" si="13"/>
        <v>0</v>
      </c>
      <c r="N25" s="448">
        <f t="shared" si="14"/>
        <v>0</v>
      </c>
      <c r="O25" s="448">
        <f t="shared" si="15"/>
        <v>0</v>
      </c>
      <c r="P25" s="449">
        <f t="shared" si="16"/>
        <v>0</v>
      </c>
      <c r="Q25" s="447">
        <f t="shared" ca="1" si="17"/>
        <v>4886.1849482995094</v>
      </c>
    </row>
    <row r="26" spans="1:17">
      <c r="A26" s="447" t="s">
        <v>614</v>
      </c>
      <c r="B26" s="448">
        <f t="shared" ca="1" si="2"/>
        <v>79223.254860257483</v>
      </c>
      <c r="C26" s="448">
        <f t="shared" ca="1" si="3"/>
        <v>936.86192464790815</v>
      </c>
      <c r="D26" s="448">
        <f t="shared" si="4"/>
        <v>69868.993936398707</v>
      </c>
      <c r="E26" s="448">
        <f t="shared" si="5"/>
        <v>5177.6903371316712</v>
      </c>
      <c r="F26" s="448">
        <f t="shared" si="6"/>
        <v>33133.58293044025</v>
      </c>
      <c r="G26" s="448">
        <f t="shared" si="7"/>
        <v>0</v>
      </c>
      <c r="H26" s="448">
        <f t="shared" si="8"/>
        <v>0</v>
      </c>
      <c r="I26" s="448">
        <f t="shared" si="9"/>
        <v>0</v>
      </c>
      <c r="J26" s="448">
        <f t="shared" si="10"/>
        <v>303.72456176013958</v>
      </c>
      <c r="K26" s="448">
        <f t="shared" si="11"/>
        <v>0</v>
      </c>
      <c r="L26" s="448">
        <f t="shared" si="12"/>
        <v>0</v>
      </c>
      <c r="M26" s="448">
        <f t="shared" si="13"/>
        <v>0</v>
      </c>
      <c r="N26" s="448">
        <f t="shared" si="14"/>
        <v>0</v>
      </c>
      <c r="O26" s="448">
        <f t="shared" si="15"/>
        <v>0</v>
      </c>
      <c r="P26" s="449">
        <f t="shared" si="16"/>
        <v>0</v>
      </c>
      <c r="Q26" s="447">
        <f t="shared" ca="1" si="17"/>
        <v>188644.10855063616</v>
      </c>
    </row>
    <row r="27" spans="1:17" s="453" customFormat="1">
      <c r="A27" s="451" t="s">
        <v>555</v>
      </c>
      <c r="B27" s="725">
        <f t="shared" ca="1" si="2"/>
        <v>30.835506058950866</v>
      </c>
      <c r="C27" s="452">
        <f t="shared" ca="1" si="3"/>
        <v>0</v>
      </c>
      <c r="D27" s="452">
        <f t="shared" si="4"/>
        <v>28.818734040728067</v>
      </c>
      <c r="E27" s="452">
        <f t="shared" si="5"/>
        <v>1267.7516200650889</v>
      </c>
      <c r="F27" s="452">
        <f t="shared" si="6"/>
        <v>0</v>
      </c>
      <c r="G27" s="452">
        <f t="shared" si="7"/>
        <v>473337.51213679515</v>
      </c>
      <c r="H27" s="452">
        <f t="shared" si="8"/>
        <v>66206.458981232863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540871.37697819283</v>
      </c>
    </row>
    <row r="28" spans="1:17">
      <c r="A28" s="447" t="s">
        <v>545</v>
      </c>
      <c r="B28" s="448">
        <f t="shared" ca="1" si="2"/>
        <v>1887.5689858053911</v>
      </c>
      <c r="C28" s="448">
        <f t="shared" ca="1" si="3"/>
        <v>0</v>
      </c>
      <c r="D28" s="448">
        <f t="shared" si="4"/>
        <v>0</v>
      </c>
      <c r="E28" s="448">
        <f t="shared" si="5"/>
        <v>0</v>
      </c>
      <c r="F28" s="448">
        <f t="shared" si="6"/>
        <v>0</v>
      </c>
      <c r="G28" s="448">
        <f t="shared" si="7"/>
        <v>9940.7042104305219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11828.273196235914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5500.1357448291537</v>
      </c>
      <c r="C32" s="448">
        <f t="shared" ca="1" si="3"/>
        <v>0</v>
      </c>
      <c r="D32" s="448">
        <f t="shared" si="4"/>
        <v>19896.876141076365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25397.011885905518</v>
      </c>
    </row>
    <row r="33" spans="1:17" s="460" customFormat="1">
      <c r="A33" s="457" t="s">
        <v>549</v>
      </c>
      <c r="B33" s="458">
        <f ca="1">SUM(B22:B32)</f>
        <v>313995.36655684182</v>
      </c>
      <c r="C33" s="458">
        <f t="shared" ref="C33:Q33" ca="1" si="18">SUM(C22:C32)</f>
        <v>982.28553311568555</v>
      </c>
      <c r="D33" s="458">
        <f t="shared" ca="1" si="18"/>
        <v>519492.85076572542</v>
      </c>
      <c r="E33" s="458">
        <f t="shared" si="18"/>
        <v>11781.344639188825</v>
      </c>
      <c r="F33" s="458">
        <f t="shared" ca="1" si="18"/>
        <v>226317.15156814599</v>
      </c>
      <c r="G33" s="458">
        <f t="shared" si="18"/>
        <v>483278.21634722565</v>
      </c>
      <c r="H33" s="458">
        <f t="shared" si="18"/>
        <v>66206.458981232863</v>
      </c>
      <c r="I33" s="458">
        <f t="shared" si="18"/>
        <v>0</v>
      </c>
      <c r="J33" s="458">
        <f t="shared" si="18"/>
        <v>6024.503632495991</v>
      </c>
      <c r="K33" s="458">
        <f t="shared" si="18"/>
        <v>0</v>
      </c>
      <c r="L33" s="458">
        <f t="shared" ca="1" si="18"/>
        <v>0</v>
      </c>
      <c r="M33" s="458">
        <f t="shared" si="18"/>
        <v>0</v>
      </c>
      <c r="N33" s="458">
        <f t="shared" ca="1" si="18"/>
        <v>0</v>
      </c>
      <c r="O33" s="458">
        <f t="shared" si="18"/>
        <v>0</v>
      </c>
      <c r="P33" s="458">
        <f t="shared" si="18"/>
        <v>0</v>
      </c>
      <c r="Q33" s="458">
        <f t="shared" ca="1" si="18"/>
        <v>1628078.1780239721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83819.039879999997</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49445.876960765367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7432.237182677949</v>
      </c>
      <c r="C8" s="982">
        <f>'SEAP template'!C76</f>
        <v>2845.7628173220505</v>
      </c>
      <c r="D8" s="982">
        <f>'SEAP template'!D76</f>
        <v>451.40983222557327</v>
      </c>
      <c r="E8" s="982">
        <f>'SEAP template'!E76</f>
        <v>0</v>
      </c>
      <c r="F8" s="982">
        <f>'SEAP template'!F76</f>
        <v>2896.5464234474275</v>
      </c>
      <c r="G8" s="982">
        <f>'SEAP template'!G76</f>
        <v>0</v>
      </c>
      <c r="H8" s="982">
        <f>'SEAP template'!H76</f>
        <v>0</v>
      </c>
      <c r="I8" s="982">
        <f>'SEAP template'!I76</f>
        <v>8743.8084502093516</v>
      </c>
      <c r="J8" s="982">
        <f>'SEAP template'!J76</f>
        <v>0</v>
      </c>
      <c r="K8" s="982">
        <f>'SEAP template'!K76</f>
        <v>0</v>
      </c>
      <c r="L8" s="982">
        <f>'SEAP template'!L76</f>
        <v>0</v>
      </c>
      <c r="M8" s="982">
        <f>'SEAP template'!M76</f>
        <v>0</v>
      </c>
      <c r="N8" s="982">
        <f>'SEAP template'!N76</f>
        <v>0</v>
      </c>
      <c r="O8" s="982">
        <f>'SEAP template'!O76</f>
        <v>0</v>
      </c>
      <c r="P8" s="983">
        <f>'SEAP template'!Q76</f>
        <v>864.56268117002901</v>
      </c>
    </row>
    <row r="9" spans="1:16">
      <c r="A9" s="985" t="s">
        <v>821</v>
      </c>
      <c r="B9" s="982">
        <f>'SEAP template'!B77</f>
        <v>1858.5</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5310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142555.65402344332</v>
      </c>
      <c r="C10" s="986">
        <f>SUM(C4:C9)</f>
        <v>2845.7628173220505</v>
      </c>
      <c r="D10" s="986">
        <f t="shared" ref="D10:H10" si="0">SUM(D8:D9)</f>
        <v>451.40983222557327</v>
      </c>
      <c r="E10" s="986">
        <f t="shared" si="0"/>
        <v>0</v>
      </c>
      <c r="F10" s="986">
        <f t="shared" si="0"/>
        <v>2896.5464234474275</v>
      </c>
      <c r="G10" s="986">
        <f t="shared" si="0"/>
        <v>0</v>
      </c>
      <c r="H10" s="986">
        <f t="shared" si="0"/>
        <v>0</v>
      </c>
      <c r="I10" s="986">
        <f>SUM(I8:I9)</f>
        <v>8743.8084502093516</v>
      </c>
      <c r="J10" s="986">
        <f>SUM(J8:J9)</f>
        <v>5310</v>
      </c>
      <c r="K10" s="986">
        <f t="shared" ref="K10:L10" si="1">SUM(K8:K9)</f>
        <v>0</v>
      </c>
      <c r="L10" s="986">
        <f t="shared" si="1"/>
        <v>0</v>
      </c>
      <c r="M10" s="986">
        <f>SUM(M8:M9)</f>
        <v>0</v>
      </c>
      <c r="N10" s="986">
        <f>SUM(N8:N9)</f>
        <v>0</v>
      </c>
      <c r="O10" s="986">
        <f>SUM(O8:O9)</f>
        <v>0</v>
      </c>
      <c r="P10" s="986">
        <f>SUM(P8:P9)</f>
        <v>864.56268117002901</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0.20098496252242545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8444.2449601791923</v>
      </c>
      <c r="C17" s="988">
        <f>'SEAP template'!C87</f>
        <v>3233.2550398208064</v>
      </c>
      <c r="D17" s="983">
        <f>'SEAP template'!D87</f>
        <v>512.87588206014129</v>
      </c>
      <c r="E17" s="983">
        <f>'SEAP template'!E87</f>
        <v>0</v>
      </c>
      <c r="F17" s="983">
        <f>'SEAP template'!F87</f>
        <v>3290.9535765525725</v>
      </c>
      <c r="G17" s="983">
        <f>'SEAP template'!G87</f>
        <v>0</v>
      </c>
      <c r="H17" s="983">
        <f>'SEAP template'!H87</f>
        <v>0</v>
      </c>
      <c r="I17" s="983">
        <f>'SEAP template'!I87</f>
        <v>9934.4058355049347</v>
      </c>
      <c r="J17" s="983">
        <f>'SEAP template'!J87</f>
        <v>0</v>
      </c>
      <c r="K17" s="983">
        <f>'SEAP template'!K87</f>
        <v>0</v>
      </c>
      <c r="L17" s="983">
        <f>'SEAP template'!L87</f>
        <v>0</v>
      </c>
      <c r="M17" s="983">
        <f>'SEAP template'!M87</f>
        <v>0</v>
      </c>
      <c r="N17" s="983">
        <f>'SEAP template'!N87</f>
        <v>0</v>
      </c>
      <c r="O17" s="983">
        <f>'SEAP template'!O87</f>
        <v>0</v>
      </c>
      <c r="P17" s="983">
        <f>'SEAP template'!Q87</f>
        <v>982.28553311568544</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8444.2449601791923</v>
      </c>
      <c r="C20" s="986">
        <f>SUM(C17:C19)</f>
        <v>3233.2550398208064</v>
      </c>
      <c r="D20" s="986">
        <f t="shared" ref="D20:H20" si="2">SUM(D17:D19)</f>
        <v>512.87588206014129</v>
      </c>
      <c r="E20" s="986">
        <f t="shared" si="2"/>
        <v>0</v>
      </c>
      <c r="F20" s="986">
        <f t="shared" si="2"/>
        <v>3290.9535765525725</v>
      </c>
      <c r="G20" s="986">
        <f t="shared" si="2"/>
        <v>0</v>
      </c>
      <c r="H20" s="986">
        <f t="shared" si="2"/>
        <v>0</v>
      </c>
      <c r="I20" s="986">
        <f>SUM(I17:I19)</f>
        <v>9934.4058355049347</v>
      </c>
      <c r="J20" s="986">
        <f>SUM(J17:J19)</f>
        <v>0</v>
      </c>
      <c r="K20" s="986">
        <f t="shared" ref="K20:L20" si="3">SUM(K17:K19)</f>
        <v>0</v>
      </c>
      <c r="L20" s="986">
        <f t="shared" si="3"/>
        <v>0</v>
      </c>
      <c r="M20" s="986">
        <f>SUM(M17:M19)</f>
        <v>0</v>
      </c>
      <c r="N20" s="986">
        <f>SUM(N17:N19)</f>
        <v>0</v>
      </c>
      <c r="O20" s="986">
        <f>SUM(O17:O19)</f>
        <v>0</v>
      </c>
      <c r="P20" s="986">
        <f>SUM(P17:P19)</f>
        <v>982.28553311568544</v>
      </c>
    </row>
    <row r="22" spans="1:16">
      <c r="A22" s="461" t="s">
        <v>829</v>
      </c>
      <c r="B22" s="731" t="s">
        <v>823</v>
      </c>
      <c r="C22" s="731">
        <f ca="1">'EF ele_warmte'!B22</f>
        <v>8.4117793458846971E-2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0.20098496252242545</v>
      </c>
      <c r="C17" s="498">
        <f ca="1">'EF ele_warmte'!B22</f>
        <v>8.4117793458846971E-2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2</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3.1266666666666669</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1</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19.066666666666666</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2022-07-26T12:09:22Z</dcterms:modified>
</cp:coreProperties>
</file>