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19A6D8B2-2393-4596-99FF-77C99855C1C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U38" i="18"/>
  <c r="T38" i="18"/>
  <c r="I9" i="18"/>
  <c r="S38" i="18"/>
  <c r="E9" i="18"/>
  <c r="R38" i="18"/>
  <c r="Q38"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D10" i="18"/>
  <c r="B6" i="18"/>
  <c r="B5" i="18"/>
  <c r="B4" i="18"/>
  <c r="J9" i="18"/>
  <c r="O9" i="18"/>
  <c r="B47" i="18"/>
  <c r="I51" i="18"/>
  <c r="H17" i="18"/>
  <c r="H20" i="18"/>
  <c r="B20" i="18"/>
  <c r="C47" i="18"/>
  <c r="E50" i="18"/>
  <c r="E8" i="18"/>
  <c r="E10" i="18"/>
  <c r="O18" i="18"/>
  <c r="G20" i="18"/>
  <c r="K20" i="18"/>
  <c r="B10" i="18"/>
  <c r="O19" i="18"/>
  <c r="N6" i="17"/>
  <c r="B51" i="18"/>
  <c r="C17" i="18"/>
  <c r="C20" i="18"/>
  <c r="C51" i="18"/>
  <c r="H51" i="18"/>
  <c r="D51" i="18"/>
  <c r="J17" i="18"/>
  <c r="J20" i="18"/>
  <c r="F51" i="18"/>
  <c r="E51" i="18"/>
  <c r="E17" i="18"/>
  <c r="E20" i="18"/>
  <c r="G51" i="18"/>
  <c r="I17" i="18"/>
  <c r="I20" i="18"/>
  <c r="I50" i="18"/>
  <c r="H8" i="18"/>
  <c r="H10" i="18"/>
  <c r="G50" i="18"/>
  <c r="F50" i="18"/>
  <c r="I8" i="18"/>
  <c r="I10" i="18"/>
  <c r="D50" i="18"/>
  <c r="C50" i="18"/>
  <c r="B50" i="18"/>
  <c r="C8" i="18"/>
  <c r="C10" i="18"/>
  <c r="H50"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<sst xmlns="http://schemas.openxmlformats.org/spreadsheetml/2006/main" count="2456" uniqueCount="911">
  <si>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</si>
  <si>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</si>
  <si>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</si>
  <si>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</si>
  <si>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</si>
  <si>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</si>
  <si>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</si>
  <si>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</si>
  <si>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</si>
  <si>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</si>
  <si>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</si>
  <si>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</si>
  <si>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</si>
  <si>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</si>
  <si>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</si>
  <si>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</si>
  <si>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</si>
  <si>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</si>
  <si>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</si>
  <si>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</si>
  <si>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</si>
  <si>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</si>
  <si>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</si>
  <si>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</si>
  <si>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</si>
  <si>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</si>
  <si>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</si>
  <si>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</si>
  <si>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</si>
  <si>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</si>
  <si>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</si>
  <si>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</si>
  <si>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</si>
  <si>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</si>
  <si>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</si>
  <si>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</si>
  <si>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</si>
  <si>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</si>
  <si>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</si>
  <si>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</si>
  <si>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</si>
  <si>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</si>
  <si>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</si>
  <si>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</si>
  <si>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</si>
  <si>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</si>
  <si>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</si>
  <si>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</si>
  <si>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</si>
  <si>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</si>
  <si>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</si>
  <si>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</si>
  <si>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</si>
  <si>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</si>
  <si>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</si>
  <si>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</si>
  <si>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</si>
  <si>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</si>
  <si>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</si>
  <si>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</si>
  <si>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</si>
  <si>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</si>
  <si>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</si>
  <si>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</si>
  <si>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</si>
  <si>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</si>
  <si>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</si>
  <si>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</si>
  <si>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</si>
  <si>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</si>
  <si>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</si>
  <si>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</si>
  <si>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</si>
  <si>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</si>
  <si>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</si>
  <si>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</si>
  <si>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</si>
  <si>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</si>
  <si>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</si>
  <si>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</si>
  <si>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</si>
  <si>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</si>
  <si>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</si>
  <si>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</si>
  <si>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</si>
  <si>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</si>
  <si>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</si>
  <si>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</si>
  <si>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</si>
  <si>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</si>
  <si>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</si>
  <si>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</si>
  <si>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</si>
  <si>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</si>
  <si>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</si>
  <si>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</si>
  <si>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</si>
  <si>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</si>
  <si>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</si>
  <si>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</si>
  <si>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</si>
  <si>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</si>
  <si>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</si>
  <si>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</si>
  <si>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</si>
  <si>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</si>
  <si>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</si>
  <si>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</si>
  <si>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</si>
  <si>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</si>
  <si>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</si>
  <si>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</si>
  <si>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</si>
  <si>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</si>
  <si>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</si>
  <si>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</si>
  <si>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</si>
  <si>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</si>
  <si>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</si>
  <si>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</si>
  <si>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</si>
  <si>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</si>
  <si>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</si>
  <si>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</si>
  <si>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</si>
  <si>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</si>
  <si>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</si>
  <si>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</si>
  <si>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</si>
  <si>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</si>
  <si>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</si>
  <si>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</si>
  <si>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</si>
  <si>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</si>
  <si>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</si>
  <si>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</si>
  <si>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</si>
  <si>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</si>
  <si>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</si>
  <si>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</si>
  <si>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</si>
  <si>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</si>
  <si>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</si>
  <si>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</si>
  <si>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</si>
  <si>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</si>
  <si>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</si>
  <si>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</si>
  <si>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</si>
  <si>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</si>
  <si>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</si>
  <si>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</si>
  <si>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</si>
  <si>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</si>
  <si>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</si>
  <si>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</si>
  <si>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</si>
  <si>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</si>
  <si>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</si>
  <si>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</si>
  <si>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</si>
  <si>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</si>
  <si>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</si>
  <si>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</si>
  <si>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</si>
  <si>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</si>
  <si>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</si>
  <si>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</si>
  <si>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</si>
  <si>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</si>
  <si>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</si>
  <si>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</si>
  <si>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</si>
  <si>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</si>
  <si>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</si>
  <si>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</si>
  <si>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</si>
  <si>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</si>
  <si>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</si>
  <si>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</si>
  <si>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</si>
  <si>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</si>
  <si>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</si>
  <si>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</si>
  <si>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</si>
  <si>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</si>
  <si>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</si>
  <si>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</si>
  <si>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</si>
  <si>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</si>
  <si>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</si>
  <si>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</si>
  <si>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</si>
  <si>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</si>
  <si>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</si>
  <si>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</si>
  <si>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</si>
  <si>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</si>
  <si>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</si>
  <si>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</si>
  <si>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</si>
  <si>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</si>
  <si>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</si>
  <si>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</si>
  <si>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</si>
  <si>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</si>
  <si>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</si>
  <si>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</si>
  <si>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</si>
  <si>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</si>
  <si>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</si>
  <si>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</si>
  <si>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</si>
  <si>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</si>
  <si>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</si>
  <si>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</si>
  <si>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</si>
  <si>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</si>
  <si>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</si>
  <si>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</si>
  <si>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</si>
  <si>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</si>
  <si>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</si>
  <si>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</si>
  <si>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</si>
  <si>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</si>
  <si>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</si>
  <si>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</si>
  <si>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</si>
  <si>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</si>
  <si>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</si>
  <si>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</si>
  <si>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</si>
  <si>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</si>
  <si>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</si>
  <si>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</si>
  <si>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</si>
  <si>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</si>
  <si>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</si>
  <si>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</si>
  <si>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</si>
  <si>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</si>
  <si>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</si>
  <si>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</si>
  <si>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</si>
  <si>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</si>
  <si>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</si>
  <si>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</si>
  <si>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</si>
  <si>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</si>
  <si>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</si>
  <si>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</si>
  <si>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</si>
  <si>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</si>
  <si>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</si>
  <si>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</si>
  <si>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</si>
  <si>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</si>
  <si>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</si>
  <si>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</si>
  <si>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</si>
  <si>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</si>
  <si>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</si>
  <si>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</si>
  <si>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</si>
  <si>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</si>
  <si>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</si>
  <si>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</si>
  <si>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</si>
  <si>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</si>
  <si>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</si>
  <si>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</si>
  <si>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</si>
  <si>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</si>
  <si>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</si>
  <si>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</si>
  <si>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</si>
  <si>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</si>
  <si>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</si>
  <si>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</si>
  <si>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</si>
  <si>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</si>
  <si>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</si>
  <si>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</si>
  <si>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</si>
  <si>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</si>
  <si>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</si>
  <si>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</si>
  <si>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</si>
  <si>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</si>
  <si>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</si>
  <si>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</si>
  <si>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</si>
  <si>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</si>
  <si>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</si>
  <si>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</si>
  <si>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</si>
  <si>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</si>
  <si>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</si>
  <si>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</si>
  <si>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</si>
  <si>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</si>
  <si>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</si>
  <si>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</si>
  <si>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</si>
  <si>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</si>
  <si>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</si>
  <si>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</si>
  <si>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</si>
  <si>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</si>
  <si>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</si>
  <si>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</si>
  <si>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</si>
  <si>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</si>
  <si>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</si>
  <si>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</si>
  <si>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</si>
  <si>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</si>
  <si>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</si>
  <si>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</si>
  <si>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</si>
  <si>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</si>
  <si>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</si>
  <si>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</si>
  <si>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</si>
  <si>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</si>
  <si>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</si>
  <si>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</si>
  <si>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</si>
  <si>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</si>
  <si>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</si>
  <si>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</si>
  <si>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</si>
  <si>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</si>
  <si>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</si>
  <si>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</si>
  <si>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</si>
  <si>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</si>
  <si>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</si>
  <si>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</si>
  <si>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</si>
  <si>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</si>
  <si>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</si>
  <si>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</si>
  <si>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</si>
  <si>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</si>
  <si>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</si>
  <si>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</si>
  <si>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</si>
  <si>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</si>
  <si>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</si>
  <si>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</si>
  <si>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</si>
  <si>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</si>
  <si>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</si>
  <si>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</si>
  <si>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</si>
  <si>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</si>
  <si>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</si>
  <si>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</si>
  <si>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</si>
  <si>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</si>
  <si>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</si>
  <si>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</si>
  <si>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</si>
  <si>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</si>
  <si>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</si>
  <si>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</si>
  <si>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</si>
  <si>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</si>
  <si>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</si>
  <si>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</si>
  <si>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</si>
  <si>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</si>
  <si>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</si>
  <si>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</si>
  <si>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</si>
  <si>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</si>
  <si>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</si>
  <si>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</si>
  <si>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</si>
  <si>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</si>
  <si>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</si>
  <si>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</si>
  <si>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</si>
  <si>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</si>
  <si>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</si>
  <si>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</si>
  <si>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</si>
  <si>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</si>
  <si>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</si>
  <si>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</si>
  <si>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</si>
  <si>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</si>
  <si>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</si>
  <si>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</si>
  <si>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</si>
  <si>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</si>
  <si>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</si>
  <si>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</si>
  <si>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</si>
  <si>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</si>
  <si>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</si>
  <si>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</si>
  <si>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</si>
  <si>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</si>
  <si>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</si>
  <si>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</si>
  <si>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</si>
  <si>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</si>
  <si>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</si>
  <si>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</si>
  <si>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</si>
  <si>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</si>
  <si>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</si>
  <si>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</si>
  <si>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</si>
  <si>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</si>
  <si>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</si>
  <si>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</si>
  <si>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</si>
  <si>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</si>
  <si>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</si>
  <si>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</si>
  <si>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</si>
  <si>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</si>
  <si>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</si>
  <si>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</si>
  <si>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</si>
  <si>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</si>
  <si>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</si>
  <si>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</si>
  <si>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</si>
  <si>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</si>
  <si>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</si>
  <si>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</si>
  <si>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</si>
  <si>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</si>
  <si>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</si>
  <si>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</si>
  <si>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</si>
  <si>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</si>
  <si>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</si>
  <si>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</si>
  <si>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</si>
  <si>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</si>
  <si>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</si>
  <si>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</si>
  <si>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</si>
  <si>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</si>
  <si>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</si>
  <si>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</si>
  <si>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</si>
  <si>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</si>
  <si>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</si>
  <si>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</si>
  <si>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</si>
  <si>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</si>
  <si>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</si>
  <si>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</si>
  <si>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</si>
  <si>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</si>
  <si>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</si>
  <si>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</si>
  <si>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</si>
  <si>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</si>
  <si>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</si>
  <si>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</si>
  <si>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</si>
  <si>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</si>
  <si>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</si>
  <si>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</si>
  <si>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</si>
  <si>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</si>
  <si>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</si>
  <si>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</si>
  <si>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</si>
  <si>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</si>
  <si>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</si>
  <si>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</si>
  <si>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</si>
  <si>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</si>
  <si>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</si>
  <si>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</si>
  <si>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</si>
  <si>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</si>
  <si>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</si>
  <si>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</si>
  <si>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</si>
  <si>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</si>
  <si>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</si>
  <si>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</si>
  <si>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</si>
  <si>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</si>
  <si>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</si>
  <si>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</si>
  <si>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</si>
  <si>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</si>
  <si>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</si>
  <si>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</si>
  <si>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</si>
  <si>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</si>
  <si>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</si>
  <si>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</si>
  <si>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</si>
  <si>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</si>
  <si>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</si>
  <si>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</si>
  <si>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</si>
  <si>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</si>
  <si>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</si>
  <si>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</si>
  <si>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</si>
  <si>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</si>
  <si>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</si>
  <si>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</si>
  <si>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</si>
  <si>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</si>
  <si>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</si>
  <si>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</si>
  <si>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</si>
  <si>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</si>
  <si>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</si>
  <si>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</si>
  <si>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</si>
  <si>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</si>
  <si>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</si>
  <si>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</si>
  <si>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</si>
  <si>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</si>
  <si>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</si>
  <si>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</si>
  <si>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</si>
  <si>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</si>
  <si>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</si>
  <si>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</si>
  <si>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</si>
  <si>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</si>
  <si>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</si>
  <si>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</si>
  <si>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</si>
  <si>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</si>
  <si>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</si>
  <si>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</si>
  <si>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</si>
  <si>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</si>
  <si>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</si>
  <si>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</si>
  <si>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</si>
  <si>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</si>
  <si>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</si>
  <si>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</si>
  <si>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</si>
  <si>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</si>
  <si>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</si>
  <si>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</si>
  <si>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</si>
  <si>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</si>
  <si>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</si>
  <si>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</si>
  <si>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</si>
  <si>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</si>
  <si>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</si>
  <si>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</si>
  <si>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</si>
  <si>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</si>
  <si>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</si>
  <si>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</si>
  <si>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</si>
  <si>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</si>
  <si>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</si>
  <si>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</si>
  <si>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</si>
  <si>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</si>
  <si>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</si>
  <si>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</si>
  <si>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</si>
  <si>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</si>
  <si>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</si>
  <si>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</si>
  <si>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</si>
  <si>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</si>
  <si>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</si>
  <si>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</si>
  <si>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</si>
  <si>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</si>
  <si>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</si>
  <si>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</si>
  <si>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</si>
  <si>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</si>
  <si>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</si>
  <si>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</si>
  <si>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</si>
  <si>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</si>
  <si>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</si>
  <si>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</si>
  <si>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</si>
  <si>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</si>
  <si>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</si>
  <si>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</si>
  <si>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</si>
  <si>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</si>
  <si>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</si>
  <si>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</si>
  <si>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</si>
  <si>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</si>
  <si>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</si>
  <si>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</si>
  <si>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</si>
  <si>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</si>
  <si>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</si>
  <si>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</si>
  <si>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</si>
  <si>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</si>
  <si>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</si>
  <si>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</si>
  <si>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</si>
  <si>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</si>
  <si>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</si>
  <si>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</si>
  <si>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</si>
  <si>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</si>
  <si>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</si>
  <si>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</si>
  <si>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</si>
  <si>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</si>
  <si>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</si>
  <si>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</si>
  <si>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</si>
  <si>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</si>
  <si>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</si>
  <si>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</si>
  <si>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</si>
  <si>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</si>
  <si>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</si>
  <si>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</si>
  <si>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</si>
  <si>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</si>
  <si>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</si>
  <si>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</si>
  <si>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</si>
  <si>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</si>
  <si>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</si>
  <si>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</si>
  <si>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</si>
  <si>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</si>
  <si>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</si>
  <si>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</si>
  <si>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</si>
  <si>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</si>
  <si>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</si>
  <si>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</si>
  <si>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</si>
  <si>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</si>
  <si>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</si>
  <si>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</si>
  <si>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</si>
  <si>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</si>
  <si>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</si>
  <si>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</si>
  <si>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</si>
  <si>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</si>
  <si>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</si>
  <si>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</si>
  <si>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</si>
  <si>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</si>
  <si>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</si>
  <si>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</si>
  <si>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</si>
  <si>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</si>
  <si>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</si>
  <si>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</si>
  <si>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</si>
  <si>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</si>
  <si>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</si>
  <si>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</si>
  <si>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</si>
  <si>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</si>
  <si>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</si>
  <si>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</si>
  <si>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</si>
  <si>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</si>
  <si>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</si>
  <si>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</si>
  <si>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</si>
  <si>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</si>
  <si>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</si>
  <si>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</si>
  <si>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</si>
  <si>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</si>
  <si>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</si>
  <si>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</si>
  <si>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</si>
  <si>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</si>
  <si>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</si>
  <si>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</si>
  <si>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</si>
  <si>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</si>
  <si>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</si>
  <si>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</si>
  <si>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</si>
  <si>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</si>
  <si>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</si>
  <si>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</si>
  <si>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</si>
  <si>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</si>
  <si>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</si>
  <si>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</si>
  <si>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</si>
  <si>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</si>
  <si>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</si>
  <si>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</si>
  <si>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</si>
  <si>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</si>
  <si>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</si>
  <si>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</si>
  <si>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</si>
  <si>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</si>
  <si>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</si>
  <si>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</si>
  <si>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</si>
  <si>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</si>
  <si>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</si>
  <si>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</si>
  <si>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</si>
  <si>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</si>
  <si>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</si>
  <si>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</si>
  <si>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</si>
  <si>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</si>
  <si>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</si>
  <si>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</si>
  <si>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</si>
  <si>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</si>
  <si>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</si>
  <si>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</si>
  <si>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</si>
  <si>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</si>
  <si>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</si>
  <si>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</si>
  <si>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</si>
  <si>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</si>
  <si>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</si>
  <si>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</si>
  <si>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</si>
  <si>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</si>
  <si>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</si>
  <si>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</si>
  <si>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</si>
  <si>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</si>
  <si>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</si>
  <si>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</si>
  <si>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</si>
  <si>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</si>
  <si>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</si>
  <si>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</si>
  <si>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</si>
  <si>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</si>
  <si>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</si>
  <si>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</si>
  <si>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</si>
  <si>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</si>
  <si>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</si>
  <si>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</si>
  <si>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</si>
  <si>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</si>
  <si>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</si>
  <si>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</si>
  <si>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</si>
  <si>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</si>
  <si>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</si>
  <si>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</si>
  <si>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</si>
  <si>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</si>
  <si>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</si>
  <si>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</si>
  <si>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</si>
  <si>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</si>
  <si>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</si>
  <si>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</si>
  <si>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</si>
  <si>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</si>
  <si>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</si>
  <si>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</si>
  <si>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</si>
  <si>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</si>
  <si>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</si>
  <si>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</si>
  <si>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</si>
  <si>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</si>
  <si>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</si>
  <si>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</si>
  <si>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</si>
  <si>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</si>
  <si>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</si>
  <si>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</si>
  <si>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</si>
  <si>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</si>
  <si>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</si>
  <si>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</si>
  <si>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</si>
  <si>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</si>
  <si>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</si>
  <si>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</si>
  <si>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</si>
  <si>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</si>
  <si>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</si>
  <si>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</si>
  <si>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</si>
  <si>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</si>
  <si>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</si>
  <si>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</si>
  <si>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</si>
  <si>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</si>
  <si>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</si>
  <si>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</si>
  <si>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</si>
  <si>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</si>
  <si>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</si>
  <si>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</si>
  <si>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</si>
  <si>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</si>
  <si>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</si>
  <si>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</si>
  <si>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</si>
  <si>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</si>
  <si>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</si>
  <si>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</si>
  <si>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</si>
  <si>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</si>
  <si>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</si>
  <si>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</si>
  <si>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</si>
  <si>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</si>
  <si>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</si>
  <si>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</si>
  <si>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</si>
  <si>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</si>
  <si>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</si>
  <si>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</si>
  <si>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</si>
  <si>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</si>
  <si>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</si>
  <si>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</si>
  <si>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</si>
  <si>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</si>
  <si>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</si>
  <si>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</si>
  <si>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</si>
  <si>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</si>
  <si>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</si>
  <si>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</si>
  <si>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</si>
  <si>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</si>
  <si>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</si>
  <si>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</si>
  <si>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</si>
  <si>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</si>
  <si>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</si>
  <si>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</si>
  <si>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</si>
  <si>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</si>
  <si>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</si>
  <si>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</si>
  <si>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</si>
  <si>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</si>
  <si>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</si>
  <si>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</si>
  <si>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</si>
  <si>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</si>
  <si>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</si>
  <si>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</si>
  <si>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</si>
  <si>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</si>
  <si>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</si>
  <si>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</si>
  <si>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</si>
  <si>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</si>
  <si>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</si>
  <si>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</si>
  <si>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</si>
  <si>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</si>
  <si>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</si>
  <si>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</si>
  <si>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</si>
  <si>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</si>
  <si>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</si>
  <si>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</si>
  <si>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</si>
  <si>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</si>
  <si>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</si>
  <si>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</si>
  <si>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</si>
  <si>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</si>
  <si>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</si>
  <si>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</si>
  <si>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</si>
  <si>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</si>
  <si>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</si>
  <si>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</si>
  <si>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</si>
  <si>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</si>
  <si>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44019</t>
  </si>
  <si>
    <t>EVERGEM</t>
  </si>
  <si>
    <t>Cultuurgrond (ha)</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</si>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</sst>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B3C2EA45-01B0-4888-ACD6-41F894851FE2}"/>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335961.6254811213</c:v>
                </c:pt>
                <c:pt idx="1">
                  <c:v>100691.66057347483</c:v>
                </c:pt>
                <c:pt idx="2">
                  <c:v>2390.288</c:v>
                </c:pt>
                <c:pt idx="3">
                  <c:v>28213.320727419046</c:v>
                </c:pt>
                <c:pt idx="4">
                  <c:v>196365.44353172687</c:v>
                </c:pt>
                <c:pt idx="5">
                  <c:v>164306.71136745563</c:v>
                </c:pt>
                <c:pt idx="6">
                  <c:v>4059.9352646055272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335961.6254811213</c:v>
                </c:pt>
                <c:pt idx="1">
                  <c:v>100691.66057347483</c:v>
                </c:pt>
                <c:pt idx="2">
                  <c:v>2390.288</c:v>
                </c:pt>
                <c:pt idx="3">
                  <c:v>28213.320727419046</c:v>
                </c:pt>
                <c:pt idx="4">
                  <c:v>196365.44353172687</c:v>
                </c:pt>
                <c:pt idx="5">
                  <c:v>164306.71136745563</c:v>
                </c:pt>
                <c:pt idx="6">
                  <c:v>4059.9352646055272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70957.002309006566</c:v>
                </c:pt>
                <c:pt idx="2">
                  <c:v>19747.607990203611</c:v>
                </c:pt>
                <c:pt idx="3">
                  <c:v>471.5598198612696</c:v>
                </c:pt>
                <c:pt idx="4">
                  <c:v>6939.1515370370071</c:v>
                </c:pt>
                <c:pt idx="5">
                  <c:v>39599.323298174044</c:v>
                </c:pt>
                <c:pt idx="6">
                  <c:v>41518.969684055148</c:v>
                </c:pt>
                <c:pt idx="7">
                  <c:v>973.19269577841806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70957.002309006566</c:v>
                </c:pt>
                <c:pt idx="2">
                  <c:v>19747.607990203611</c:v>
                </c:pt>
                <c:pt idx="3">
                  <c:v>471.5598198612696</c:v>
                </c:pt>
                <c:pt idx="4">
                  <c:v>6939.1515370370071</c:v>
                </c:pt>
                <c:pt idx="5">
                  <c:v>39599.323298174044</c:v>
                </c:pt>
                <c:pt idx="6">
                  <c:v>41518.969684055148</c:v>
                </c:pt>
                <c:pt idx="7">
                  <c:v>973.19269577841806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44019</v>
      </c>
      <c r="B6" s="385"/>
      <c r="C6" s="386"/>
    </row>
    <row r="7" spans="1:7" s="383" customFormat="1" ht="15.75" customHeight="1">
      <c r="A7" s="387" t="str">
        <f>txtMunicipality</f>
        <v>EVERGEM</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0.19728159111423796</v>
      </c>
      <c r="C17" s="498">
        <f ca="1">'EF ele_warmte'!B22</f>
        <v>0.23237084808746117</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0.19728159111423796</v>
      </c>
      <c r="C29" s="499">
        <f ca="1">'EF ele_warmte'!B22</f>
        <v>0.23237084808746117</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13791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4271</v>
      </c>
      <c r="C14" s="327"/>
      <c r="D14" s="327"/>
      <c r="E14" s="327"/>
      <c r="F14" s="327"/>
    </row>
    <row r="15" spans="1:6">
      <c r="A15" s="1258" t="s">
        <v>177</v>
      </c>
      <c r="B15" s="1259">
        <v>58</v>
      </c>
      <c r="C15" s="327"/>
      <c r="D15" s="327"/>
      <c r="E15" s="327"/>
      <c r="F15" s="327"/>
    </row>
    <row r="16" spans="1:6">
      <c r="A16" s="1258" t="s">
        <v>6</v>
      </c>
      <c r="B16" s="1259">
        <v>2622</v>
      </c>
      <c r="C16" s="327"/>
      <c r="D16" s="327"/>
      <c r="E16" s="327"/>
      <c r="F16" s="327"/>
    </row>
    <row r="17" spans="1:6">
      <c r="A17" s="1258" t="s">
        <v>7</v>
      </c>
      <c r="B17" s="1259">
        <v>1400</v>
      </c>
      <c r="C17" s="327"/>
      <c r="D17" s="327"/>
      <c r="E17" s="327"/>
      <c r="F17" s="327"/>
    </row>
    <row r="18" spans="1:6">
      <c r="A18" s="1258" t="s">
        <v>8</v>
      </c>
      <c r="B18" s="1259">
        <v>2780</v>
      </c>
      <c r="C18" s="327"/>
      <c r="D18" s="327"/>
      <c r="E18" s="327"/>
      <c r="F18" s="327"/>
    </row>
    <row r="19" spans="1:6">
      <c r="A19" s="1258" t="s">
        <v>9</v>
      </c>
      <c r="B19" s="1259">
        <v>2889</v>
      </c>
      <c r="C19" s="327"/>
      <c r="D19" s="327"/>
      <c r="E19" s="327"/>
      <c r="F19" s="327"/>
    </row>
    <row r="20" spans="1:6">
      <c r="A20" s="1258" t="s">
        <v>10</v>
      </c>
      <c r="B20" s="1259">
        <v>1533</v>
      </c>
      <c r="C20" s="327"/>
      <c r="D20" s="327"/>
      <c r="E20" s="327"/>
      <c r="F20" s="327"/>
    </row>
    <row r="21" spans="1:6">
      <c r="A21" s="1258" t="s">
        <v>11</v>
      </c>
      <c r="B21" s="1259">
        <v>11547</v>
      </c>
      <c r="C21" s="327"/>
      <c r="D21" s="327"/>
      <c r="E21" s="327"/>
      <c r="F21" s="327"/>
    </row>
    <row r="22" spans="1:6">
      <c r="A22" s="1258" t="s">
        <v>12</v>
      </c>
      <c r="B22" s="1259">
        <v>21408</v>
      </c>
      <c r="C22" s="327"/>
      <c r="D22" s="327"/>
      <c r="E22" s="327"/>
      <c r="F22" s="327"/>
    </row>
    <row r="23" spans="1:6">
      <c r="A23" s="1258" t="s">
        <v>13</v>
      </c>
      <c r="B23" s="1259">
        <v>796</v>
      </c>
      <c r="C23" s="327"/>
      <c r="D23" s="327"/>
      <c r="E23" s="327"/>
      <c r="F23" s="327"/>
    </row>
    <row r="24" spans="1:6">
      <c r="A24" s="1258" t="s">
        <v>14</v>
      </c>
      <c r="B24" s="1259">
        <v>51</v>
      </c>
      <c r="C24" s="327"/>
      <c r="D24" s="327"/>
      <c r="E24" s="327"/>
      <c r="F24" s="327"/>
    </row>
    <row r="25" spans="1:6">
      <c r="A25" s="1258" t="s">
        <v>15</v>
      </c>
      <c r="B25" s="1259">
        <v>2817</v>
      </c>
      <c r="C25" s="327"/>
      <c r="D25" s="327"/>
      <c r="E25" s="327"/>
      <c r="F25" s="327"/>
    </row>
    <row r="26" spans="1:6">
      <c r="A26" s="1258" t="s">
        <v>16</v>
      </c>
      <c r="B26" s="1259">
        <v>288</v>
      </c>
      <c r="C26" s="327"/>
      <c r="D26" s="327"/>
      <c r="E26" s="327"/>
      <c r="F26" s="327"/>
    </row>
    <row r="27" spans="1:6">
      <c r="A27" s="1258" t="s">
        <v>17</v>
      </c>
      <c r="B27" s="1259">
        <v>2</v>
      </c>
      <c r="C27" s="327"/>
      <c r="D27" s="327"/>
      <c r="E27" s="327"/>
      <c r="F27" s="327"/>
    </row>
    <row r="28" spans="1:6">
      <c r="A28" s="1258" t="s">
        <v>18</v>
      </c>
      <c r="B28" s="1260">
        <v>43833</v>
      </c>
      <c r="C28" s="327"/>
      <c r="D28" s="327"/>
      <c r="E28" s="327"/>
      <c r="F28" s="327"/>
    </row>
    <row r="29" spans="1:6">
      <c r="A29" s="1258" t="s">
        <v>905</v>
      </c>
      <c r="B29" s="1260">
        <v>359</v>
      </c>
      <c r="C29" s="327"/>
      <c r="D29" s="327"/>
      <c r="E29" s="327"/>
      <c r="F29" s="327"/>
    </row>
    <row r="30" spans="1:6">
      <c r="A30" s="1253" t="s">
        <v>906</v>
      </c>
      <c r="B30" s="1261">
        <v>64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6</v>
      </c>
      <c r="F35" s="1259">
        <v>72852.200424322902</v>
      </c>
    </row>
    <row r="36" spans="1:6">
      <c r="A36" s="1258" t="s">
        <v>24</v>
      </c>
      <c r="B36" s="1258" t="s">
        <v>26</v>
      </c>
      <c r="C36" s="1259">
        <v>3</v>
      </c>
      <c r="D36" s="1259">
        <v>236765.621948438</v>
      </c>
      <c r="E36" s="1259">
        <v>4</v>
      </c>
      <c r="F36" s="1259">
        <v>15213.303455650799</v>
      </c>
    </row>
    <row r="37" spans="1:6">
      <c r="A37" s="1258" t="s">
        <v>24</v>
      </c>
      <c r="B37" s="1258" t="s">
        <v>27</v>
      </c>
      <c r="C37" s="1259">
        <v>0</v>
      </c>
      <c r="D37" s="1259">
        <v>0</v>
      </c>
      <c r="E37" s="1259">
        <v>0</v>
      </c>
      <c r="F37" s="1259">
        <v>0</v>
      </c>
    </row>
    <row r="38" spans="1:6">
      <c r="A38" s="1258" t="s">
        <v>24</v>
      </c>
      <c r="B38" s="1258" t="s">
        <v>28</v>
      </c>
      <c r="C38" s="1259">
        <v>1</v>
      </c>
      <c r="D38" s="1259">
        <v>14070.055542690599</v>
      </c>
      <c r="E38" s="1259">
        <v>4</v>
      </c>
      <c r="F38" s="1259">
        <v>231134.532065078</v>
      </c>
    </row>
    <row r="39" spans="1:6">
      <c r="A39" s="1258" t="s">
        <v>29</v>
      </c>
      <c r="B39" s="1258" t="s">
        <v>30</v>
      </c>
      <c r="C39" s="1259">
        <v>7246</v>
      </c>
      <c r="D39" s="1259">
        <v>126697045.760171</v>
      </c>
      <c r="E39" s="1259">
        <v>13340</v>
      </c>
      <c r="F39" s="1259">
        <v>64408907.878156401</v>
      </c>
    </row>
    <row r="40" spans="1:6">
      <c r="A40" s="1258" t="s">
        <v>29</v>
      </c>
      <c r="B40" s="1258" t="s">
        <v>28</v>
      </c>
      <c r="C40" s="1259">
        <v>1</v>
      </c>
      <c r="D40" s="1259">
        <v>15074.131999212001</v>
      </c>
      <c r="E40" s="1259">
        <v>2</v>
      </c>
      <c r="F40" s="1259">
        <v>21374.5409862985</v>
      </c>
    </row>
    <row r="41" spans="1:6">
      <c r="A41" s="1258" t="s">
        <v>31</v>
      </c>
      <c r="B41" s="1258" t="s">
        <v>32</v>
      </c>
      <c r="C41" s="1259">
        <v>95</v>
      </c>
      <c r="D41" s="1259">
        <v>37001952.6322762</v>
      </c>
      <c r="E41" s="1259">
        <v>304</v>
      </c>
      <c r="F41" s="1259">
        <v>2345900.9561737501</v>
      </c>
    </row>
    <row r="42" spans="1:6">
      <c r="A42" s="1258" t="s">
        <v>31</v>
      </c>
      <c r="B42" s="1258" t="s">
        <v>33</v>
      </c>
      <c r="C42" s="1259">
        <v>0</v>
      </c>
      <c r="D42" s="1259">
        <v>0</v>
      </c>
      <c r="E42" s="1259">
        <v>5</v>
      </c>
      <c r="F42" s="1259">
        <v>45223237.512757003</v>
      </c>
    </row>
    <row r="43" spans="1:6">
      <c r="A43" s="1258" t="s">
        <v>31</v>
      </c>
      <c r="B43" s="1258" t="s">
        <v>34</v>
      </c>
      <c r="C43" s="1259">
        <v>0</v>
      </c>
      <c r="D43" s="1259">
        <v>0</v>
      </c>
      <c r="E43" s="1259">
        <v>0</v>
      </c>
      <c r="F43" s="1259">
        <v>0</v>
      </c>
    </row>
    <row r="44" spans="1:6">
      <c r="A44" s="1258" t="s">
        <v>31</v>
      </c>
      <c r="B44" s="1258" t="s">
        <v>35</v>
      </c>
      <c r="C44" s="1259">
        <v>6</v>
      </c>
      <c r="D44" s="1259">
        <v>115404.606853223</v>
      </c>
      <c r="E44" s="1259">
        <v>38</v>
      </c>
      <c r="F44" s="1259">
        <v>487073.87550192699</v>
      </c>
    </row>
    <row r="45" spans="1:6">
      <c r="A45" s="1258" t="s">
        <v>31</v>
      </c>
      <c r="B45" s="1258" t="s">
        <v>36</v>
      </c>
      <c r="C45" s="1259">
        <v>0</v>
      </c>
      <c r="D45" s="1259">
        <v>0</v>
      </c>
      <c r="E45" s="1259">
        <v>3</v>
      </c>
      <c r="F45" s="1259">
        <v>140642.282294087</v>
      </c>
    </row>
    <row r="46" spans="1:6">
      <c r="A46" s="1258" t="s">
        <v>31</v>
      </c>
      <c r="B46" s="1258" t="s">
        <v>37</v>
      </c>
      <c r="C46" s="1259">
        <v>0</v>
      </c>
      <c r="D46" s="1259">
        <v>0</v>
      </c>
      <c r="E46" s="1259">
        <v>0</v>
      </c>
      <c r="F46" s="1259">
        <v>0</v>
      </c>
    </row>
    <row r="47" spans="1:6">
      <c r="A47" s="1258" t="s">
        <v>31</v>
      </c>
      <c r="B47" s="1258" t="s">
        <v>38</v>
      </c>
      <c r="C47" s="1259">
        <v>11</v>
      </c>
      <c r="D47" s="1259">
        <v>374046.25373843301</v>
      </c>
      <c r="E47" s="1259">
        <v>13</v>
      </c>
      <c r="F47" s="1259">
        <v>265937.52494661103</v>
      </c>
    </row>
    <row r="48" spans="1:6">
      <c r="A48" s="1258" t="s">
        <v>31</v>
      </c>
      <c r="B48" s="1258" t="s">
        <v>28</v>
      </c>
      <c r="C48" s="1259">
        <v>34</v>
      </c>
      <c r="D48" s="1259">
        <v>50372322.947957799</v>
      </c>
      <c r="E48" s="1259">
        <v>44</v>
      </c>
      <c r="F48" s="1259">
        <v>35682359.906637602</v>
      </c>
    </row>
    <row r="49" spans="1:6">
      <c r="A49" s="1258" t="s">
        <v>31</v>
      </c>
      <c r="B49" s="1258" t="s">
        <v>39</v>
      </c>
      <c r="C49" s="1259">
        <v>0</v>
      </c>
      <c r="D49" s="1259">
        <v>0</v>
      </c>
      <c r="E49" s="1259">
        <v>3</v>
      </c>
      <c r="F49" s="1259">
        <v>28318</v>
      </c>
    </row>
    <row r="50" spans="1:6">
      <c r="A50" s="1258" t="s">
        <v>31</v>
      </c>
      <c r="B50" s="1258" t="s">
        <v>40</v>
      </c>
      <c r="C50" s="1259">
        <v>20</v>
      </c>
      <c r="D50" s="1259">
        <v>5060020.4546755003</v>
      </c>
      <c r="E50" s="1259">
        <v>42</v>
      </c>
      <c r="F50" s="1259">
        <v>3979250.2198773399</v>
      </c>
    </row>
    <row r="51" spans="1:6">
      <c r="A51" s="1258" t="s">
        <v>41</v>
      </c>
      <c r="B51" s="1258" t="s">
        <v>42</v>
      </c>
      <c r="C51" s="1259">
        <v>19</v>
      </c>
      <c r="D51" s="1259">
        <v>4763326.7556091798</v>
      </c>
      <c r="E51" s="1259">
        <v>226</v>
      </c>
      <c r="F51" s="1259">
        <v>4238048.0899409298</v>
      </c>
    </row>
    <row r="52" spans="1:6">
      <c r="A52" s="1258" t="s">
        <v>41</v>
      </c>
      <c r="B52" s="1258" t="s">
        <v>28</v>
      </c>
      <c r="C52" s="1259">
        <v>6</v>
      </c>
      <c r="D52" s="1259">
        <v>4342974.9646044597</v>
      </c>
      <c r="E52" s="1259">
        <v>10</v>
      </c>
      <c r="F52" s="1259">
        <v>554495.34754724498</v>
      </c>
    </row>
    <row r="53" spans="1:6">
      <c r="A53" s="1258" t="s">
        <v>43</v>
      </c>
      <c r="B53" s="1258" t="s">
        <v>44</v>
      </c>
      <c r="C53" s="1259">
        <v>178</v>
      </c>
      <c r="D53" s="1259">
        <v>7682623.8469485696</v>
      </c>
      <c r="E53" s="1259">
        <v>366</v>
      </c>
      <c r="F53" s="1259">
        <v>1909111.32011518</v>
      </c>
    </row>
    <row r="54" spans="1:6">
      <c r="A54" s="1258" t="s">
        <v>45</v>
      </c>
      <c r="B54" s="1258" t="s">
        <v>46</v>
      </c>
      <c r="C54" s="1259">
        <v>0</v>
      </c>
      <c r="D54" s="1259">
        <v>0</v>
      </c>
      <c r="E54" s="1259">
        <v>3</v>
      </c>
      <c r="F54" s="1259">
        <v>2390288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48</v>
      </c>
      <c r="D57" s="1259">
        <v>3605500.2015227298</v>
      </c>
      <c r="E57" s="1259">
        <v>148</v>
      </c>
      <c r="F57" s="1259">
        <v>4833508.4103737399</v>
      </c>
    </row>
    <row r="58" spans="1:6">
      <c r="A58" s="1258" t="s">
        <v>48</v>
      </c>
      <c r="B58" s="1258" t="s">
        <v>50</v>
      </c>
      <c r="C58" s="1259">
        <v>34</v>
      </c>
      <c r="D58" s="1259">
        <v>5524557.1338338703</v>
      </c>
      <c r="E58" s="1259">
        <v>70</v>
      </c>
      <c r="F58" s="1259">
        <v>3029534.06095745</v>
      </c>
    </row>
    <row r="59" spans="1:6">
      <c r="A59" s="1258" t="s">
        <v>48</v>
      </c>
      <c r="B59" s="1258" t="s">
        <v>51</v>
      </c>
      <c r="C59" s="1259">
        <v>116</v>
      </c>
      <c r="D59" s="1259">
        <v>9481083.8770427201</v>
      </c>
      <c r="E59" s="1259">
        <v>337</v>
      </c>
      <c r="F59" s="1259">
        <v>12248862.081390999</v>
      </c>
    </row>
    <row r="60" spans="1:6">
      <c r="A60" s="1258" t="s">
        <v>48</v>
      </c>
      <c r="B60" s="1258" t="s">
        <v>52</v>
      </c>
      <c r="C60" s="1259">
        <v>62</v>
      </c>
      <c r="D60" s="1259">
        <v>2883438.7757389699</v>
      </c>
      <c r="E60" s="1259">
        <v>114</v>
      </c>
      <c r="F60" s="1259">
        <v>1959983.6958282001</v>
      </c>
    </row>
    <row r="61" spans="1:6">
      <c r="A61" s="1258" t="s">
        <v>48</v>
      </c>
      <c r="B61" s="1258" t="s">
        <v>53</v>
      </c>
      <c r="C61" s="1259">
        <v>224</v>
      </c>
      <c r="D61" s="1259">
        <v>10040118.3966513</v>
      </c>
      <c r="E61" s="1259">
        <v>524</v>
      </c>
      <c r="F61" s="1259">
        <v>9471104.8186070397</v>
      </c>
    </row>
    <row r="62" spans="1:6">
      <c r="A62" s="1258" t="s">
        <v>48</v>
      </c>
      <c r="B62" s="1258" t="s">
        <v>54</v>
      </c>
      <c r="C62" s="1259">
        <v>6</v>
      </c>
      <c r="D62" s="1259">
        <v>486344.10549803497</v>
      </c>
      <c r="E62" s="1259">
        <v>25</v>
      </c>
      <c r="F62" s="1259">
        <v>905392.40546237398</v>
      </c>
    </row>
    <row r="63" spans="1:6">
      <c r="A63" s="1258" t="s">
        <v>48</v>
      </c>
      <c r="B63" s="1258" t="s">
        <v>28</v>
      </c>
      <c r="C63" s="1259">
        <v>113</v>
      </c>
      <c r="D63" s="1259">
        <v>22921044.7604177</v>
      </c>
      <c r="E63" s="1259">
        <v>99</v>
      </c>
      <c r="F63" s="1259">
        <v>9295639.6525850296</v>
      </c>
    </row>
    <row r="64" spans="1:6">
      <c r="A64" s="1258" t="s">
        <v>55</v>
      </c>
      <c r="B64" s="1258" t="s">
        <v>56</v>
      </c>
      <c r="C64" s="1259">
        <v>0</v>
      </c>
      <c r="D64" s="1259">
        <v>0</v>
      </c>
      <c r="E64" s="1259">
        <v>0</v>
      </c>
      <c r="F64" s="1259">
        <v>0</v>
      </c>
    </row>
    <row r="65" spans="1:6">
      <c r="A65" s="1258" t="s">
        <v>55</v>
      </c>
      <c r="B65" s="1258" t="s">
        <v>28</v>
      </c>
      <c r="C65" s="1259">
        <v>3</v>
      </c>
      <c r="D65" s="1259">
        <v>87475.2574500255</v>
      </c>
      <c r="E65" s="1259">
        <v>7</v>
      </c>
      <c r="F65" s="1259">
        <v>34514.848579226898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9</v>
      </c>
      <c r="D68" s="1261">
        <v>437888.65362566803</v>
      </c>
      <c r="E68" s="1261">
        <v>26</v>
      </c>
      <c r="F68" s="1261">
        <v>1083078.54159271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118710296</v>
      </c>
      <c r="E73" s="446"/>
      <c r="F73" s="327"/>
    </row>
    <row r="74" spans="1:6">
      <c r="A74" s="1258" t="s">
        <v>63</v>
      </c>
      <c r="B74" s="1258" t="s">
        <v>681</v>
      </c>
      <c r="C74" s="1271" t="s">
        <v>682</v>
      </c>
      <c r="D74" s="1259">
        <v>12703263.226827538</v>
      </c>
      <c r="E74" s="446"/>
      <c r="F74" s="327"/>
    </row>
    <row r="75" spans="1:6">
      <c r="A75" s="1258" t="s">
        <v>64</v>
      </c>
      <c r="B75" s="1258" t="s">
        <v>679</v>
      </c>
      <c r="C75" s="1271" t="s">
        <v>683</v>
      </c>
      <c r="D75" s="1259">
        <v>53276640</v>
      </c>
      <c r="E75" s="446"/>
      <c r="F75" s="327"/>
    </row>
    <row r="76" spans="1:6">
      <c r="A76" s="1258" t="s">
        <v>64</v>
      </c>
      <c r="B76" s="1258" t="s">
        <v>681</v>
      </c>
      <c r="C76" s="1271" t="s">
        <v>684</v>
      </c>
      <c r="D76" s="1259">
        <v>2166352.2268275381</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786333.54634492367</v>
      </c>
      <c r="C83" s="446"/>
      <c r="D83" s="327"/>
      <c r="E83" s="327"/>
      <c r="F83" s="327"/>
    </row>
    <row r="84" spans="1:6">
      <c r="A84" s="1253" t="s">
        <v>324</v>
      </c>
      <c r="B84" s="1261">
        <v>308920.22041854536</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6690.8776030079334</v>
      </c>
      <c r="C91" s="327"/>
      <c r="D91" s="327"/>
      <c r="E91" s="327"/>
      <c r="F91" s="327"/>
    </row>
    <row r="92" spans="1:6">
      <c r="A92" s="1253" t="s">
        <v>68</v>
      </c>
      <c r="B92" s="1254">
        <v>16077.404866983854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2815</v>
      </c>
      <c r="C97" s="327"/>
      <c r="D97" s="327"/>
      <c r="E97" s="327"/>
      <c r="F97" s="327"/>
    </row>
    <row r="98" spans="1:6">
      <c r="A98" s="1258" t="s">
        <v>71</v>
      </c>
      <c r="B98" s="1259">
        <v>1</v>
      </c>
      <c r="C98" s="327"/>
      <c r="D98" s="327"/>
      <c r="E98" s="327"/>
      <c r="F98" s="327"/>
    </row>
    <row r="99" spans="1:6">
      <c r="A99" s="1258" t="s">
        <v>72</v>
      </c>
      <c r="B99" s="1259">
        <v>245</v>
      </c>
      <c r="C99" s="327"/>
      <c r="D99" s="327"/>
      <c r="E99" s="327"/>
      <c r="F99" s="327"/>
    </row>
    <row r="100" spans="1:6">
      <c r="A100" s="1258" t="s">
        <v>73</v>
      </c>
      <c r="B100" s="1259">
        <v>1781</v>
      </c>
      <c r="C100" s="327"/>
      <c r="D100" s="327"/>
      <c r="E100" s="327"/>
      <c r="F100" s="327"/>
    </row>
    <row r="101" spans="1:6">
      <c r="A101" s="1258" t="s">
        <v>74</v>
      </c>
      <c r="B101" s="1259">
        <v>249</v>
      </c>
      <c r="C101" s="327"/>
      <c r="D101" s="327"/>
      <c r="E101" s="327"/>
      <c r="F101" s="327"/>
    </row>
    <row r="102" spans="1:6">
      <c r="A102" s="1258" t="s">
        <v>75</v>
      </c>
      <c r="B102" s="1259">
        <v>206</v>
      </c>
      <c r="C102" s="327"/>
      <c r="D102" s="327"/>
      <c r="E102" s="327"/>
      <c r="F102" s="327"/>
    </row>
    <row r="103" spans="1:6">
      <c r="A103" s="1258" t="s">
        <v>76</v>
      </c>
      <c r="B103" s="1259">
        <v>399</v>
      </c>
      <c r="C103" s="327"/>
      <c r="D103" s="327"/>
      <c r="E103" s="327"/>
      <c r="F103" s="327"/>
    </row>
    <row r="104" spans="1:6">
      <c r="A104" s="1258" t="s">
        <v>77</v>
      </c>
      <c r="B104" s="1259">
        <v>6177</v>
      </c>
      <c r="C104" s="327"/>
      <c r="D104" s="327"/>
      <c r="E104" s="327"/>
      <c r="F104" s="327"/>
    </row>
    <row r="105" spans="1:6">
      <c r="A105" s="1253" t="s">
        <v>78</v>
      </c>
      <c r="B105" s="1261">
        <v>16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47</v>
      </c>
      <c r="C123" s="1259">
        <v>42</v>
      </c>
      <c r="D123" s="327"/>
      <c r="E123" s="327"/>
      <c r="F123" s="327"/>
    </row>
    <row r="124" spans="1:6">
      <c r="A124" s="1258" t="s">
        <v>88</v>
      </c>
      <c r="B124" s="1259">
        <v>2</v>
      </c>
      <c r="C124" s="1259">
        <v>2</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240</v>
      </c>
      <c r="C129" s="327"/>
      <c r="D129" s="327"/>
      <c r="E129" s="327"/>
      <c r="F129" s="327"/>
    </row>
    <row r="130" spans="1:6">
      <c r="A130" s="1258" t="s">
        <v>284</v>
      </c>
      <c r="B130" s="1259">
        <v>6</v>
      </c>
      <c r="C130" s="327"/>
      <c r="D130" s="327"/>
      <c r="E130" s="327"/>
      <c r="F130" s="327"/>
    </row>
    <row r="131" spans="1:6">
      <c r="A131" s="1258" t="s">
        <v>285</v>
      </c>
      <c r="B131" s="1259">
        <v>4</v>
      </c>
      <c r="C131" s="327"/>
      <c r="D131" s="327"/>
      <c r="E131" s="327"/>
      <c r="F131" s="327"/>
    </row>
    <row r="132" spans="1:6">
      <c r="A132" s="1253" t="s">
        <v>286</v>
      </c>
      <c r="B132" s="1254">
        <v>17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211283.04876798051</v>
      </c>
      <c r="C3" s="43" t="s">
        <v>163</v>
      </c>
      <c r="D3" s="43"/>
      <c r="E3" s="156"/>
      <c r="F3" s="43"/>
      <c r="G3" s="43"/>
      <c r="H3" s="43"/>
      <c r="I3" s="43"/>
      <c r="J3" s="43"/>
      <c r="K3" s="96"/>
    </row>
    <row r="4" spans="1:11">
      <c r="A4" s="353" t="s">
        <v>164</v>
      </c>
      <c r="B4" s="49">
        <f>IF(ISERROR('SEAP template'!B78+'SEAP template'!C78),0,'SEAP template'!B78+'SEAP template'!C78)</f>
        <v>24570.494969991789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418.78164705882352</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0.19728159111423796</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598.25949579831945</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2574.5892857142858</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0.23237084808746117</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2390.288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2390.288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0.19728159111423796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471.5598198612696</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64430.282419142699</v>
      </c>
      <c r="C5" s="17">
        <f>IF(ISERROR('Eigen informatie GS &amp; warmtenet'!B57),0,'Eigen informatie GS &amp; warmtenet'!B57)</f>
        <v>0</v>
      </c>
      <c r="D5" s="30">
        <f>(SUM(HH_hh_gas_kWh,HH_rest_gas_kWh)/1000)*0.902</f>
        <v>114294.33214273752</v>
      </c>
      <c r="E5" s="17">
        <f>B32*B41</f>
        <v>3927.9716578415237</v>
      </c>
      <c r="F5" s="17">
        <f>B36*B45</f>
        <v>120374.54842904973</v>
      </c>
      <c r="G5" s="18"/>
      <c r="H5" s="17"/>
      <c r="I5" s="17"/>
      <c r="J5" s="17">
        <f>B35*B44+C35*C44</f>
        <v>2279.6542605285122</v>
      </c>
      <c r="K5" s="17"/>
      <c r="L5" s="17"/>
      <c r="M5" s="17"/>
      <c r="N5" s="17">
        <f>B34*B43+C34*C43</f>
        <v>22261.572302146622</v>
      </c>
      <c r="O5" s="17">
        <f>B52*B53*B54</f>
        <v>443.98666666666668</v>
      </c>
      <c r="P5" s="17">
        <f>B60*B61*B62/1000-B60*B61*B62/1000/B63</f>
        <v>1258.4000000000001</v>
      </c>
    </row>
    <row r="6" spans="1:16">
      <c r="A6" s="16" t="s">
        <v>592</v>
      </c>
      <c r="B6" s="733">
        <f>kWh_PV_kleiner_dan_10kW</f>
        <v>6690.8776030079334</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71121.160022150638</v>
      </c>
      <c r="C8" s="21">
        <f>C5</f>
        <v>0</v>
      </c>
      <c r="D8" s="21">
        <f>D5</f>
        <v>114294.33214273752</v>
      </c>
      <c r="E8" s="21">
        <f>E5</f>
        <v>3927.9716578415237</v>
      </c>
      <c r="F8" s="21">
        <f>F5</f>
        <v>120374.54842904973</v>
      </c>
      <c r="G8" s="21"/>
      <c r="H8" s="21"/>
      <c r="I8" s="21"/>
      <c r="J8" s="21">
        <f>J5</f>
        <v>2279.6542605285122</v>
      </c>
      <c r="K8" s="21"/>
      <c r="L8" s="21">
        <f>L5</f>
        <v>0</v>
      </c>
      <c r="M8" s="21">
        <f>M5</f>
        <v>0</v>
      </c>
      <c r="N8" s="21">
        <f>N5</f>
        <v>22261.572302146622</v>
      </c>
      <c r="O8" s="21">
        <f>O5</f>
        <v>443.98666666666668</v>
      </c>
      <c r="P8" s="21">
        <f>P5</f>
        <v>1258.4000000000001</v>
      </c>
    </row>
    <row r="9" spans="1:16">
      <c r="B9" s="19"/>
      <c r="C9" s="19"/>
      <c r="D9" s="257"/>
      <c r="E9" s="19"/>
      <c r="F9" s="19"/>
      <c r="G9" s="19"/>
      <c r="H9" s="19"/>
      <c r="I9" s="19"/>
      <c r="J9" s="19"/>
      <c r="K9" s="19"/>
      <c r="L9" s="19"/>
      <c r="M9" s="19"/>
      <c r="N9" s="19"/>
      <c r="O9" s="19"/>
      <c r="P9" s="19"/>
    </row>
    <row r="10" spans="1:16">
      <c r="A10" s="24" t="s">
        <v>207</v>
      </c>
      <c r="B10" s="25">
        <f ca="1">'EF ele_warmte'!B12</f>
        <v>0.19728159111423796</v>
      </c>
      <c r="C10" s="25">
        <f ca="1">'EF ele_warmte'!B22</f>
        <v>0.23237084808746117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14030.895611060208</v>
      </c>
      <c r="C12" s="23">
        <f ca="1">C10*C8</f>
        <v>0</v>
      </c>
      <c r="D12" s="23">
        <f>D8*D10</f>
        <v>23087.455092832981</v>
      </c>
      <c r="E12" s="23">
        <f>E10*E8</f>
        <v>891.64956633002589</v>
      </c>
      <c r="F12" s="23">
        <f>F10*F8</f>
        <v>32140.004430556277</v>
      </c>
      <c r="G12" s="23"/>
      <c r="H12" s="23"/>
      <c r="I12" s="23"/>
      <c r="J12" s="23">
        <f>J10*J8</f>
        <v>806.99760822709322</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13791</v>
      </c>
      <c r="C26" s="36"/>
      <c r="D26" s="227"/>
    </row>
    <row r="27" spans="1:5" s="15" customFormat="1">
      <c r="A27" s="229" t="s">
        <v>697</v>
      </c>
      <c r="B27" s="37">
        <f>SUM(HH_hh_gas_aantal,HH_rest_gas_aantal)</f>
        <v>7247</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6884.65</v>
      </c>
      <c r="C31" s="34" t="s">
        <v>104</v>
      </c>
      <c r="D31" s="173"/>
    </row>
    <row r="32" spans="1:5">
      <c r="A32" s="170" t="s">
        <v>72</v>
      </c>
      <c r="B32" s="33">
        <f>IF((B21*($B$26-($B$27-0.05*$B$27)-$B$60))&lt;0,0,B21*($B$26-($B$27-0.05*$B$27)-$B$60))</f>
        <v>171.29304901391174</v>
      </c>
      <c r="C32" s="34" t="s">
        <v>104</v>
      </c>
      <c r="D32" s="173"/>
    </row>
    <row r="33" spans="1:6">
      <c r="A33" s="170" t="s">
        <v>73</v>
      </c>
      <c r="B33" s="33">
        <f>IF((B22*($B$26-($B$27-0.05*$B$27)-$B$60))&lt;0,0,B22*($B$26-($B$27-0.05*$B$27)-$B$60))</f>
        <v>1153.0031191186426</v>
      </c>
      <c r="C33" s="34" t="s">
        <v>104</v>
      </c>
      <c r="D33" s="173"/>
    </row>
    <row r="34" spans="1:6">
      <c r="A34" s="170" t="s">
        <v>74</v>
      </c>
      <c r="B34" s="33">
        <f>IF((B24*($B$26-($B$27-0.05*$B$27)-$B$60))&lt;0,0,B24*($B$26-($B$27-0.05*$B$27)-$B$60))</f>
        <v>292.53251972173774</v>
      </c>
      <c r="C34" s="33">
        <f>B26*C24</f>
        <v>2821.0878926684895</v>
      </c>
      <c r="D34" s="232"/>
    </row>
    <row r="35" spans="1:6">
      <c r="A35" s="170" t="s">
        <v>76</v>
      </c>
      <c r="B35" s="33">
        <f>IF((B19*($B$26-($B$27-0.05*$B$27)-$B$60))&lt;0,0,B19*($B$26-($B$27-0.05*$B$27)-$B$60))</f>
        <v>108.71469335049605</v>
      </c>
      <c r="C35" s="33">
        <f>B35/2</f>
        <v>54.357346675248024</v>
      </c>
      <c r="D35" s="232"/>
    </row>
    <row r="36" spans="1:6">
      <c r="A36" s="170" t="s">
        <v>77</v>
      </c>
      <c r="B36" s="33">
        <f>IF((B18*($B$26-($B$27-0.05*$B$27)-$B$60))&lt;0,0,B18*($B$26-($B$27-0.05*$B$27)-$B$60))</f>
        <v>5114.8066187952127</v>
      </c>
      <c r="C36" s="34" t="s">
        <v>104</v>
      </c>
      <c r="D36" s="173"/>
    </row>
    <row r="37" spans="1:6">
      <c r="A37" s="170" t="s">
        <v>78</v>
      </c>
      <c r="B37" s="33">
        <f>B60</f>
        <v>66</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284</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66</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41744.025125204833</v>
      </c>
      <c r="C5" s="17">
        <f>IF(ISERROR('Eigen informatie GS &amp; warmtenet'!B58),0,'Eigen informatie GS &amp; warmtenet'!B58)</f>
        <v>0</v>
      </c>
      <c r="D5" s="30">
        <f>SUM(D6:D12)</f>
        <v>49557.762700136198</v>
      </c>
      <c r="E5" s="17">
        <f>SUM(E6:E12)</f>
        <v>220.19090328807158</v>
      </c>
      <c r="F5" s="17">
        <f>SUM(F6:F12)</f>
        <v>5242.8381014018632</v>
      </c>
      <c r="G5" s="18"/>
      <c r="H5" s="17"/>
      <c r="I5" s="17"/>
      <c r="J5" s="17">
        <f>SUM(J6:J12)</f>
        <v>153.97518511584622</v>
      </c>
      <c r="K5" s="17"/>
      <c r="L5" s="17"/>
      <c r="M5" s="17"/>
      <c r="N5" s="17">
        <f>SUM(N6:N12)</f>
        <v>3692.4552249946901</v>
      </c>
      <c r="O5" s="17">
        <f>B38*B39*B40</f>
        <v>9.3800000000000008</v>
      </c>
      <c r="P5" s="17">
        <f>B46*B47*B48/1000-B46*B47*B48/1000/B49</f>
        <v>95.333333333333343</v>
      </c>
      <c r="R5" s="32"/>
    </row>
    <row r="6" spans="1:18">
      <c r="A6" s="32" t="s">
        <v>53</v>
      </c>
      <c r="B6" s="37">
        <f>B26</f>
        <v>9471.1048186070402</v>
      </c>
      <c r="C6" s="33"/>
      <c r="D6" s="37">
        <f>IF(ISERROR(TER_kantoor_gas_kWh/1000),0,TER_kantoor_gas_kWh/1000)*0.902</f>
        <v>9056.1867937794723</v>
      </c>
      <c r="E6" s="33">
        <f>$C$26*'E Balans VL '!I12/100/3.6*1000000</f>
        <v>79.944385280170891</v>
      </c>
      <c r="F6" s="33">
        <f>$C$26*('E Balans VL '!L12+'E Balans VL '!N12)/100/3.6*1000000</f>
        <v>1269.9702912911305</v>
      </c>
      <c r="G6" s="34"/>
      <c r="H6" s="33"/>
      <c r="I6" s="33"/>
      <c r="J6" s="33">
        <f>$C$26*('E Balans VL '!D12+'E Balans VL '!E12)/100/3.6*1000000</f>
        <v>0</v>
      </c>
      <c r="K6" s="33"/>
      <c r="L6" s="33"/>
      <c r="M6" s="33"/>
      <c r="N6" s="33">
        <f>$C$26*'E Balans VL '!Y12/100/3.6*1000000</f>
        <v>83.295437653101786</v>
      </c>
      <c r="O6" s="33"/>
      <c r="P6" s="33"/>
      <c r="R6" s="32"/>
    </row>
    <row r="7" spans="1:18">
      <c r="A7" s="32" t="s">
        <v>52</v>
      </c>
      <c r="B7" s="37">
        <f t="shared" ref="B7:B12" si="0">B27</f>
        <v>1959.9836958282001</v>
      </c>
      <c r="C7" s="33"/>
      <c r="D7" s="37">
        <f>IF(ISERROR(TER_horeca_gas_kWh/1000),0,TER_horeca_gas_kWh/1000)*0.902</f>
        <v>2600.8617757165512</v>
      </c>
      <c r="E7" s="33">
        <f>$C$27*'E Balans VL '!I9/100/3.6*1000000</f>
        <v>25.769872637627756</v>
      </c>
      <c r="F7" s="33">
        <f>$C$27*('E Balans VL '!L9+'E Balans VL '!N9)/100/3.6*1000000</f>
        <v>492.22510694974767</v>
      </c>
      <c r="G7" s="34"/>
      <c r="H7" s="33"/>
      <c r="I7" s="33"/>
      <c r="J7" s="33">
        <f>$C$27*('E Balans VL '!D9+'E Balans VL '!E9)/100/3.6*1000000</f>
        <v>0</v>
      </c>
      <c r="K7" s="33"/>
      <c r="L7" s="33"/>
      <c r="M7" s="33"/>
      <c r="N7" s="33">
        <f>$C$27*'E Balans VL '!Y9/100/3.6*1000000</f>
        <v>0.5335815026312436</v>
      </c>
      <c r="O7" s="33"/>
      <c r="P7" s="33"/>
      <c r="R7" s="32"/>
    </row>
    <row r="8" spans="1:18">
      <c r="A8" s="6" t="s">
        <v>51</v>
      </c>
      <c r="B8" s="37">
        <f t="shared" si="0"/>
        <v>12248.862081390998</v>
      </c>
      <c r="C8" s="33"/>
      <c r="D8" s="37">
        <f>IF(ISERROR(TER_handel_gas_kWh/1000),0,TER_handel_gas_kWh/1000)*0.902</f>
        <v>8551.9376570925342</v>
      </c>
      <c r="E8" s="33">
        <f>$C$28*'E Balans VL '!I13/100/3.6*1000000</f>
        <v>53.64227303160083</v>
      </c>
      <c r="F8" s="33">
        <f>$C$28*('E Balans VL '!L13+'E Balans VL '!N13)/100/3.6*1000000</f>
        <v>823.3026315463344</v>
      </c>
      <c r="G8" s="34"/>
      <c r="H8" s="33"/>
      <c r="I8" s="33"/>
      <c r="J8" s="33">
        <f>$C$28*('E Balans VL '!D13+'E Balans VL '!E13)/100/3.6*1000000</f>
        <v>0</v>
      </c>
      <c r="K8" s="33"/>
      <c r="L8" s="33"/>
      <c r="M8" s="33"/>
      <c r="N8" s="33">
        <f>$C$28*'E Balans VL '!Y13/100/3.6*1000000</f>
        <v>36.186265457730528</v>
      </c>
      <c r="O8" s="33"/>
      <c r="P8" s="33"/>
      <c r="R8" s="32"/>
    </row>
    <row r="9" spans="1:18">
      <c r="A9" s="32" t="s">
        <v>50</v>
      </c>
      <c r="B9" s="37">
        <f t="shared" si="0"/>
        <v>3029.53406095745</v>
      </c>
      <c r="C9" s="33"/>
      <c r="D9" s="37">
        <f>IF(ISERROR(TER_gezond_gas_kWh/1000),0,TER_gezond_gas_kWh/1000)*0.902</f>
        <v>4983.150534718151</v>
      </c>
      <c r="E9" s="33">
        <f>$C$29*'E Balans VL '!I10/100/3.6*1000000</f>
        <v>1.0418701390615177</v>
      </c>
      <c r="F9" s="33">
        <f>$C$29*('E Balans VL '!L10+'E Balans VL '!N10)/100/3.6*1000000</f>
        <v>264.79320966652358</v>
      </c>
      <c r="G9" s="34"/>
      <c r="H9" s="33"/>
      <c r="I9" s="33"/>
      <c r="J9" s="33">
        <f>$C$29*('E Balans VL '!D10+'E Balans VL '!E10)/100/3.6*1000000</f>
        <v>125.66767093643494</v>
      </c>
      <c r="K9" s="33"/>
      <c r="L9" s="33"/>
      <c r="M9" s="33"/>
      <c r="N9" s="33">
        <f>$C$29*'E Balans VL '!Y10/100/3.6*1000000</f>
        <v>31.763545102832008</v>
      </c>
      <c r="O9" s="33"/>
      <c r="P9" s="33"/>
      <c r="R9" s="32"/>
    </row>
    <row r="10" spans="1:18">
      <c r="A10" s="32" t="s">
        <v>49</v>
      </c>
      <c r="B10" s="37">
        <f t="shared" si="0"/>
        <v>4833.5084103737399</v>
      </c>
      <c r="C10" s="33"/>
      <c r="D10" s="37">
        <f>IF(ISERROR(TER_ander_gas_kWh/1000),0,TER_ander_gas_kWh/1000)*0.902</f>
        <v>3252.161181773502</v>
      </c>
      <c r="E10" s="33">
        <f>$C$30*'E Balans VL '!I14/100/3.6*1000000</f>
        <v>2.8746638160792974</v>
      </c>
      <c r="F10" s="33">
        <f>$C$30*('E Balans VL '!L14+'E Balans VL '!N14)/100/3.6*1000000</f>
        <v>855.78783627912469</v>
      </c>
      <c r="G10" s="34"/>
      <c r="H10" s="33"/>
      <c r="I10" s="33"/>
      <c r="J10" s="33">
        <f>$C$30*('E Balans VL '!D14+'E Balans VL '!E14)/100/3.6*1000000</f>
        <v>0</v>
      </c>
      <c r="K10" s="33"/>
      <c r="L10" s="33"/>
      <c r="M10" s="33"/>
      <c r="N10" s="33">
        <f>$C$30*'E Balans VL '!Y14/100/3.6*1000000</f>
        <v>2869.972516670176</v>
      </c>
      <c r="O10" s="33"/>
      <c r="P10" s="33"/>
      <c r="R10" s="32"/>
    </row>
    <row r="11" spans="1:18">
      <c r="A11" s="32" t="s">
        <v>54</v>
      </c>
      <c r="B11" s="37">
        <f t="shared" si="0"/>
        <v>905.39240546237397</v>
      </c>
      <c r="C11" s="33"/>
      <c r="D11" s="37">
        <f>IF(ISERROR(TER_onderwijs_gas_kWh/1000),0,TER_onderwijs_gas_kWh/1000)*0.902</f>
        <v>438.68238315922758</v>
      </c>
      <c r="E11" s="33">
        <f>$C$31*'E Balans VL '!I11/100/3.6*1000000</f>
        <v>0.60222268481682051</v>
      </c>
      <c r="F11" s="33">
        <f>$C$31*('E Balans VL '!L11+'E Balans VL '!N11)/100/3.6*1000000</f>
        <v>290.07008530812777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9295.6396525850305</v>
      </c>
      <c r="C12" s="33"/>
      <c r="D12" s="37">
        <f>IF(ISERROR(TER_rest_gas_kWh/1000),0,TER_rest_gas_kWh/1000)*0.902</f>
        <v>20674.782373896764</v>
      </c>
      <c r="E12" s="33">
        <f>$C$32*'E Balans VL '!I8/100/3.6*1000000</f>
        <v>56.315615698714467</v>
      </c>
      <c r="F12" s="33">
        <f>$C$32*('E Balans VL '!L8+'E Balans VL '!N8)/100/3.6*1000000</f>
        <v>1246.6889403608752</v>
      </c>
      <c r="G12" s="34"/>
      <c r="H12" s="33"/>
      <c r="I12" s="33"/>
      <c r="J12" s="33">
        <f>$C$32*('E Balans VL '!D8+'E Balans VL '!E8)/100/3.6*1000000</f>
        <v>28.307514179411278</v>
      </c>
      <c r="K12" s="33"/>
      <c r="L12" s="33"/>
      <c r="M12" s="33"/>
      <c r="N12" s="33">
        <f>$C$32*'E Balans VL '!Y8/100/3.6*1000000</f>
        <v>670.70387860821859</v>
      </c>
      <c r="O12" s="33"/>
      <c r="P12" s="33"/>
      <c r="R12" s="32"/>
    </row>
    <row r="13" spans="1:18">
      <c r="A13" s="16" t="s">
        <v>483</v>
      </c>
      <c r="B13" s="245">
        <f ca="1">'lokale energieproductie'!N40+'lokale energieproductie'!N33</f>
        <v>56.7</v>
      </c>
      <c r="C13" s="245">
        <f ca="1">'lokale energieproductie'!O40+'lokale energieproductie'!O33</f>
        <v>81</v>
      </c>
      <c r="D13" s="305">
        <f ca="1">('lokale energieproductie'!P33+'lokale energieproductie'!P40)*(-1)</f>
        <v>-162.00000000000003</v>
      </c>
      <c r="E13" s="246"/>
      <c r="F13" s="305">
        <f ca="1">('lokale energieproductie'!S33+'lokale energieproductie'!S40)*(-1)</f>
        <v>0</v>
      </c>
      <c r="G13" s="247"/>
      <c r="H13" s="246"/>
      <c r="I13" s="246"/>
      <c r="J13" s="246"/>
      <c r="K13" s="246"/>
      <c r="L13" s="305">
        <f ca="1">('lokale energieproductie'!U33+'lokale energieproductie'!T33+'lokale energieproductie'!U40+'lokale energieproductie'!T40)*(-1)</f>
        <v>0</v>
      </c>
      <c r="M13" s="246"/>
      <c r="N13" s="305">
        <f ca="1">('lokale energieproductie'!Q33+'lokale energieproductie'!R33+'lokale energieproductie'!V33+'lokale energieproductie'!Q40+'lokale energieproductie'!R40+'lokale energieproductie'!V40)*(-1)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41800.72512520483</v>
      </c>
      <c r="C16" s="21">
        <f t="shared" ca="1" si="1"/>
        <v>81</v>
      </c>
      <c r="D16" s="21">
        <f t="shared" ca="1" si="1"/>
        <v>49395.762700136198</v>
      </c>
      <c r="E16" s="21">
        <f t="shared" si="1"/>
        <v>220.19090328807158</v>
      </c>
      <c r="F16" s="21">
        <f t="shared" ca="1" si="1"/>
        <v>5242.8381014018632</v>
      </c>
      <c r="G16" s="21">
        <f t="shared" si="1"/>
        <v>0</v>
      </c>
      <c r="H16" s="21">
        <f t="shared" si="1"/>
        <v>0</v>
      </c>
      <c r="I16" s="21">
        <f t="shared" si="1"/>
        <v>0</v>
      </c>
      <c r="J16" s="21">
        <f t="shared" si="1"/>
        <v>153.97518511584622</v>
      </c>
      <c r="K16" s="21">
        <f t="shared" si="1"/>
        <v>0</v>
      </c>
      <c r="L16" s="21">
        <f t="shared" ca="1" si="1"/>
        <v>0</v>
      </c>
      <c r="M16" s="21">
        <f t="shared" si="1"/>
        <v>0</v>
      </c>
      <c r="N16" s="21">
        <f t="shared" ca="1" si="1"/>
        <v>3692.4552249946901</v>
      </c>
      <c r="O16" s="21">
        <f>O5</f>
        <v>9.3800000000000008</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0.19728159111423796</v>
      </c>
      <c r="C18" s="25">
        <f ca="1">'EF ele_warmte'!B22</f>
        <v>0.23237084808746117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8246.5135624293125</v>
      </c>
      <c r="C20" s="23">
        <f t="shared" ref="C20:P20" ca="1" si="2">C16*C18</f>
        <v>18.822038695084355</v>
      </c>
      <c r="D20" s="23">
        <f t="shared" ca="1" si="2"/>
        <v>9977.9440654275131</v>
      </c>
      <c r="E20" s="23">
        <f t="shared" si="2"/>
        <v>49.983335046392249</v>
      </c>
      <c r="F20" s="23">
        <f t="shared" ca="1" si="2"/>
        <v>1399.8377730742975</v>
      </c>
      <c r="G20" s="23">
        <f t="shared" si="2"/>
        <v>0</v>
      </c>
      <c r="H20" s="23">
        <f t="shared" si="2"/>
        <v>0</v>
      </c>
      <c r="I20" s="23">
        <f t="shared" si="2"/>
        <v>0</v>
      </c>
      <c r="J20" s="23">
        <f t="shared" si="2"/>
        <v>54.507215531009557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9471.1048186070402</v>
      </c>
      <c r="C26" s="39">
        <f>IF(ISERROR(B26*3.6/1000000/'E Balans VL '!Z12*100),0,B26*3.6/1000000/'E Balans VL '!Z12*100)</f>
        <v>0.19850259901113992</v>
      </c>
      <c r="D26" s="235" t="s">
        <v>647</v>
      </c>
      <c r="F26" s="6"/>
    </row>
    <row r="27" spans="1:18">
      <c r="A27" s="230" t="s">
        <v>52</v>
      </c>
      <c r="B27" s="33">
        <f>IF(ISERROR(TER_horeca_ele_kWh/1000),0,TER_horeca_ele_kWh/1000)</f>
        <v>1959.9836958282001</v>
      </c>
      <c r="C27" s="39">
        <f>IF(ISERROR(B27*3.6/1000000/'E Balans VL '!Z9*100),0,B27*3.6/1000000/'E Balans VL '!Z9*100)</f>
        <v>0.15027161270365103</v>
      </c>
      <c r="D27" s="235" t="s">
        <v>647</v>
      </c>
      <c r="F27" s="6"/>
    </row>
    <row r="28" spans="1:18">
      <c r="A28" s="170" t="s">
        <v>51</v>
      </c>
      <c r="B28" s="33">
        <f>IF(ISERROR(TER_handel_ele_kWh/1000),0,TER_handel_ele_kWh/1000)</f>
        <v>12248.862081390998</v>
      </c>
      <c r="C28" s="39">
        <f>IF(ISERROR(B28*3.6/1000000/'E Balans VL '!Z13*100),0,B28*3.6/1000000/'E Balans VL '!Z13*100)</f>
        <v>0.34555846907833471</v>
      </c>
      <c r="D28" s="235" t="s">
        <v>647</v>
      </c>
      <c r="F28" s="6"/>
    </row>
    <row r="29" spans="1:18">
      <c r="A29" s="230" t="s">
        <v>50</v>
      </c>
      <c r="B29" s="33">
        <f>IF(ISERROR(TER_gezond_ele_kWh/1000),0,TER_gezond_ele_kWh/1000)</f>
        <v>3029.53406095745</v>
      </c>
      <c r="C29" s="39">
        <f>IF(ISERROR(B29*3.6/1000000/'E Balans VL '!Z10*100),0,B29*3.6/1000000/'E Balans VL '!Z10*100)</f>
        <v>0.33639207906427077</v>
      </c>
      <c r="D29" s="235" t="s">
        <v>647</v>
      </c>
      <c r="F29" s="6"/>
    </row>
    <row r="30" spans="1:18">
      <c r="A30" s="230" t="s">
        <v>49</v>
      </c>
      <c r="B30" s="33">
        <f>IF(ISERROR(TER_ander_ele_kWh/1000),0,TER_ander_ele_kWh/1000)</f>
        <v>4833.5084103737399</v>
      </c>
      <c r="C30" s="39">
        <f>IF(ISERROR(B30*3.6/1000000/'E Balans VL '!Z14*100),0,B30*3.6/1000000/'E Balans VL '!Z14*100)</f>
        <v>0.34876387600467934</v>
      </c>
      <c r="D30" s="235" t="s">
        <v>647</v>
      </c>
      <c r="F30" s="6"/>
    </row>
    <row r="31" spans="1:18">
      <c r="A31" s="230" t="s">
        <v>54</v>
      </c>
      <c r="B31" s="33">
        <f>IF(ISERROR(TER_onderwijs_ele_kWh/1000),0,TER_onderwijs_ele_kWh/1000)</f>
        <v>905.39240546237397</v>
      </c>
      <c r="C31" s="39">
        <f>IF(ISERROR(B31*3.6/1000000/'E Balans VL '!Z11*100),0,B31*3.6/1000000/'E Balans VL '!Z11*100)</f>
        <v>0.25096760308666838</v>
      </c>
      <c r="D31" s="235" t="s">
        <v>647</v>
      </c>
    </row>
    <row r="32" spans="1:18">
      <c r="A32" s="230" t="s">
        <v>249</v>
      </c>
      <c r="B32" s="33">
        <f>IF(ISERROR(TER_rest_ele_kWh/1000),0,TER_rest_ele_kWh/1000)</f>
        <v>9295.6396525850305</v>
      </c>
      <c r="C32" s="39">
        <f>IF(ISERROR(B32*3.6/1000000/'E Balans VL '!Z8*100),0,B32*3.6/1000000/'E Balans VL '!Z8*100)</f>
        <v>7.5774648141367279E-2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6</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5</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88152.720278188324</v>
      </c>
      <c r="C5" s="17">
        <f>IF(ISERROR('Eigen informatie GS &amp; warmtenet'!B59),0,'Eigen informatie GS &amp; warmtenet'!B59)</f>
        <v>0</v>
      </c>
      <c r="D5" s="30">
        <f>SUM(D6:D15)</f>
        <v>83817.219699742054</v>
      </c>
      <c r="E5" s="17">
        <f>SUM(E6:E15)</f>
        <v>3181.8467049780402</v>
      </c>
      <c r="F5" s="17">
        <f>SUM(F6:F15)</f>
        <v>16937.786020401276</v>
      </c>
      <c r="G5" s="18"/>
      <c r="H5" s="17"/>
      <c r="I5" s="17"/>
      <c r="J5" s="17">
        <f>SUM(J6:J15)</f>
        <v>92.282293275846669</v>
      </c>
      <c r="K5" s="17"/>
      <c r="L5" s="17"/>
      <c r="M5" s="17"/>
      <c r="N5" s="17">
        <f>SUM(N6:N15)</f>
        <v>4183.5885351413044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487.07387550192698</v>
      </c>
      <c r="C8" s="33"/>
      <c r="D8" s="37">
        <f>IF( ISERROR(IND_metaal_Gas_kWH/1000),0,IND_metaal_Gas_kWH/1000)*0.902</f>
        <v>104.09495538160715</v>
      </c>
      <c r="E8" s="33">
        <f>C30*'E Balans VL '!I18/100/3.6*1000000</f>
        <v>13.990589955456777</v>
      </c>
      <c r="F8" s="33">
        <f>C30*'E Balans VL '!L18/100/3.6*1000000+C30*'E Balans VL '!N18/100/3.6*1000000</f>
        <v>124.92508128936316</v>
      </c>
      <c r="G8" s="34"/>
      <c r="H8" s="33"/>
      <c r="I8" s="33"/>
      <c r="J8" s="40">
        <f>C30*'E Balans VL '!D18/100/3.6*1000000+C30*'E Balans VL '!E18/100/3.6*1000000</f>
        <v>0</v>
      </c>
      <c r="K8" s="33"/>
      <c r="L8" s="33"/>
      <c r="M8" s="33"/>
      <c r="N8" s="33">
        <f>C30*'E Balans VL '!Y18/100/3.6*1000000</f>
        <v>13.225049978521518</v>
      </c>
      <c r="O8" s="33"/>
      <c r="P8" s="33"/>
      <c r="R8" s="32"/>
    </row>
    <row r="9" spans="1:18">
      <c r="A9" s="6" t="s">
        <v>32</v>
      </c>
      <c r="B9" s="37">
        <f t="shared" si="0"/>
        <v>2345.9009561737503</v>
      </c>
      <c r="C9" s="33"/>
      <c r="D9" s="37">
        <f>IF( ISERROR(IND_andere_gas_kWh/1000),0,IND_andere_gas_kWh/1000)*0.902</f>
        <v>33375.761274313139</v>
      </c>
      <c r="E9" s="33">
        <f>C31*'E Balans VL '!I19/100/3.6*1000000</f>
        <v>634.97771007454287</v>
      </c>
      <c r="F9" s="33">
        <f>C31*'E Balans VL '!L19/100/3.6*1000000+C31*'E Balans VL '!N19/100/3.6*1000000</f>
        <v>1562.6182849895044</v>
      </c>
      <c r="G9" s="34"/>
      <c r="H9" s="33"/>
      <c r="I9" s="33"/>
      <c r="J9" s="40">
        <f>C31*'E Balans VL '!D19/100/3.6*1000000+C31*'E Balans VL '!E19/100/3.6*1000000</f>
        <v>0</v>
      </c>
      <c r="K9" s="33"/>
      <c r="L9" s="33"/>
      <c r="M9" s="33"/>
      <c r="N9" s="33">
        <f>C31*'E Balans VL '!Y19/100/3.6*1000000</f>
        <v>198.33038602520654</v>
      </c>
      <c r="O9" s="33"/>
      <c r="P9" s="33"/>
      <c r="R9" s="32"/>
    </row>
    <row r="10" spans="1:18">
      <c r="A10" s="6" t="s">
        <v>40</v>
      </c>
      <c r="B10" s="37">
        <f t="shared" si="0"/>
        <v>3979.25021987734</v>
      </c>
      <c r="C10" s="33"/>
      <c r="D10" s="37">
        <f>IF( ISERROR(IND_voed_gas_kWh/1000),0,IND_voed_gas_kWh/1000)*0.902</f>
        <v>4564.1384501173015</v>
      </c>
      <c r="E10" s="33">
        <f>C32*'E Balans VL '!I20/100/3.6*1000000</f>
        <v>324.55679002268647</v>
      </c>
      <c r="F10" s="33">
        <f>C32*'E Balans VL '!L20/100/3.6*1000000+C32*'E Balans VL '!N20/100/3.6*1000000</f>
        <v>5933.4231070509068</v>
      </c>
      <c r="G10" s="34"/>
      <c r="H10" s="33"/>
      <c r="I10" s="33"/>
      <c r="J10" s="40">
        <f>C32*'E Balans VL '!D20/100/3.6*1000000+C32*'E Balans VL '!E20/100/3.6*1000000</f>
        <v>5.2640650247179427E-2</v>
      </c>
      <c r="K10" s="33"/>
      <c r="L10" s="33"/>
      <c r="M10" s="33"/>
      <c r="N10" s="33">
        <f>C32*'E Balans VL '!Y20/100/3.6*1000000</f>
        <v>1168.9633020000929</v>
      </c>
      <c r="O10" s="33"/>
      <c r="P10" s="33"/>
      <c r="R10" s="32"/>
    </row>
    <row r="11" spans="1:18">
      <c r="A11" s="6" t="s">
        <v>39</v>
      </c>
      <c r="B11" s="37">
        <f t="shared" si="0"/>
        <v>28.318000000000001</v>
      </c>
      <c r="C11" s="33"/>
      <c r="D11" s="37">
        <f>IF( ISERROR(IND_textiel_gas_kWh/1000),0,IND_textiel_gas_kWh/1000)*0.902</f>
        <v>0</v>
      </c>
      <c r="E11" s="33">
        <f>C33*'E Balans VL '!I21/100/3.6*1000000</f>
        <v>5.6132069780606099E-3</v>
      </c>
      <c r="F11" s="33">
        <f>C33*'E Balans VL '!L21/100/3.6*1000000+C33*'E Balans VL '!N21/100/3.6*1000000</f>
        <v>1.0429861057760679</v>
      </c>
      <c r="G11" s="34"/>
      <c r="H11" s="33"/>
      <c r="I11" s="33"/>
      <c r="J11" s="40">
        <f>C33*'E Balans VL '!D21/100/3.6*1000000+C33*'E Balans VL '!E21/100/3.6*1000000</f>
        <v>0</v>
      </c>
      <c r="K11" s="33"/>
      <c r="L11" s="33"/>
      <c r="M11" s="33"/>
      <c r="N11" s="33">
        <f>C33*'E Balans VL '!Y21/100/3.6*1000000</f>
        <v>0.13167155135178621</v>
      </c>
      <c r="O11" s="33"/>
      <c r="P11" s="33"/>
      <c r="R11" s="32"/>
    </row>
    <row r="12" spans="1:18">
      <c r="A12" s="6" t="s">
        <v>36</v>
      </c>
      <c r="B12" s="37">
        <f t="shared" si="0"/>
        <v>140.64228229408698</v>
      </c>
      <c r="C12" s="33"/>
      <c r="D12" s="37">
        <f>IF( ISERROR(IND_min_gas_kWh/1000),0,IND_min_gas_kWh/1000)*0.902</f>
        <v>0</v>
      </c>
      <c r="E12" s="33">
        <f>C34*'E Balans VL '!I22/100/3.6*1000000</f>
        <v>1.0955727344220321</v>
      </c>
      <c r="F12" s="33">
        <f>C34*'E Balans VL '!L22/100/3.6*1000000+C34*'E Balans VL '!N22/100/3.6*1000000</f>
        <v>53.041626149114208</v>
      </c>
      <c r="G12" s="34"/>
      <c r="H12" s="33"/>
      <c r="I12" s="33"/>
      <c r="J12" s="40">
        <f>C34*'E Balans VL '!D22/100/3.6*1000000+C34*'E Balans VL '!E22/100/3.6*1000000</f>
        <v>0.77352025585101636</v>
      </c>
      <c r="K12" s="33"/>
      <c r="L12" s="33"/>
      <c r="M12" s="33"/>
      <c r="N12" s="33">
        <f>C34*'E Balans VL '!Y22/100/3.6*1000000</f>
        <v>0</v>
      </c>
      <c r="O12" s="33"/>
      <c r="P12" s="33"/>
      <c r="R12" s="32"/>
    </row>
    <row r="13" spans="1:18">
      <c r="A13" s="6" t="s">
        <v>38</v>
      </c>
      <c r="B13" s="37">
        <f t="shared" si="0"/>
        <v>265.93752494661101</v>
      </c>
      <c r="C13" s="33"/>
      <c r="D13" s="37">
        <f>IF( ISERROR(IND_papier_gas_kWh/1000),0,IND_papier_gas_kWh/1000)*0.902</f>
        <v>337.38972087206656</v>
      </c>
      <c r="E13" s="33">
        <f>C35*'E Balans VL '!I23/100/3.6*1000000</f>
        <v>2.7861800528602578</v>
      </c>
      <c r="F13" s="33">
        <f>C35*'E Balans VL '!L23/100/3.6*1000000+C35*'E Balans VL '!N23/100/3.6*1000000</f>
        <v>19.844305247887437</v>
      </c>
      <c r="G13" s="34"/>
      <c r="H13" s="33"/>
      <c r="I13" s="33"/>
      <c r="J13" s="40">
        <f>C35*'E Balans VL '!D23/100/3.6*1000000+C35*'E Balans VL '!E23/100/3.6*1000000</f>
        <v>0</v>
      </c>
      <c r="K13" s="33"/>
      <c r="L13" s="33"/>
      <c r="M13" s="33"/>
      <c r="N13" s="33">
        <f>C35*'E Balans VL '!Y23/100/3.6*1000000</f>
        <v>49.059723123447768</v>
      </c>
      <c r="O13" s="33"/>
      <c r="P13" s="33"/>
      <c r="R13" s="32"/>
    </row>
    <row r="14" spans="1:18">
      <c r="A14" s="6" t="s">
        <v>33</v>
      </c>
      <c r="B14" s="37">
        <f t="shared" si="0"/>
        <v>45223.237512757005</v>
      </c>
      <c r="C14" s="33"/>
      <c r="D14" s="37">
        <f>IF( ISERROR(IND_chemie_gas_kWh/1000),0,IND_chemie_gas_kWh/1000)*0.902</f>
        <v>0</v>
      </c>
      <c r="E14" s="33">
        <f>C36*'E Balans VL '!I24/100/3.6*1000000</f>
        <v>213.78086350599898</v>
      </c>
      <c r="F14" s="33">
        <f>C36*'E Balans VL '!L24/100/3.6*1000000+C36*'E Balans VL '!N24/100/3.6*1000000</f>
        <v>854.69491491845952</v>
      </c>
      <c r="G14" s="34"/>
      <c r="H14" s="33"/>
      <c r="I14" s="33"/>
      <c r="J14" s="40">
        <f>C36*'E Balans VL '!D24/100/3.6*1000000+C36*'E Balans VL '!E24/100/3.6*1000000</f>
        <v>0</v>
      </c>
      <c r="K14" s="33"/>
      <c r="L14" s="33"/>
      <c r="M14" s="33"/>
      <c r="N14" s="33">
        <f>C36*'E Balans VL '!Y24/100/3.6*1000000</f>
        <v>1097.8672151882647</v>
      </c>
      <c r="O14" s="33"/>
      <c r="P14" s="33"/>
      <c r="R14" s="32"/>
    </row>
    <row r="15" spans="1:18">
      <c r="A15" s="6" t="s">
        <v>259</v>
      </c>
      <c r="B15" s="37">
        <f t="shared" si="0"/>
        <v>35682.359906637605</v>
      </c>
      <c r="C15" s="33"/>
      <c r="D15" s="37">
        <f>IF( ISERROR(IND_rest_gas_kWh/1000),0,IND_rest_gas_kWh/1000)*0.902</f>
        <v>45435.835299057937</v>
      </c>
      <c r="E15" s="33">
        <f>C37*'E Balans VL '!I15/100/3.6*1000000</f>
        <v>1990.6533854250945</v>
      </c>
      <c r="F15" s="33">
        <f>C37*'E Balans VL '!L15/100/3.6*1000000+C37*'E Balans VL '!N15/100/3.6*1000000</f>
        <v>8388.1957146502646</v>
      </c>
      <c r="G15" s="34"/>
      <c r="H15" s="33"/>
      <c r="I15" s="33"/>
      <c r="J15" s="40">
        <f>C37*'E Balans VL '!D15/100/3.6*1000000+C37*'E Balans VL '!E15/100/3.6*1000000</f>
        <v>91.456132369748474</v>
      </c>
      <c r="K15" s="33"/>
      <c r="L15" s="33"/>
      <c r="M15" s="33"/>
      <c r="N15" s="33">
        <f>C37*'E Balans VL '!Y15/100/3.6*1000000</f>
        <v>1656.0111872744189</v>
      </c>
      <c r="O15" s="33"/>
      <c r="P15" s="33"/>
      <c r="R15" s="32"/>
    </row>
    <row r="16" spans="1:18">
      <c r="A16" s="16" t="s">
        <v>483</v>
      </c>
      <c r="B16" s="245">
        <f>'lokale energieproductie'!N39+'lokale energieproductie'!N32</f>
        <v>0</v>
      </c>
      <c r="C16" s="245">
        <f>'lokale energieproductie'!O39+'lokale energieproductie'!O32</f>
        <v>0</v>
      </c>
      <c r="D16" s="305">
        <f>('lokale energieproductie'!P32+'lokale energieproductie'!P39)*(-1)</f>
        <v>0</v>
      </c>
      <c r="E16" s="246"/>
      <c r="F16" s="305">
        <f>('lokale energieproductie'!S32+'lokale energieproductie'!S39)*(-1)</f>
        <v>0</v>
      </c>
      <c r="G16" s="247"/>
      <c r="H16" s="246"/>
      <c r="I16" s="246"/>
      <c r="J16" s="246"/>
      <c r="K16" s="246"/>
      <c r="L16" s="305">
        <f>('lokale energieproductie'!T32+'lokale energieproductie'!U32+'lokale energieproductie'!T39+'lokale energieproductie'!U39)*(-1)</f>
        <v>0</v>
      </c>
      <c r="M16" s="246"/>
      <c r="N16" s="305">
        <f>('lokale energieproductie'!Q32+'lokale energieproductie'!R32+'lokale energieproductie'!V32+'lokale energieproductie'!Q39+'lokale energieproductie'!R39+'lokale energieproductie'!V39)*(-1)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88152.720278188324</v>
      </c>
      <c r="C18" s="21">
        <f>C5+C16</f>
        <v>0</v>
      </c>
      <c r="D18" s="21">
        <f>MAX((D5+D16),0)</f>
        <v>83817.219699742054</v>
      </c>
      <c r="E18" s="21">
        <f>MAX((E5+E16),0)</f>
        <v>3181.8467049780402</v>
      </c>
      <c r="F18" s="21">
        <f>MAX((F5+F16),0)</f>
        <v>16937.786020401276</v>
      </c>
      <c r="G18" s="21"/>
      <c r="H18" s="21"/>
      <c r="I18" s="21"/>
      <c r="J18" s="21">
        <f>MAX((J5+J16),0)</f>
        <v>92.282293275846669</v>
      </c>
      <c r="K18" s="21"/>
      <c r="L18" s="21">
        <f>MAX((L5+L16),0)</f>
        <v>0</v>
      </c>
      <c r="M18" s="21"/>
      <c r="N18" s="21">
        <f>MAX((N5+N16),0)</f>
        <v>4183.5885351413044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0.19728159111423796</v>
      </c>
      <c r="C20" s="25">
        <f ca="1">'EF ele_warmte'!B22</f>
        <v>0.23237084808746117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17390.908917529341</v>
      </c>
      <c r="C22" s="23">
        <f ca="1">C18*C20</f>
        <v>0</v>
      </c>
      <c r="D22" s="23">
        <f>D18*D20</f>
        <v>16931.078379347895</v>
      </c>
      <c r="E22" s="23">
        <f>E18*E20</f>
        <v>722.2792020300152</v>
      </c>
      <c r="F22" s="23">
        <f>F18*F20</f>
        <v>4522.3888674471409</v>
      </c>
      <c r="G22" s="23"/>
      <c r="H22" s="23"/>
      <c r="I22" s="23"/>
      <c r="J22" s="23">
        <f>J18*J20</f>
        <v>32.667931819649716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487.07387550192698</v>
      </c>
      <c r="C30" s="39">
        <f>IF(ISERROR(B30*3.6/1000000/'E Balans VL '!Z18*100),0,B30*3.6/1000000/'E Balans VL '!Z18*100)</f>
        <v>4.7926825982235223E-2</v>
      </c>
      <c r="D30" s="235" t="s">
        <v>647</v>
      </c>
    </row>
    <row r="31" spans="1:18">
      <c r="A31" s="6" t="s">
        <v>32</v>
      </c>
      <c r="B31" s="37">
        <f>IF( ISERROR(IND_ander_ele_kWh/1000),0,IND_ander_ele_kWh/1000)</f>
        <v>2345.9009561737503</v>
      </c>
      <c r="C31" s="39">
        <f>IF(ISERROR(B31*3.6/1000000/'E Balans VL '!Z19*100),0,B31*3.6/1000000/'E Balans VL '!Z19*100)</f>
        <v>0.10216211533460766</v>
      </c>
      <c r="D31" s="235" t="s">
        <v>647</v>
      </c>
    </row>
    <row r="32" spans="1:18">
      <c r="A32" s="170" t="s">
        <v>40</v>
      </c>
      <c r="B32" s="37">
        <f>IF( ISERROR(IND_voed_ele_kWh/1000),0,IND_voed_ele_kWh/1000)</f>
        <v>3979.25021987734</v>
      </c>
      <c r="C32" s="39">
        <f>IF(ISERROR(B32*3.6/1000000/'E Balans VL '!Z20*100),0,B32*3.6/1000000/'E Balans VL '!Z20*100)</f>
        <v>0.75500534219059157</v>
      </c>
      <c r="D32" s="235" t="s">
        <v>647</v>
      </c>
    </row>
    <row r="33" spans="1:5">
      <c r="A33" s="170" t="s">
        <v>39</v>
      </c>
      <c r="B33" s="37">
        <f>IF( ISERROR(IND_textiel_ele_kWh/1000),0,IND_textiel_ele_kWh/1000)</f>
        <v>28.318000000000001</v>
      </c>
      <c r="C33" s="39">
        <f>IF(ISERROR(B33*3.6/1000000/'E Balans VL '!Z21*100),0,B33*3.6/1000000/'E Balans VL '!Z21*100)</f>
        <v>1.6168141921905667E-3</v>
      </c>
      <c r="D33" s="235" t="s">
        <v>647</v>
      </c>
    </row>
    <row r="34" spans="1:5">
      <c r="A34" s="170" t="s">
        <v>36</v>
      </c>
      <c r="B34" s="37">
        <f>IF( ISERROR(IND_min_ele_kWh/1000),0,IND_min_ele_kWh/1000)</f>
        <v>140.64228229408698</v>
      </c>
      <c r="C34" s="39">
        <f>IF(ISERROR(B34*3.6/1000000/'E Balans VL '!Z22*100),0,B34*3.6/1000000/'E Balans VL '!Z22*100)</f>
        <v>1.9775717176327E-2</v>
      </c>
      <c r="D34" s="235" t="s">
        <v>647</v>
      </c>
    </row>
    <row r="35" spans="1:5">
      <c r="A35" s="170" t="s">
        <v>38</v>
      </c>
      <c r="B35" s="37">
        <f>IF( ISERROR(IND_papier_ele_kWh/1000),0,IND_papier_ele_kWh/1000)</f>
        <v>265.93752494661101</v>
      </c>
      <c r="C35" s="39">
        <f>IF(ISERROR(B35*3.6/1000000/'E Balans VL '!Z22*100),0,B35*3.6/1000000/'E Balans VL '!Z22*100)</f>
        <v>3.7393486468881729E-2</v>
      </c>
      <c r="D35" s="235" t="s">
        <v>647</v>
      </c>
    </row>
    <row r="36" spans="1:5">
      <c r="A36" s="170" t="s">
        <v>33</v>
      </c>
      <c r="B36" s="37">
        <f>IF( ISERROR(IND_chemie_ele_kWh/1000),0,IND_chemie_ele_kWh/1000)</f>
        <v>45223.237512757005</v>
      </c>
      <c r="C36" s="39">
        <f>IF(ISERROR(B36*3.6/1000000/'E Balans VL '!Z24*100),0,B36*3.6/1000000/'E Balans VL '!Z24*100)</f>
        <v>1.3179387731852432</v>
      </c>
      <c r="D36" s="235" t="s">
        <v>647</v>
      </c>
    </row>
    <row r="37" spans="1:5">
      <c r="A37" s="170" t="s">
        <v>259</v>
      </c>
      <c r="B37" s="37">
        <f>IF( ISERROR(IND_rest_ele_kWh/1000),0,IND_rest_ele_kWh/1000)</f>
        <v>35682.359906637605</v>
      </c>
      <c r="C37" s="39">
        <f>IF(ISERROR(B37*3.6/1000000/'E Balans VL '!Z15*100),0,B37*3.6/1000000/'E Balans VL '!Z15*100)</f>
        <v>0.27497641005259815</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4792.5434374881752</v>
      </c>
      <c r="C5" s="17">
        <f>'Eigen informatie GS &amp; warmtenet'!B60</f>
        <v>0</v>
      </c>
      <c r="D5" s="30">
        <f>IF(ISERROR(SUM(LB_lb_gas_kWh,LB_rest_gas_kWh)/1000),0,SUM(LB_lb_gas_kWh,LB_rest_gas_kWh)/1000)*0.902</f>
        <v>8213.8841516327029</v>
      </c>
      <c r="E5" s="17">
        <f>B17*'E Balans VL '!I25/3.6*1000000/100</f>
        <v>99.515775391680378</v>
      </c>
      <c r="F5" s="17">
        <f>B17*('E Balans VL '!L25/3.6*1000000+'E Balans VL '!N25/3.6*1000000)/100</f>
        <v>16936.970799793522</v>
      </c>
      <c r="G5" s="18"/>
      <c r="H5" s="17"/>
      <c r="I5" s="17"/>
      <c r="J5" s="17">
        <f>('E Balans VL '!D25+'E Balans VL '!E25)/3.6*1000000*landbouw!B17/100</f>
        <v>549.67442025582034</v>
      </c>
      <c r="K5" s="17"/>
      <c r="L5" s="17">
        <f>L6*(-1)</f>
        <v>0</v>
      </c>
      <c r="M5" s="17"/>
      <c r="N5" s="17">
        <f>N6*(-1)</f>
        <v>114.32142857142857</v>
      </c>
      <c r="O5" s="17"/>
      <c r="P5" s="17"/>
      <c r="R5" s="32"/>
    </row>
    <row r="6" spans="1:18">
      <c r="A6" s="16" t="s">
        <v>483</v>
      </c>
      <c r="B6" s="17" t="s">
        <v>204</v>
      </c>
      <c r="C6" s="17">
        <f>'lokale energieproductie'!O41+'lokale energieproductie'!O34</f>
        <v>2493.5892857142858</v>
      </c>
      <c r="D6" s="305">
        <f>('lokale energieproductie'!P34+'lokale energieproductie'!P41)*(-1)</f>
        <v>-4872.8571428571431</v>
      </c>
      <c r="E6" s="246"/>
      <c r="F6" s="305">
        <f>('lokale energieproductie'!S34+'lokale energieproductie'!S41)*(-1)</f>
        <v>0</v>
      </c>
      <c r="G6" s="247"/>
      <c r="H6" s="246"/>
      <c r="I6" s="246"/>
      <c r="J6" s="246"/>
      <c r="K6" s="246"/>
      <c r="L6" s="305">
        <f>('lokale energieproductie'!T34+'lokale energieproductie'!U34+'lokale energieproductie'!T41+'lokale energieproductie'!U41)*(-1)</f>
        <v>0</v>
      </c>
      <c r="M6" s="246"/>
      <c r="N6" s="978">
        <f>('lokale energieproductie'!V34+'lokale energieproductie'!R34+'lokale energieproductie'!Q34+'lokale energieproductie'!Q41+'lokale energieproductie'!R41+'lokale energieproductie'!V41)*(-1)</f>
        <v>-114.32142857142857</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4792.5434374881752</v>
      </c>
      <c r="C8" s="21">
        <f>C5+C6</f>
        <v>2493.5892857142858</v>
      </c>
      <c r="D8" s="21">
        <f>MAX((D5+D6),0)</f>
        <v>3341.0270087755598</v>
      </c>
      <c r="E8" s="21">
        <f>MAX((E5+E6),0)</f>
        <v>99.515775391680378</v>
      </c>
      <c r="F8" s="21">
        <f>MAX((F5+F6),0)</f>
        <v>16936.970799793522</v>
      </c>
      <c r="G8" s="21"/>
      <c r="H8" s="21"/>
      <c r="I8" s="21"/>
      <c r="J8" s="21">
        <f>MAX((J5+J6),0)</f>
        <v>549.67442025582034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0.19728159111423796</v>
      </c>
      <c r="C10" s="31">
        <f ca="1">'EF ele_warmte'!B22</f>
        <v>0.23237084808746117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945.48059483176667</v>
      </c>
      <c r="C12" s="23">
        <f ca="1">C8*C10</f>
        <v>579.43745710323515</v>
      </c>
      <c r="D12" s="23">
        <f>D8*D10</f>
        <v>674.88745577266309</v>
      </c>
      <c r="E12" s="23">
        <f>E8*E10</f>
        <v>22.590081013911448</v>
      </c>
      <c r="F12" s="23">
        <f>F8*F10</f>
        <v>4522.1712035448709</v>
      </c>
      <c r="G12" s="23"/>
      <c r="H12" s="23"/>
      <c r="I12" s="23"/>
      <c r="J12" s="23">
        <f>J8*J10</f>
        <v>194.58474477056038</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0.66840875732847227</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772.54334633573171</v>
      </c>
      <c r="C26" s="245">
        <f>B26*'GWP N2O_CH4'!B5</f>
        <v>16223.410273050366</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268.64171119785902</v>
      </c>
      <c r="C27" s="245">
        <f>B27*'GWP N2O_CH4'!B5</f>
        <v>5641.4759351550392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11.628748615139093</v>
      </c>
      <c r="C28" s="245">
        <f>B28*'GWP N2O_CH4'!B4</f>
        <v>3604.9120706931189</v>
      </c>
      <c r="D28" s="50"/>
    </row>
    <row r="29" spans="1:4">
      <c r="A29" s="41" t="s">
        <v>266</v>
      </c>
      <c r="B29" s="245">
        <f>B34*'ha_N2O bodem landbouw'!B4</f>
        <v>25.440741768902821</v>
      </c>
      <c r="C29" s="245">
        <f>B29*'GWP N2O_CH4'!B4</f>
        <v>7886.629948359875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6.352299008708197E-3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4.68707705485736E-5</v>
      </c>
      <c r="C5" s="434" t="s">
        <v>204</v>
      </c>
      <c r="D5" s="419">
        <f>SUM(D6:D11)</f>
        <v>4.8415810377684285E-5</v>
      </c>
      <c r="E5" s="419">
        <f>SUM(E6:E11)</f>
        <v>1.7004675424923013E-3</v>
      </c>
      <c r="F5" s="432" t="s">
        <v>204</v>
      </c>
      <c r="G5" s="419">
        <f>SUM(G6:G11)</f>
        <v>0.47657583009353349</v>
      </c>
      <c r="H5" s="419">
        <f>SUM(H6:H11)</f>
        <v>8.7620527556596245E-2</v>
      </c>
      <c r="I5" s="434" t="s">
        <v>204</v>
      </c>
      <c r="J5" s="434" t="s">
        <v>204</v>
      </c>
      <c r="K5" s="434" t="s">
        <v>204</v>
      </c>
      <c r="L5" s="434" t="s">
        <v>204</v>
      </c>
      <c r="M5" s="419">
        <f>SUM(M6:M11)</f>
        <v>2.5512049149291935E-2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3.0949691407376425E-5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2.7452622132655394E-5</v>
      </c>
      <c r="E6" s="836">
        <f>vkm_GW_PW*SUMIFS(TableVerdeelsleutelVkm[LPG],TableVerdeelsleutelVkm[Voertuigtype],"Lichte voertuigen")*SUMIFS(TableECFTransport[EnergieConsumptieFactor (PJ per km)],TableECFTransport[Index],CONCATENATE($A6,"_LPG_LPG"))</f>
        <v>9.8580100336516526E-4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0.19597174967293074</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5.0588914614305716E-2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1.1154451039240704E-2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7.6832853312547191E-7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0.12023199146257432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3.1627733907386562E-6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5.4286789149000543E-3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1.5021723627133738E-5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2.0963188245028895E-5</v>
      </c>
      <c r="E8" s="422">
        <f>vkm_NGW_PW*SUMIFS(TableVerdeelsleutelVkm[LPG],TableVerdeelsleutelVkm[Voertuigtype],"Lichte voertuigen")*SUMIFS(TableECFTransport[EnergieConsumptieFactor (PJ per km)],TableECFTransport[Index],CONCATENATE($A8,"_LPG_LPG"))</f>
        <v>7.1466653912713603E-4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0.13403463048722664</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3.7027799142957001E-2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7.7397400536992214E-3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1.3102698093796644E-7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2.6337458470801784E-2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6.5102594278733086E-7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1.1891791414519565E-3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13.019658485714888</v>
      </c>
      <c r="C14" s="21"/>
      <c r="D14" s="21">
        <f t="shared" ref="D14:M14" si="0">((D5)*10^9/3600)+D12</f>
        <v>13.448836216023413</v>
      </c>
      <c r="E14" s="21">
        <f t="shared" si="0"/>
        <v>472.35209513675034</v>
      </c>
      <c r="F14" s="21"/>
      <c r="G14" s="21">
        <f t="shared" si="0"/>
        <v>132382.17502598153</v>
      </c>
      <c r="H14" s="21">
        <f t="shared" si="0"/>
        <v>24339.035432387846</v>
      </c>
      <c r="I14" s="21"/>
      <c r="J14" s="21"/>
      <c r="K14" s="21"/>
      <c r="L14" s="21"/>
      <c r="M14" s="21">
        <f t="shared" si="0"/>
        <v>7086.6803192477601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0.19728159111423796</v>
      </c>
      <c r="C16" s="56">
        <f ca="1">'EF ele_warmte'!B22</f>
        <v>0.23237084808746117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2.5685389418258233</v>
      </c>
      <c r="C18" s="23"/>
      <c r="D18" s="23">
        <f t="shared" ref="D18:M18" si="1">D14*D16</f>
        <v>2.7166649156367293</v>
      </c>
      <c r="E18" s="23">
        <f t="shared" si="1"/>
        <v>107.22392559604233</v>
      </c>
      <c r="F18" s="23"/>
      <c r="G18" s="23">
        <f t="shared" si="1"/>
        <v>35346.040731937072</v>
      </c>
      <c r="H18" s="23">
        <f t="shared" si="1"/>
        <v>6060.4198226645731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3.9725313348514786E-3</v>
      </c>
      <c r="C50" s="316">
        <f t="shared" ref="C50:P50" si="2">SUM(C51:C52)</f>
        <v>0</v>
      </c>
      <c r="D50" s="316">
        <f t="shared" si="2"/>
        <v>0</v>
      </c>
      <c r="E50" s="316">
        <f t="shared" si="2"/>
        <v>0</v>
      </c>
      <c r="F50" s="316">
        <f t="shared" si="2"/>
        <v>0</v>
      </c>
      <c r="G50" s="316">
        <f t="shared" si="2"/>
        <v>1.0186465926260813E-2</v>
      </c>
      <c r="H50" s="316">
        <f t="shared" si="2"/>
        <v>0</v>
      </c>
      <c r="I50" s="316">
        <f t="shared" si="2"/>
        <v>0</v>
      </c>
      <c r="J50" s="316">
        <f t="shared" si="2"/>
        <v>0</v>
      </c>
      <c r="K50" s="316">
        <f t="shared" si="2"/>
        <v>0</v>
      </c>
      <c r="L50" s="316">
        <f t="shared" si="2"/>
        <v>0</v>
      </c>
      <c r="M50" s="316">
        <f t="shared" si="2"/>
        <v>4.5676969146760712E-4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5.2333737740138241E-5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1.0186465926260813E-2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4.5676969146760712E-4</v>
      </c>
      <c r="N51" s="318"/>
      <c r="O51" s="318"/>
      <c r="P51" s="321"/>
    </row>
    <row r="52" spans="1:18">
      <c r="A52" s="4" t="s">
        <v>318</v>
      </c>
      <c r="B52" s="322">
        <f>vkm_tram*SUMIFS(TableECFTransport[EnergieConsumptieFactor (PJ per km)],TableECFTransport[Index],"Tram_gemiddeld_Electric_Electric")</f>
        <v>3.9201975971113407E-3</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1103.4809263476329</v>
      </c>
      <c r="C54" s="21">
        <f t="shared" ref="C54:P54" si="3">(C50)*10^9/3600</f>
        <v>0</v>
      </c>
      <c r="D54" s="21">
        <f t="shared" si="3"/>
        <v>0</v>
      </c>
      <c r="E54" s="21">
        <f t="shared" si="3"/>
        <v>0</v>
      </c>
      <c r="F54" s="21">
        <f t="shared" si="3"/>
        <v>0</v>
      </c>
      <c r="G54" s="21">
        <f t="shared" si="3"/>
        <v>2829.5738684057815</v>
      </c>
      <c r="H54" s="21">
        <f t="shared" si="3"/>
        <v>0</v>
      </c>
      <c r="I54" s="21">
        <f t="shared" si="3"/>
        <v>0</v>
      </c>
      <c r="J54" s="21">
        <f t="shared" si="3"/>
        <v>0</v>
      </c>
      <c r="K54" s="21">
        <f t="shared" si="3"/>
        <v>0</v>
      </c>
      <c r="L54" s="21">
        <f t="shared" si="3"/>
        <v>0</v>
      </c>
      <c r="M54" s="21">
        <f t="shared" si="3"/>
        <v>126.88046985211308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0.19728159111423796</v>
      </c>
      <c r="C56" s="56">
        <f ca="1">'EF ele_warmte'!B22</f>
        <v>0.23237084808746117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217.69647291407426</v>
      </c>
      <c r="C58" s="23">
        <f t="shared" ref="C58:P58" ca="1" si="4">C54*C56</f>
        <v>0</v>
      </c>
      <c r="D58" s="23">
        <f t="shared" si="4"/>
        <v>0</v>
      </c>
      <c r="E58" s="23">
        <f t="shared" si="4"/>
        <v>0</v>
      </c>
      <c r="F58" s="23">
        <f t="shared" si="4"/>
        <v>0</v>
      </c>
      <c r="G58" s="23">
        <f t="shared" si="4"/>
        <v>755.49622286434374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22768.282469991787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N31</f>
        <v>1802.2125000000001</v>
      </c>
      <c r="C8" s="546">
        <f>B50</f>
        <v>2073.1764705882351</v>
      </c>
      <c r="D8" s="963"/>
      <c r="E8" s="963">
        <f>E50</f>
        <v>0</v>
      </c>
      <c r="F8" s="964"/>
      <c r="G8" s="547"/>
      <c r="H8" s="963">
        <f>I50</f>
        <v>0</v>
      </c>
      <c r="I8" s="963">
        <f>G50+F50</f>
        <v>0</v>
      </c>
      <c r="J8" s="963">
        <f>H50+D50+C50</f>
        <v>47.073529411764703</v>
      </c>
      <c r="K8" s="963"/>
      <c r="L8" s="963"/>
      <c r="M8" s="963"/>
      <c r="N8" s="548"/>
      <c r="O8" s="549">
        <f>C8*$C$12+D8*$D$12+E8*$E$12+F8*$F$12+G8*$G$12+H8*$H$12+I8*$I$12+J8*$J$12</f>
        <v>418.78164705882352</v>
      </c>
      <c r="P8" s="1206"/>
      <c r="Q8" s="1207"/>
      <c r="S8" s="975"/>
      <c r="T8" s="1227"/>
      <c r="U8" s="1227"/>
    </row>
    <row r="9" spans="1:21" s="534" customFormat="1" ht="17.45" customHeight="1" thickBot="1">
      <c r="A9" s="550" t="s">
        <v>237</v>
      </c>
      <c r="B9" s="551">
        <f>N38+'Eigen informatie GS &amp; warmtenet'!B12</f>
        <v>0</v>
      </c>
      <c r="C9" s="552">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24570.494969991789</v>
      </c>
      <c r="C10" s="559">
        <f t="shared" ref="C10:L10" si="0">SUM(C8:C9)</f>
        <v>2073.1764705882351</v>
      </c>
      <c r="D10" s="559">
        <f t="shared" si="0"/>
        <v>0</v>
      </c>
      <c r="E10" s="559">
        <f t="shared" si="0"/>
        <v>0</v>
      </c>
      <c r="F10" s="559">
        <f t="shared" si="0"/>
        <v>0</v>
      </c>
      <c r="G10" s="559">
        <f t="shared" si="0"/>
        <v>0</v>
      </c>
      <c r="H10" s="559">
        <f t="shared" si="0"/>
        <v>0</v>
      </c>
      <c r="I10" s="559">
        <f t="shared" si="0"/>
        <v>0</v>
      </c>
      <c r="J10" s="559">
        <f t="shared" si="0"/>
        <v>47.073529411764703</v>
      </c>
      <c r="K10" s="559">
        <f t="shared" si="0"/>
        <v>0</v>
      </c>
      <c r="L10" s="559">
        <f t="shared" si="0"/>
        <v>0</v>
      </c>
      <c r="M10" s="966"/>
      <c r="N10" s="966"/>
      <c r="O10" s="560">
        <f>SUM(O4:O9)</f>
        <v>418.78164705882352</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O31</f>
        <v>2574.5892857142858</v>
      </c>
      <c r="C17" s="571">
        <f>B51</f>
        <v>2961.680672268908</v>
      </c>
      <c r="D17" s="572"/>
      <c r="E17" s="572">
        <f>E51</f>
        <v>0</v>
      </c>
      <c r="F17" s="969"/>
      <c r="G17" s="573"/>
      <c r="H17" s="571">
        <f>I51</f>
        <v>0</v>
      </c>
      <c r="I17" s="572">
        <f>G51+F51</f>
        <v>0</v>
      </c>
      <c r="J17" s="572">
        <f>H51+D51+C51</f>
        <v>67.247899159663874</v>
      </c>
      <c r="K17" s="572"/>
      <c r="L17" s="572"/>
      <c r="M17" s="572"/>
      <c r="N17" s="970"/>
      <c r="O17" s="574">
        <f>C17*$C$22+E17*$E$22+H17*$H$22+I17*$I$22+J17*$J$22+D17*$D$22+F17*$F$22+G17*$G$22+K17*$K$22+L17*$L$22</f>
        <v>598.25949579831945</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2574.5892857142858</v>
      </c>
      <c r="C20" s="558">
        <f>SUM(C17:C19)</f>
        <v>2961.680672268908</v>
      </c>
      <c r="D20" s="558">
        <f t="shared" ref="D20:L20" si="1">SUM(D17:D19)</f>
        <v>0</v>
      </c>
      <c r="E20" s="558">
        <f t="shared" si="1"/>
        <v>0</v>
      </c>
      <c r="F20" s="558">
        <f t="shared" si="1"/>
        <v>0</v>
      </c>
      <c r="G20" s="558">
        <f t="shared" si="1"/>
        <v>0</v>
      </c>
      <c r="H20" s="558">
        <f t="shared" si="1"/>
        <v>0</v>
      </c>
      <c r="I20" s="558">
        <f t="shared" si="1"/>
        <v>0</v>
      </c>
      <c r="J20" s="558">
        <f t="shared" si="1"/>
        <v>67.247899159663874</v>
      </c>
      <c r="K20" s="558">
        <f t="shared" si="1"/>
        <v>0</v>
      </c>
      <c r="L20" s="558">
        <f t="shared" si="1"/>
        <v>0</v>
      </c>
      <c r="M20" s="558"/>
      <c r="N20" s="558"/>
      <c r="O20" s="578">
        <f>SUM(O17:O19)</f>
        <v>598.25949579831945</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44019</v>
      </c>
      <c r="C28" s="741">
        <v>9940</v>
      </c>
      <c r="D28" s="630"/>
      <c r="E28" s="629"/>
      <c r="F28" s="629"/>
      <c r="G28" s="629" t="s">
        <v>908</v>
      </c>
      <c r="H28" s="629" t="s">
        <v>909</v>
      </c>
      <c r="I28" s="629"/>
      <c r="J28" s="740"/>
      <c r="K28" s="740"/>
      <c r="L28" s="629" t="s">
        <v>910</v>
      </c>
      <c r="M28" s="629">
        <v>12.6</v>
      </c>
      <c r="N28" s="629">
        <v>56.7</v>
      </c>
      <c r="O28" s="629">
        <v>81</v>
      </c>
      <c r="P28" s="629">
        <v>162.00000000000003</v>
      </c>
      <c r="Q28" s="629">
        <v>0</v>
      </c>
      <c r="R28" s="629">
        <v>0</v>
      </c>
      <c r="S28" s="629">
        <v>0</v>
      </c>
      <c r="T28" s="629">
        <v>0</v>
      </c>
      <c r="U28" s="629">
        <v>0</v>
      </c>
      <c r="V28" s="629">
        <v>0</v>
      </c>
      <c r="W28" s="629">
        <v>0</v>
      </c>
      <c r="X28" s="629"/>
      <c r="Y28" s="629">
        <v>1600</v>
      </c>
      <c r="Z28" s="629" t="s">
        <v>49</v>
      </c>
      <c r="AA28" s="631" t="s">
        <v>149</v>
      </c>
    </row>
    <row r="29" spans="1:27" s="583" customFormat="1" ht="25.5" hidden="1">
      <c r="A29" s="582"/>
      <c r="B29" s="741">
        <v>44019</v>
      </c>
      <c r="C29" s="741">
        <v>9940</v>
      </c>
      <c r="D29" s="630"/>
      <c r="E29" s="629"/>
      <c r="F29" s="629"/>
      <c r="G29" s="629" t="s">
        <v>908</v>
      </c>
      <c r="H29" s="629" t="s">
        <v>909</v>
      </c>
      <c r="I29" s="629"/>
      <c r="J29" s="740"/>
      <c r="K29" s="740"/>
      <c r="L29" s="629" t="s">
        <v>910</v>
      </c>
      <c r="M29" s="629">
        <v>9.6999999999999993</v>
      </c>
      <c r="N29" s="629">
        <v>40.012499999999996</v>
      </c>
      <c r="O29" s="629">
        <v>57.160714285714278</v>
      </c>
      <c r="P29" s="629">
        <v>0</v>
      </c>
      <c r="Q29" s="629">
        <v>114.32142857142857</v>
      </c>
      <c r="R29" s="629">
        <v>0</v>
      </c>
      <c r="S29" s="629">
        <v>0</v>
      </c>
      <c r="T29" s="629">
        <v>0</v>
      </c>
      <c r="U29" s="629">
        <v>0</v>
      </c>
      <c r="V29" s="629">
        <v>0</v>
      </c>
      <c r="W29" s="629">
        <v>0</v>
      </c>
      <c r="X29" s="629"/>
      <c r="Y29" s="629">
        <v>10</v>
      </c>
      <c r="Z29" s="629" t="s">
        <v>105</v>
      </c>
      <c r="AA29" s="631" t="s">
        <v>105</v>
      </c>
    </row>
    <row r="30" spans="1:27" s="583" customFormat="1" ht="25.5" hidden="1">
      <c r="A30" s="582"/>
      <c r="B30" s="741">
        <v>44019</v>
      </c>
      <c r="C30" s="741">
        <v>9940</v>
      </c>
      <c r="D30" s="630"/>
      <c r="E30" s="629"/>
      <c r="F30" s="629"/>
      <c r="G30" s="629" t="s">
        <v>908</v>
      </c>
      <c r="H30" s="629" t="s">
        <v>909</v>
      </c>
      <c r="I30" s="629"/>
      <c r="J30" s="740"/>
      <c r="K30" s="740"/>
      <c r="L30" s="629" t="s">
        <v>910</v>
      </c>
      <c r="M30" s="629">
        <v>379</v>
      </c>
      <c r="N30" s="629">
        <v>1705.5</v>
      </c>
      <c r="O30" s="629">
        <v>2436.4285714285716</v>
      </c>
      <c r="P30" s="629">
        <v>4872.8571428571431</v>
      </c>
      <c r="Q30" s="629">
        <v>0</v>
      </c>
      <c r="R30" s="629">
        <v>0</v>
      </c>
      <c r="S30" s="629">
        <v>0</v>
      </c>
      <c r="T30" s="629">
        <v>0</v>
      </c>
      <c r="U30" s="629">
        <v>0</v>
      </c>
      <c r="V30" s="629">
        <v>0</v>
      </c>
      <c r="W30" s="629">
        <v>0</v>
      </c>
      <c r="X30" s="629"/>
      <c r="Y30" s="629">
        <v>10</v>
      </c>
      <c r="Z30" s="629" t="s">
        <v>105</v>
      </c>
      <c r="AA30" s="631" t="s">
        <v>105</v>
      </c>
    </row>
    <row r="31" spans="1:27" s="566" customFormat="1" hidden="1">
      <c r="A31" s="585" t="s">
        <v>269</v>
      </c>
      <c r="B31" s="586"/>
      <c r="C31" s="586"/>
      <c r="D31" s="586"/>
      <c r="E31" s="586"/>
      <c r="F31" s="586"/>
      <c r="G31" s="586"/>
      <c r="H31" s="586"/>
      <c r="I31" s="586"/>
      <c r="J31" s="586"/>
      <c r="K31" s="586"/>
      <c r="L31" s="587"/>
      <c r="M31" s="587">
        <f>SUM(M28:M30)</f>
        <v>401.3</v>
      </c>
      <c r="N31" s="587">
        <f>SUM(N28:N30)</f>
        <v>1802.2125000000001</v>
      </c>
      <c r="O31" s="587">
        <f>SUM(O28:O30)</f>
        <v>2574.5892857142858</v>
      </c>
      <c r="P31" s="587">
        <f>SUM(P28:P30)</f>
        <v>5034.8571428571431</v>
      </c>
      <c r="Q31" s="587">
        <f>SUM(Q28:Q30)</f>
        <v>114.32142857142857</v>
      </c>
      <c r="R31" s="587">
        <f>SUM(R28:R30)</f>
        <v>0</v>
      </c>
      <c r="S31" s="587">
        <f>SUM(S28:S30)</f>
        <v>0</v>
      </c>
      <c r="T31" s="587">
        <f>SUM(T28:T30)</f>
        <v>0</v>
      </c>
      <c r="U31" s="587">
        <f>SUM(U28:U30)</f>
        <v>0</v>
      </c>
      <c r="V31" s="587">
        <f>SUM(V28:V30)</f>
        <v>0</v>
      </c>
      <c r="W31" s="587">
        <f>SUM(W28:W30)</f>
        <v>0</v>
      </c>
      <c r="X31" s="587"/>
      <c r="Y31" s="588"/>
      <c r="Z31" s="588"/>
      <c r="AA31" s="589"/>
    </row>
    <row r="32" spans="1:27" s="566" customFormat="1">
      <c r="A32" s="585" t="s">
        <v>276</v>
      </c>
      <c r="B32" s="586"/>
      <c r="C32" s="586"/>
      <c r="D32" s="586"/>
      <c r="E32" s="586"/>
      <c r="F32" s="586"/>
      <c r="G32" s="586"/>
      <c r="H32" s="586"/>
      <c r="I32" s="586"/>
      <c r="J32" s="586"/>
      <c r="K32" s="586"/>
      <c r="L32" s="587"/>
      <c r="M32" s="587">
        <f>SUMIF($AA$28:$AA$30,"industrie",M28:M30)</f>
        <v>0</v>
      </c>
      <c r="N32" s="587">
        <f>SUMIF($AA$28:$AA$30,"industrie",N28:N30)</f>
        <v>0</v>
      </c>
      <c r="O32" s="587">
        <f>SUMIF($AA$28:$AA$30,"industrie",O28:O30)</f>
        <v>0</v>
      </c>
      <c r="P32" s="587">
        <f>SUMIF($AA$28:$AA$30,"industrie",P28:P30)</f>
        <v>0</v>
      </c>
      <c r="Q32" s="587">
        <f>SUMIF($AA$28:$AA$30,"industrie",Q28:Q30)</f>
        <v>0</v>
      </c>
      <c r="R32" s="587">
        <f>SUMIF($AA$28:$AA$30,"industrie",R28:R30)</f>
        <v>0</v>
      </c>
      <c r="S32" s="587">
        <f>SUMIF($AA$28:$AA$30,"industrie",S28:S30)</f>
        <v>0</v>
      </c>
      <c r="T32" s="587">
        <f>SUMIF($AA$28:$AA$30,"industrie",T28:T30)</f>
        <v>0</v>
      </c>
      <c r="U32" s="587">
        <f>SUMIF($AA$28:$AA$30,"industrie",U28:U30)</f>
        <v>0</v>
      </c>
      <c r="V32" s="587">
        <f>SUMIF($AA$28:$AA$30,"industrie",V28:V30)</f>
        <v>0</v>
      </c>
      <c r="W32" s="587">
        <f>SUMIF($AA$28:$AA$30,"industrie",W28:W30)</f>
        <v>0</v>
      </c>
      <c r="X32" s="587"/>
      <c r="Y32" s="588"/>
      <c r="Z32" s="588"/>
      <c r="AA32" s="589"/>
    </row>
    <row r="33" spans="1:28" s="566" customFormat="1">
      <c r="A33" s="585" t="s">
        <v>277</v>
      </c>
      <c r="B33" s="586"/>
      <c r="C33" s="586"/>
      <c r="D33" s="586"/>
      <c r="E33" s="586"/>
      <c r="F33" s="586"/>
      <c r="G33" s="586"/>
      <c r="H33" s="586"/>
      <c r="I33" s="586"/>
      <c r="J33" s="586"/>
      <c r="K33" s="586"/>
      <c r="L33" s="587"/>
      <c r="M33" s="587">
        <f ca="1">SUMIF($AA$28:AD30,"tertiair",M28:M30)</f>
        <v>12.6</v>
      </c>
      <c r="N33" s="587">
        <f ca="1">SUMIF($AA$28:AE30,"tertiair",N28:N30)</f>
        <v>56.7</v>
      </c>
      <c r="O33" s="587">
        <f ca="1">SUMIF($AA$28:AF30,"tertiair",O28:O30)</f>
        <v>81</v>
      </c>
      <c r="P33" s="587">
        <f ca="1">SUMIF($AA$28:AG30,"tertiair",P28:P30)</f>
        <v>162.00000000000003</v>
      </c>
      <c r="Q33" s="587">
        <f ca="1">SUMIF($AA$28:AH30,"tertiair",Q28:Q30)</f>
        <v>0</v>
      </c>
      <c r="R33" s="587">
        <f ca="1">SUMIF($AA$28:AI30,"tertiair",R28:R30)</f>
        <v>0</v>
      </c>
      <c r="S33" s="587">
        <f ca="1">SUMIF($AA$28:AJ30,"tertiair",S28:S30)</f>
        <v>0</v>
      </c>
      <c r="T33" s="587">
        <f ca="1">SUMIF($AA$28:AK30,"tertiair",T28:T30)</f>
        <v>0</v>
      </c>
      <c r="U33" s="587">
        <f ca="1">SUMIF($AA$28:AL30,"tertiair",U28:U30)</f>
        <v>0</v>
      </c>
      <c r="V33" s="587">
        <f ca="1">SUMIF($AA$28:AM30,"tertiair",V28:V30)</f>
        <v>0</v>
      </c>
      <c r="W33" s="587">
        <f ca="1">SUMIF($AA$28:AN30,"tertiair",W28:W30)</f>
        <v>0</v>
      </c>
      <c r="X33" s="587"/>
      <c r="Y33" s="588"/>
      <c r="Z33" s="588"/>
      <c r="AA33" s="589"/>
    </row>
    <row r="34" spans="1:28" s="566" customFormat="1" ht="15.75" thickBot="1">
      <c r="A34" s="590" t="s">
        <v>278</v>
      </c>
      <c r="B34" s="591"/>
      <c r="C34" s="591"/>
      <c r="D34" s="591"/>
      <c r="E34" s="591"/>
      <c r="F34" s="591"/>
      <c r="G34" s="591"/>
      <c r="H34" s="591"/>
      <c r="I34" s="591"/>
      <c r="J34" s="591"/>
      <c r="K34" s="591"/>
      <c r="L34" s="592"/>
      <c r="M34" s="592">
        <f>SUMIF($AA$28:$AA$30,"landbouw",M28:M30)</f>
        <v>388.7</v>
      </c>
      <c r="N34" s="592">
        <f>SUMIF($AA$28:$AA$30,"landbouw",N28:N30)</f>
        <v>1745.5125</v>
      </c>
      <c r="O34" s="592">
        <f>SUMIF($AA$28:$AA$30,"landbouw",O28:O30)</f>
        <v>2493.5892857142858</v>
      </c>
      <c r="P34" s="592">
        <f>SUMIF($AA$28:$AA$30,"landbouw",P28:P30)</f>
        <v>4872.8571428571431</v>
      </c>
      <c r="Q34" s="592">
        <f>SUMIF($AA$28:$AA$30,"landbouw",Q28:Q30)</f>
        <v>114.32142857142857</v>
      </c>
      <c r="R34" s="592">
        <f>SUMIF($AA$28:$AA$30,"landbouw",R28:R30)</f>
        <v>0</v>
      </c>
      <c r="S34" s="592">
        <f>SUMIF($AA$28:$AA$30,"landbouw",S28:S30)</f>
        <v>0</v>
      </c>
      <c r="T34" s="592">
        <f>SUMIF($AA$28:$AA$30,"landbouw",T28:T30)</f>
        <v>0</v>
      </c>
      <c r="U34" s="592">
        <f>SUMIF($AA$28:$AA$30,"landbouw",U28:U30)</f>
        <v>0</v>
      </c>
      <c r="V34" s="592">
        <f>SUMIF($AA$28:$AA$30,"landbouw",V28:V30)</f>
        <v>0</v>
      </c>
      <c r="W34" s="592">
        <f>SUMIF($AA$28:$AA$30,"landbouw",W28:W30)</f>
        <v>0</v>
      </c>
      <c r="X34" s="592"/>
      <c r="Y34" s="593"/>
      <c r="Z34" s="593"/>
      <c r="AA34" s="594"/>
    </row>
    <row r="35" spans="1:28" s="534" customFormat="1" ht="15.75" thickBot="1">
      <c r="A35" s="595"/>
      <c r="B35" s="596"/>
      <c r="C35" s="596"/>
      <c r="D35" s="596"/>
      <c r="E35" s="596"/>
      <c r="F35" s="596"/>
      <c r="G35" s="596"/>
      <c r="H35" s="596"/>
      <c r="I35" s="596"/>
      <c r="J35" s="596"/>
      <c r="K35" s="596"/>
      <c r="L35" s="579"/>
      <c r="M35" s="579"/>
      <c r="N35" s="579"/>
      <c r="O35" s="580"/>
      <c r="P35" s="580"/>
    </row>
    <row r="36" spans="1:28" s="534" customFormat="1" ht="45">
      <c r="A36" s="597" t="s">
        <v>270</v>
      </c>
      <c r="B36" s="626" t="s">
        <v>89</v>
      </c>
      <c r="C36" s="626" t="s">
        <v>90</v>
      </c>
      <c r="D36" s="626"/>
      <c r="E36" s="626"/>
      <c r="F36" s="626"/>
      <c r="G36" s="626" t="s">
        <v>91</v>
      </c>
      <c r="H36" s="626" t="s">
        <v>92</v>
      </c>
      <c r="I36" s="626"/>
      <c r="J36" s="626"/>
      <c r="K36" s="626"/>
      <c r="L36" s="626" t="s">
        <v>93</v>
      </c>
      <c r="M36" s="627" t="s">
        <v>287</v>
      </c>
      <c r="N36" s="627" t="s">
        <v>94</v>
      </c>
      <c r="O36" s="627" t="s">
        <v>95</v>
      </c>
      <c r="P36" s="627" t="s">
        <v>528</v>
      </c>
      <c r="Q36" s="627" t="s">
        <v>96</v>
      </c>
      <c r="R36" s="627" t="s">
        <v>97</v>
      </c>
      <c r="S36" s="627" t="s">
        <v>98</v>
      </c>
      <c r="T36" s="627" t="s">
        <v>99</v>
      </c>
      <c r="U36" s="627" t="s">
        <v>100</v>
      </c>
      <c r="V36" s="627" t="s">
        <v>101</v>
      </c>
      <c r="W36" s="626" t="s">
        <v>102</v>
      </c>
      <c r="X36" s="626" t="s">
        <v>907</v>
      </c>
      <c r="Y36" s="626" t="s">
        <v>288</v>
      </c>
      <c r="Z36" s="626" t="s">
        <v>103</v>
      </c>
      <c r="AA36" s="628" t="s">
        <v>289</v>
      </c>
    </row>
    <row r="37" spans="1:28" s="598" customFormat="1" ht="12.75" hidden="1">
      <c r="A37" s="584"/>
      <c r="B37" s="741"/>
      <c r="C37" s="741"/>
      <c r="D37" s="632"/>
      <c r="E37" s="632"/>
      <c r="F37" s="632"/>
      <c r="G37" s="632"/>
      <c r="H37" s="632"/>
      <c r="I37" s="632"/>
      <c r="J37" s="740"/>
      <c r="K37" s="740"/>
      <c r="L37" s="632"/>
      <c r="M37" s="632"/>
      <c r="N37" s="632"/>
      <c r="O37" s="632"/>
      <c r="P37" s="632"/>
      <c r="Q37" s="632"/>
      <c r="R37" s="632"/>
      <c r="S37" s="632"/>
      <c r="T37" s="632"/>
      <c r="U37" s="632"/>
      <c r="V37" s="632"/>
      <c r="W37" s="632"/>
      <c r="X37" s="632"/>
      <c r="Y37" s="632"/>
      <c r="Z37" s="632"/>
      <c r="AA37" s="633"/>
    </row>
    <row r="38" spans="1:28" s="566" customFormat="1" hidden="1">
      <c r="A38" s="585" t="s">
        <v>269</v>
      </c>
      <c r="B38" s="586"/>
      <c r="C38" s="586"/>
      <c r="D38" s="586"/>
      <c r="E38" s="586"/>
      <c r="F38" s="586"/>
      <c r="G38" s="586"/>
      <c r="H38" s="586"/>
      <c r="I38" s="586"/>
      <c r="J38" s="586"/>
      <c r="K38" s="586"/>
      <c r="L38" s="587"/>
      <c r="M38" s="587">
        <f>SUM(M37:M37)</f>
        <v>0</v>
      </c>
      <c r="N38" s="587">
        <f>SUM(N37:N37)</f>
        <v>0</v>
      </c>
      <c r="O38" s="587">
        <f>SUM(O37:O37)</f>
        <v>0</v>
      </c>
      <c r="P38" s="587">
        <f>SUM(P37:P37)</f>
        <v>0</v>
      </c>
      <c r="Q38" s="587">
        <f>SUM(Q37:Q37)</f>
        <v>0</v>
      </c>
      <c r="R38" s="587">
        <f>SUM(R37:R37)</f>
        <v>0</v>
      </c>
      <c r="S38" s="587">
        <f>SUM(S37:S37)</f>
        <v>0</v>
      </c>
      <c r="T38" s="587">
        <f>SUM(T37:T37)</f>
        <v>0</v>
      </c>
      <c r="U38" s="587">
        <f>SUM(U37:U37)</f>
        <v>0</v>
      </c>
      <c r="V38" s="587">
        <f>SUM(V37:V37)</f>
        <v>0</v>
      </c>
      <c r="W38" s="587">
        <f>SUM(W37:W37)</f>
        <v>0</v>
      </c>
      <c r="X38" s="587"/>
      <c r="Y38" s="588"/>
      <c r="Z38" s="588"/>
      <c r="AA38" s="589"/>
    </row>
    <row r="39" spans="1:28" s="566" customFormat="1">
      <c r="A39" s="585" t="s">
        <v>276</v>
      </c>
      <c r="B39" s="586"/>
      <c r="C39" s="586"/>
      <c r="D39" s="586"/>
      <c r="E39" s="586"/>
      <c r="F39" s="586"/>
      <c r="G39" s="586"/>
      <c r="H39" s="586"/>
      <c r="I39" s="586"/>
      <c r="J39" s="586"/>
      <c r="K39" s="586"/>
      <c r="L39" s="587"/>
      <c r="M39" s="587">
        <f>SUMIF($AA$37:$AA$37,"industrie",M37:M37)</f>
        <v>0</v>
      </c>
      <c r="N39" s="587">
        <f>SUMIF($AA$37:$AA$37,"industrie",N37:N37)</f>
        <v>0</v>
      </c>
      <c r="O39" s="587">
        <f>SUMIF($AA$37:$AA$37,"industrie",O37:O37)</f>
        <v>0</v>
      </c>
      <c r="P39" s="587">
        <f>SUMIF($AA$37:$AA$37,"industrie",P37:P37)</f>
        <v>0</v>
      </c>
      <c r="Q39" s="587">
        <f>SUMIF($AA$37:$AA$37,"industrie",Q37:Q37)</f>
        <v>0</v>
      </c>
      <c r="R39" s="587">
        <f>SUMIF($AA$37:$AA$37,"industrie",R37:R37)</f>
        <v>0</v>
      </c>
      <c r="S39" s="587">
        <f>SUMIF($AA$37:$AA$37,"industrie",S37:S37)</f>
        <v>0</v>
      </c>
      <c r="T39" s="587">
        <f>SUMIF($AA$37:$AA$37,"industrie",T37:T37)</f>
        <v>0</v>
      </c>
      <c r="U39" s="587">
        <f>SUMIF($AA$37:$AA$37,"industrie",U37:U37)</f>
        <v>0</v>
      </c>
      <c r="V39" s="587">
        <f>SUMIF($AA$37:$AA$37,"industrie",V37:V37)</f>
        <v>0</v>
      </c>
      <c r="W39" s="587">
        <f>SUMIF($AA$37:$AA$37,"industrie",W37:W37)</f>
        <v>0</v>
      </c>
      <c r="X39" s="587"/>
      <c r="Y39" s="588"/>
      <c r="Z39" s="588"/>
      <c r="AA39" s="589"/>
    </row>
    <row r="40" spans="1:28" s="566" customFormat="1">
      <c r="A40" s="585" t="s">
        <v>277</v>
      </c>
      <c r="B40" s="586"/>
      <c r="C40" s="586"/>
      <c r="D40" s="586"/>
      <c r="E40" s="586"/>
      <c r="F40" s="586"/>
      <c r="G40" s="586"/>
      <c r="H40" s="586"/>
      <c r="I40" s="586"/>
      <c r="J40" s="586"/>
      <c r="K40" s="586"/>
      <c r="L40" s="587"/>
      <c r="M40" s="587">
        <f>SUMIF($AA$37:$AA$38,"tertiair",M37:M38)</f>
        <v>0</v>
      </c>
      <c r="N40" s="587">
        <f>SUMIF($AA$37:$AA$38,"tertiair",N37:N38)</f>
        <v>0</v>
      </c>
      <c r="O40" s="587">
        <f>SUMIF($AA$37:$AA$38,"tertiair",O37:O38)</f>
        <v>0</v>
      </c>
      <c r="P40" s="587">
        <f>SUMIF($AA$37:$AA$38,"tertiair",P37:P38)</f>
        <v>0</v>
      </c>
      <c r="Q40" s="587">
        <f>SUMIF($AA$37:$AA$38,"tertiair",Q37:Q38)</f>
        <v>0</v>
      </c>
      <c r="R40" s="587">
        <f>SUMIF($AA$37:$AA$38,"tertiair",R37:R38)</f>
        <v>0</v>
      </c>
      <c r="S40" s="587">
        <f>SUMIF($AA$37:$AA$38,"tertiair",S37:S38)</f>
        <v>0</v>
      </c>
      <c r="T40" s="587">
        <f>SUMIF($AA$37:$AA$38,"tertiair",T37:T38)</f>
        <v>0</v>
      </c>
      <c r="U40" s="587">
        <f>SUMIF($AA$37:$AA$38,"tertiair",U37:U38)</f>
        <v>0</v>
      </c>
      <c r="V40" s="587">
        <f>SUMIF($AA$37:$AA$38,"tertiair",V37:V38)</f>
        <v>0</v>
      </c>
      <c r="W40" s="587">
        <f>SUMIF($AA$37:$AA$38,"tertiair",W37:W38)</f>
        <v>0</v>
      </c>
      <c r="X40" s="587"/>
      <c r="Y40" s="588"/>
      <c r="Z40" s="588"/>
      <c r="AA40" s="589"/>
    </row>
    <row r="41" spans="1:28" s="566" customFormat="1" ht="15.75" thickBot="1">
      <c r="A41" s="590" t="s">
        <v>278</v>
      </c>
      <c r="B41" s="591"/>
      <c r="C41" s="591"/>
      <c r="D41" s="591"/>
      <c r="E41" s="591"/>
      <c r="F41" s="591"/>
      <c r="G41" s="591"/>
      <c r="H41" s="591"/>
      <c r="I41" s="591"/>
      <c r="J41" s="591"/>
      <c r="K41" s="591"/>
      <c r="L41" s="592"/>
      <c r="M41" s="592">
        <f>SUMIF($AA$37:$AA$39,"landbouw",M37:M39)</f>
        <v>0</v>
      </c>
      <c r="N41" s="592">
        <f>SUMIF($AA$37:$AA$39,"landbouw",N37:N39)</f>
        <v>0</v>
      </c>
      <c r="O41" s="592">
        <f>SUMIF($AA$37:$AA$39,"landbouw",O37:O39)</f>
        <v>0</v>
      </c>
      <c r="P41" s="592">
        <f>SUMIF($AA$37:$AA$39,"landbouw",P37:P39)</f>
        <v>0</v>
      </c>
      <c r="Q41" s="592">
        <f>SUMIF($AA$37:$AA$39,"landbouw",Q37:Q39)</f>
        <v>0</v>
      </c>
      <c r="R41" s="592">
        <f>SUMIF($AA$37:$AA$39,"landbouw",R37:R39)</f>
        <v>0</v>
      </c>
      <c r="S41" s="592">
        <f>SUMIF($AA$37:$AA$39,"landbouw",S37:S39)</f>
        <v>0</v>
      </c>
      <c r="T41" s="592">
        <f>SUMIF($AA$37:$AA$39,"landbouw",T37:T39)</f>
        <v>0</v>
      </c>
      <c r="U41" s="592">
        <f>SUMIF($AA$37:$AA$39,"landbouw",U37:U39)</f>
        <v>0</v>
      </c>
      <c r="V41" s="592">
        <f>SUMIF($AA$37:$AA$39,"landbouw",V37:V39)</f>
        <v>0</v>
      </c>
      <c r="W41" s="592">
        <f>SUMIF($AA$37:$AA$39,"landbouw",W37:W39)</f>
        <v>0</v>
      </c>
      <c r="X41" s="592"/>
      <c r="Y41" s="593"/>
      <c r="Z41" s="593"/>
      <c r="AA41" s="594"/>
    </row>
    <row r="42" spans="1:28" s="599" customForma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row>
    <row r="43" spans="1:28" s="599" customFormat="1" ht="15.75" thickBo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row>
    <row r="44" spans="1:28">
      <c r="A44" s="600" t="s">
        <v>271</v>
      </c>
      <c r="B44" s="601"/>
      <c r="C44" s="601"/>
      <c r="D44" s="601"/>
      <c r="E44" s="601"/>
      <c r="F44" s="601"/>
      <c r="G44" s="601"/>
      <c r="H44" s="601"/>
      <c r="I44" s="602"/>
      <c r="J44" s="603"/>
      <c r="K44" s="603"/>
      <c r="L44" s="604"/>
      <c r="M44" s="604"/>
      <c r="N44" s="604"/>
      <c r="O44" s="604"/>
      <c r="P44" s="604"/>
    </row>
    <row r="45" spans="1:28">
      <c r="A45" s="606"/>
      <c r="B45" s="596"/>
      <c r="C45" s="596"/>
      <c r="D45" s="596"/>
      <c r="E45" s="596"/>
      <c r="F45" s="596"/>
      <c r="G45" s="596"/>
      <c r="H45" s="596"/>
      <c r="I45" s="607"/>
      <c r="J45" s="596"/>
      <c r="K45" s="596"/>
      <c r="L45" s="604"/>
      <c r="M45" s="604"/>
      <c r="N45" s="604"/>
      <c r="O45" s="604"/>
      <c r="P45" s="604"/>
    </row>
    <row r="46" spans="1:28">
      <c r="A46" s="608"/>
      <c r="B46" s="609" t="s">
        <v>272</v>
      </c>
      <c r="C46" s="609" t="s">
        <v>273</v>
      </c>
      <c r="D46" s="609"/>
      <c r="E46" s="609"/>
      <c r="F46" s="609"/>
      <c r="G46" s="609"/>
      <c r="H46" s="609"/>
      <c r="I46" s="610"/>
      <c r="J46" s="609"/>
      <c r="K46" s="609"/>
      <c r="L46" s="609"/>
      <c r="M46" s="609"/>
      <c r="N46" s="609"/>
      <c r="O46" s="609"/>
      <c r="P46" s="604"/>
    </row>
    <row r="47" spans="1:28">
      <c r="A47" s="606" t="s">
        <v>269</v>
      </c>
      <c r="B47" s="611">
        <f>IF(ISERROR(O31/(O31+N31)),0,O31/(O31+N31))</f>
        <v>0.58823529411764708</v>
      </c>
      <c r="C47" s="612">
        <f>IF(ISERROR(N31/(O31+N31)),0,N31/(N31+O31))</f>
        <v>0.41176470588235292</v>
      </c>
      <c r="D47" s="579"/>
      <c r="E47" s="579"/>
      <c r="F47" s="579"/>
      <c r="G47" s="579"/>
      <c r="H47" s="579"/>
      <c r="I47" s="613"/>
      <c r="J47" s="579"/>
      <c r="K47" s="579"/>
      <c r="L47" s="614"/>
      <c r="M47" s="614"/>
      <c r="N47" s="614"/>
      <c r="O47" s="614"/>
      <c r="P47" s="604"/>
    </row>
    <row r="48" spans="1:28">
      <c r="A48" s="606"/>
      <c r="B48" s="615"/>
      <c r="C48" s="615"/>
      <c r="D48" s="615"/>
      <c r="E48" s="615"/>
      <c r="F48" s="615"/>
      <c r="G48" s="615"/>
      <c r="H48" s="615"/>
      <c r="I48" s="616"/>
      <c r="J48" s="615"/>
      <c r="K48" s="615"/>
      <c r="L48" s="617"/>
      <c r="M48" s="617"/>
      <c r="N48" s="617"/>
      <c r="O48" s="617"/>
      <c r="P48" s="604"/>
    </row>
    <row r="49" spans="1:16" ht="30">
      <c r="A49" s="618"/>
      <c r="B49" s="619" t="s">
        <v>528</v>
      </c>
      <c r="C49" s="619" t="s">
        <v>96</v>
      </c>
      <c r="D49" s="619" t="s">
        <v>97</v>
      </c>
      <c r="E49" s="619" t="s">
        <v>98</v>
      </c>
      <c r="F49" s="619" t="s">
        <v>99</v>
      </c>
      <c r="G49" s="619" t="s">
        <v>100</v>
      </c>
      <c r="H49" s="619" t="s">
        <v>101</v>
      </c>
      <c r="I49" s="620" t="s">
        <v>102</v>
      </c>
      <c r="J49" s="609"/>
      <c r="K49" s="609"/>
      <c r="L49" s="617"/>
      <c r="M49" s="617"/>
      <c r="N49" s="617"/>
      <c r="O49" s="604"/>
      <c r="P49" s="604"/>
    </row>
    <row r="50" spans="1:16">
      <c r="A50" s="608" t="s">
        <v>274</v>
      </c>
      <c r="B50" s="621">
        <f t="shared" ref="B50:I50" si="2">$C$47*P31</f>
        <v>2073.1764705882351</v>
      </c>
      <c r="C50" s="621">
        <f t="shared" si="2"/>
        <v>47.073529411764703</v>
      </c>
      <c r="D50" s="621">
        <f t="shared" si="2"/>
        <v>0</v>
      </c>
      <c r="E50" s="621">
        <f t="shared" si="2"/>
        <v>0</v>
      </c>
      <c r="F50" s="621">
        <f t="shared" si="2"/>
        <v>0</v>
      </c>
      <c r="G50" s="621">
        <f t="shared" si="2"/>
        <v>0</v>
      </c>
      <c r="H50" s="621">
        <f t="shared" si="2"/>
        <v>0</v>
      </c>
      <c r="I50" s="622">
        <f t="shared" si="2"/>
        <v>0</v>
      </c>
      <c r="J50" s="579"/>
      <c r="K50" s="579"/>
      <c r="L50" s="617"/>
      <c r="M50" s="617"/>
      <c r="N50" s="617"/>
      <c r="O50" s="604"/>
      <c r="P50" s="604"/>
    </row>
    <row r="51" spans="1:16" ht="15.75" thickBot="1">
      <c r="A51" s="623" t="s">
        <v>275</v>
      </c>
      <c r="B51" s="624">
        <f t="shared" ref="B51:I51" si="3">$B$47*P31</f>
        <v>2961.680672268908</v>
      </c>
      <c r="C51" s="624">
        <f t="shared" si="3"/>
        <v>67.247899159663874</v>
      </c>
      <c r="D51" s="624">
        <f t="shared" si="3"/>
        <v>0</v>
      </c>
      <c r="E51" s="624">
        <f t="shared" si="3"/>
        <v>0</v>
      </c>
      <c r="F51" s="624">
        <f t="shared" si="3"/>
        <v>0</v>
      </c>
      <c r="G51" s="624">
        <f t="shared" si="3"/>
        <v>0</v>
      </c>
      <c r="H51" s="624">
        <f t="shared" si="3"/>
        <v>0</v>
      </c>
      <c r="I51" s="625">
        <f t="shared" si="3"/>
        <v>0</v>
      </c>
      <c r="J51" s="579"/>
      <c r="K51" s="579"/>
      <c r="L51" s="617"/>
      <c r="M51" s="617"/>
      <c r="N51" s="617"/>
      <c r="O51" s="604"/>
      <c r="P51" s="604"/>
    </row>
    <row r="52" spans="1:16">
      <c r="J52" s="564"/>
      <c r="K52" s="564"/>
      <c r="L52" s="564"/>
      <c r="M52" s="564"/>
      <c r="N52" s="564"/>
    </row>
    <row r="53" spans="1:16">
      <c r="J53" s="564"/>
      <c r="K53" s="564"/>
      <c r="L53" s="564"/>
      <c r="M53" s="564"/>
      <c r="N53"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44191.01312520483</v>
      </c>
      <c r="D10" s="640">
        <f ca="1">tertiair!C16</f>
        <v>81</v>
      </c>
      <c r="E10" s="640">
        <f ca="1">tertiair!D16</f>
        <v>49395.762700136198</v>
      </c>
      <c r="F10" s="640">
        <f>tertiair!E16</f>
        <v>220.19090328807158</v>
      </c>
      <c r="G10" s="640">
        <f ca="1">tertiair!F16</f>
        <v>5242.8381014018632</v>
      </c>
      <c r="H10" s="640">
        <f>tertiair!G16</f>
        <v>0</v>
      </c>
      <c r="I10" s="640">
        <f>tertiair!H16</f>
        <v>0</v>
      </c>
      <c r="J10" s="640">
        <f>tertiair!I16</f>
        <v>0</v>
      </c>
      <c r="K10" s="640">
        <f>tertiair!J16</f>
        <v>153.97518511584622</v>
      </c>
      <c r="L10" s="640">
        <f>tertiair!K16</f>
        <v>0</v>
      </c>
      <c r="M10" s="640">
        <f ca="1">tertiair!L16</f>
        <v>0</v>
      </c>
      <c r="N10" s="640">
        <f>tertiair!M16</f>
        <v>0</v>
      </c>
      <c r="O10" s="640">
        <f ca="1">tertiair!N16</f>
        <v>3692.4552249946901</v>
      </c>
      <c r="P10" s="640">
        <f>tertiair!O16</f>
        <v>9.3800000000000008</v>
      </c>
      <c r="Q10" s="641">
        <f>tertiair!P16</f>
        <v>95.333333333333343</v>
      </c>
      <c r="R10" s="643">
        <f ca="1">SUM(C10:Q10)</f>
        <v>103081.94857347483</v>
      </c>
      <c r="S10" s="67"/>
    </row>
    <row r="11" spans="1:19" s="444" customFormat="1">
      <c r="A11" s="754" t="s">
        <v>214</v>
      </c>
      <c r="B11" s="759"/>
      <c r="C11" s="640">
        <f>huishoudens!B8</f>
        <v>71121.160022150638</v>
      </c>
      <c r="D11" s="640">
        <f>huishoudens!C8</f>
        <v>0</v>
      </c>
      <c r="E11" s="640">
        <f>huishoudens!D8</f>
        <v>114294.33214273752</v>
      </c>
      <c r="F11" s="640">
        <f>huishoudens!E8</f>
        <v>3927.9716578415237</v>
      </c>
      <c r="G11" s="640">
        <f>huishoudens!F8</f>
        <v>120374.54842904973</v>
      </c>
      <c r="H11" s="640">
        <f>huishoudens!G8</f>
        <v>0</v>
      </c>
      <c r="I11" s="640">
        <f>huishoudens!H8</f>
        <v>0</v>
      </c>
      <c r="J11" s="640">
        <f>huishoudens!I8</f>
        <v>0</v>
      </c>
      <c r="K11" s="640">
        <f>huishoudens!J8</f>
        <v>2279.6542605285122</v>
      </c>
      <c r="L11" s="640">
        <f>huishoudens!K8</f>
        <v>0</v>
      </c>
      <c r="M11" s="640">
        <f>huishoudens!L8</f>
        <v>0</v>
      </c>
      <c r="N11" s="640">
        <f>huishoudens!M8</f>
        <v>0</v>
      </c>
      <c r="O11" s="640">
        <f>huishoudens!N8</f>
        <v>22261.572302146622</v>
      </c>
      <c r="P11" s="640">
        <f>huishoudens!O8</f>
        <v>443.98666666666668</v>
      </c>
      <c r="Q11" s="641">
        <f>huishoudens!P8</f>
        <v>1258.4000000000001</v>
      </c>
      <c r="R11" s="643">
        <f>SUM(C11:Q11)</f>
        <v>335961.6254811213</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88152.720278188324</v>
      </c>
      <c r="D13" s="640">
        <f>industrie!C18</f>
        <v>0</v>
      </c>
      <c r="E13" s="640">
        <f>industrie!D18</f>
        <v>83817.219699742054</v>
      </c>
      <c r="F13" s="640">
        <f>industrie!E18</f>
        <v>3181.8467049780402</v>
      </c>
      <c r="G13" s="640">
        <f>industrie!F18</f>
        <v>16937.786020401276</v>
      </c>
      <c r="H13" s="640">
        <f>industrie!G18</f>
        <v>0</v>
      </c>
      <c r="I13" s="640">
        <f>industrie!H18</f>
        <v>0</v>
      </c>
      <c r="J13" s="640">
        <f>industrie!I18</f>
        <v>0</v>
      </c>
      <c r="K13" s="640">
        <f>industrie!J18</f>
        <v>92.282293275846669</v>
      </c>
      <c r="L13" s="640">
        <f>industrie!K18</f>
        <v>0</v>
      </c>
      <c r="M13" s="640">
        <f>industrie!L18</f>
        <v>0</v>
      </c>
      <c r="N13" s="640">
        <f>industrie!M18</f>
        <v>0</v>
      </c>
      <c r="O13" s="640">
        <f>industrie!N18</f>
        <v>4183.5885351413044</v>
      </c>
      <c r="P13" s="640">
        <f>industrie!O18</f>
        <v>0</v>
      </c>
      <c r="Q13" s="641">
        <f>industrie!P18</f>
        <v>0</v>
      </c>
      <c r="R13" s="643">
        <f>SUM(C13:Q13)</f>
        <v>196365.44353172687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203464.89342554379</v>
      </c>
      <c r="D16" s="675">
        <f t="shared" ref="D16:R16" ca="1" si="0">SUM(D9:D15)</f>
        <v>81</v>
      </c>
      <c r="E16" s="675">
        <f t="shared" ca="1" si="0"/>
        <v>247507.31454261579</v>
      </c>
      <c r="F16" s="675">
        <f t="shared" si="0"/>
        <v>7330.0092661076351</v>
      </c>
      <c r="G16" s="675">
        <f t="shared" ca="1" si="0"/>
        <v>142555.17255085288</v>
      </c>
      <c r="H16" s="675">
        <f t="shared" si="0"/>
        <v>0</v>
      </c>
      <c r="I16" s="675">
        <f t="shared" si="0"/>
        <v>0</v>
      </c>
      <c r="J16" s="675">
        <f t="shared" si="0"/>
        <v>0</v>
      </c>
      <c r="K16" s="675">
        <f t="shared" si="0"/>
        <v>2525.9117389202052</v>
      </c>
      <c r="L16" s="675">
        <f t="shared" si="0"/>
        <v>0</v>
      </c>
      <c r="M16" s="675">
        <f t="shared" ca="1" si="0"/>
        <v>0</v>
      </c>
      <c r="N16" s="675">
        <f t="shared" si="0"/>
        <v>0</v>
      </c>
      <c r="O16" s="675">
        <f t="shared" ca="1" si="0"/>
        <v>30137.616062282617</v>
      </c>
      <c r="P16" s="675">
        <f t="shared" si="0"/>
        <v>453.36666666666667</v>
      </c>
      <c r="Q16" s="675">
        <f t="shared" si="0"/>
        <v>1353.7333333333333</v>
      </c>
      <c r="R16" s="675">
        <f t="shared" ca="1" si="0"/>
        <v>635409.01758632297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1103.4809263476329</v>
      </c>
      <c r="D19" s="640">
        <f>transport!C54</f>
        <v>0</v>
      </c>
      <c r="E19" s="640">
        <f>transport!D54</f>
        <v>0</v>
      </c>
      <c r="F19" s="640">
        <f>transport!E54</f>
        <v>0</v>
      </c>
      <c r="G19" s="640">
        <f>transport!F54</f>
        <v>0</v>
      </c>
      <c r="H19" s="640">
        <f>transport!G54</f>
        <v>2829.5738684057815</v>
      </c>
      <c r="I19" s="640">
        <f>transport!H54</f>
        <v>0</v>
      </c>
      <c r="J19" s="640">
        <f>transport!I54</f>
        <v>0</v>
      </c>
      <c r="K19" s="640">
        <f>transport!J54</f>
        <v>0</v>
      </c>
      <c r="L19" s="640">
        <f>transport!K54</f>
        <v>0</v>
      </c>
      <c r="M19" s="640">
        <f>transport!L54</f>
        <v>0</v>
      </c>
      <c r="N19" s="640">
        <f>transport!M54</f>
        <v>126.88046985211308</v>
      </c>
      <c r="O19" s="640">
        <f>transport!N54</f>
        <v>0</v>
      </c>
      <c r="P19" s="640">
        <f>transport!O54</f>
        <v>0</v>
      </c>
      <c r="Q19" s="641">
        <f>transport!P54</f>
        <v>0</v>
      </c>
      <c r="R19" s="643">
        <f>SUM(C19:Q19)</f>
        <v>4059.9352646055272</v>
      </c>
      <c r="S19" s="67"/>
    </row>
    <row r="20" spans="1:19" s="444" customFormat="1">
      <c r="A20" s="754" t="s">
        <v>296</v>
      </c>
      <c r="B20" s="759"/>
      <c r="C20" s="640">
        <f>transport!B14</f>
        <v>13.019658485714888</v>
      </c>
      <c r="D20" s="640">
        <f>transport!C14</f>
        <v>0</v>
      </c>
      <c r="E20" s="640">
        <f>transport!D14</f>
        <v>13.448836216023413</v>
      </c>
      <c r="F20" s="640">
        <f>transport!E14</f>
        <v>472.35209513675034</v>
      </c>
      <c r="G20" s="640">
        <f>transport!F14</f>
        <v>0</v>
      </c>
      <c r="H20" s="640">
        <f>transport!G14</f>
        <v>132382.17502598153</v>
      </c>
      <c r="I20" s="640">
        <f>transport!H14</f>
        <v>24339.035432387846</v>
      </c>
      <c r="J20" s="640">
        <f>transport!I14</f>
        <v>0</v>
      </c>
      <c r="K20" s="640">
        <f>transport!J14</f>
        <v>0</v>
      </c>
      <c r="L20" s="640">
        <f>transport!K14</f>
        <v>0</v>
      </c>
      <c r="M20" s="640">
        <f>transport!L14</f>
        <v>0</v>
      </c>
      <c r="N20" s="640">
        <f>transport!M14</f>
        <v>7086.6803192477601</v>
      </c>
      <c r="O20" s="640">
        <f>transport!N14</f>
        <v>0</v>
      </c>
      <c r="P20" s="640">
        <f>transport!O14</f>
        <v>0</v>
      </c>
      <c r="Q20" s="641">
        <f>transport!P14</f>
        <v>0</v>
      </c>
      <c r="R20" s="643">
        <f>SUM(C20:Q20)</f>
        <v>164306.71136745563</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1116.5005848333478</v>
      </c>
      <c r="D22" s="757">
        <f t="shared" ref="D22:R22" si="1">SUM(D18:D21)</f>
        <v>0</v>
      </c>
      <c r="E22" s="757">
        <f t="shared" si="1"/>
        <v>13.448836216023413</v>
      </c>
      <c r="F22" s="757">
        <f t="shared" si="1"/>
        <v>472.35209513675034</v>
      </c>
      <c r="G22" s="757">
        <f t="shared" si="1"/>
        <v>0</v>
      </c>
      <c r="H22" s="757">
        <f t="shared" si="1"/>
        <v>135211.7488943873</v>
      </c>
      <c r="I22" s="757">
        <f t="shared" si="1"/>
        <v>24339.035432387846</v>
      </c>
      <c r="J22" s="757">
        <f t="shared" si="1"/>
        <v>0</v>
      </c>
      <c r="K22" s="757">
        <f t="shared" si="1"/>
        <v>0</v>
      </c>
      <c r="L22" s="757">
        <f t="shared" si="1"/>
        <v>0</v>
      </c>
      <c r="M22" s="757">
        <f t="shared" si="1"/>
        <v>0</v>
      </c>
      <c r="N22" s="757">
        <f t="shared" si="1"/>
        <v>7213.5607890998735</v>
      </c>
      <c r="O22" s="757">
        <f t="shared" si="1"/>
        <v>0</v>
      </c>
      <c r="P22" s="757">
        <f t="shared" si="1"/>
        <v>0</v>
      </c>
      <c r="Q22" s="757">
        <f t="shared" si="1"/>
        <v>0</v>
      </c>
      <c r="R22" s="757">
        <f t="shared" si="1"/>
        <v>168366.64663206117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4792.5434374881752</v>
      </c>
      <c r="D24" s="640">
        <f>+landbouw!C8</f>
        <v>2493.5892857142858</v>
      </c>
      <c r="E24" s="640">
        <f>+landbouw!D8</f>
        <v>3341.0270087755598</v>
      </c>
      <c r="F24" s="640">
        <f>+landbouw!E8</f>
        <v>99.515775391680378</v>
      </c>
      <c r="G24" s="640">
        <f>+landbouw!F8</f>
        <v>16936.970799793522</v>
      </c>
      <c r="H24" s="640">
        <f>+landbouw!G8</f>
        <v>0</v>
      </c>
      <c r="I24" s="640">
        <f>+landbouw!H8</f>
        <v>0</v>
      </c>
      <c r="J24" s="640">
        <f>+landbouw!I8</f>
        <v>0</v>
      </c>
      <c r="K24" s="640">
        <f>+landbouw!J8</f>
        <v>549.67442025582034</v>
      </c>
      <c r="L24" s="640">
        <f>+landbouw!K8</f>
        <v>0</v>
      </c>
      <c r="M24" s="640">
        <f>+landbouw!L8</f>
        <v>0</v>
      </c>
      <c r="N24" s="640">
        <f>+landbouw!M8</f>
        <v>0</v>
      </c>
      <c r="O24" s="640">
        <f>+landbouw!N8</f>
        <v>0</v>
      </c>
      <c r="P24" s="640">
        <f>+landbouw!O8</f>
        <v>0</v>
      </c>
      <c r="Q24" s="641">
        <f>+landbouw!P8</f>
        <v>0</v>
      </c>
      <c r="R24" s="643">
        <f>SUM(C24:Q24)</f>
        <v>28213.320727419046</v>
      </c>
      <c r="S24" s="67"/>
    </row>
    <row r="25" spans="1:19" s="444" customFormat="1" ht="15" thickBot="1">
      <c r="A25" s="776" t="s">
        <v>806</v>
      </c>
      <c r="B25" s="939"/>
      <c r="C25" s="940">
        <f>IF(Onbekend_ele_kWh="---",0,Onbekend_ele_kWh)/1000+IF(REST_rest_ele_kWh="---",0,REST_rest_ele_kWh)/1000</f>
        <v>1909.11132011518</v>
      </c>
      <c r="D25" s="940"/>
      <c r="E25" s="940">
        <f>IF(onbekend_gas_kWh="---",0,onbekend_gas_kWh)/1000+IF(REST_rest_gas_kWh="---",0,REST_rest_gas_kWh)/1000</f>
        <v>7682.6238469485697</v>
      </c>
      <c r="F25" s="940"/>
      <c r="G25" s="940"/>
      <c r="H25" s="940"/>
      <c r="I25" s="940"/>
      <c r="J25" s="940"/>
      <c r="K25" s="940"/>
      <c r="L25" s="940"/>
      <c r="M25" s="940"/>
      <c r="N25" s="940"/>
      <c r="O25" s="940"/>
      <c r="P25" s="940"/>
      <c r="Q25" s="941"/>
      <c r="R25" s="643">
        <f>SUM(C25:Q25)</f>
        <v>9591.735167063749</v>
      </c>
      <c r="S25" s="67"/>
    </row>
    <row r="26" spans="1:19" s="444" customFormat="1" ht="15.75" thickBot="1">
      <c r="A26" s="648" t="s">
        <v>807</v>
      </c>
      <c r="B26" s="762"/>
      <c r="C26" s="757">
        <f>SUM(C24:C25)</f>
        <v>6701.6547576033554</v>
      </c>
      <c r="D26" s="757">
        <f t="shared" ref="D26:R26" si="2">SUM(D24:D25)</f>
        <v>2493.5892857142858</v>
      </c>
      <c r="E26" s="757">
        <f t="shared" si="2"/>
        <v>11023.650855724129</v>
      </c>
      <c r="F26" s="757">
        <f t="shared" si="2"/>
        <v>99.515775391680378</v>
      </c>
      <c r="G26" s="757">
        <f t="shared" si="2"/>
        <v>16936.970799793522</v>
      </c>
      <c r="H26" s="757">
        <f t="shared" si="2"/>
        <v>0</v>
      </c>
      <c r="I26" s="757">
        <f t="shared" si="2"/>
        <v>0</v>
      </c>
      <c r="J26" s="757">
        <f t="shared" si="2"/>
        <v>0</v>
      </c>
      <c r="K26" s="757">
        <f t="shared" si="2"/>
        <v>549.67442025582034</v>
      </c>
      <c r="L26" s="757">
        <f t="shared" si="2"/>
        <v>0</v>
      </c>
      <c r="M26" s="757">
        <f t="shared" si="2"/>
        <v>0</v>
      </c>
      <c r="N26" s="757">
        <f t="shared" si="2"/>
        <v>0</v>
      </c>
      <c r="O26" s="757">
        <f t="shared" si="2"/>
        <v>0</v>
      </c>
      <c r="P26" s="757">
        <f t="shared" si="2"/>
        <v>0</v>
      </c>
      <c r="Q26" s="757">
        <f t="shared" si="2"/>
        <v>0</v>
      </c>
      <c r="R26" s="757">
        <f t="shared" si="2"/>
        <v>37805.055894482794</v>
      </c>
      <c r="S26" s="67"/>
    </row>
    <row r="27" spans="1:19" s="444" customFormat="1" ht="17.25" thickTop="1" thickBot="1">
      <c r="A27" s="649" t="s">
        <v>109</v>
      </c>
      <c r="B27" s="749"/>
      <c r="C27" s="650">
        <f ca="1">C22+C16+C26</f>
        <v>211283.04876798051</v>
      </c>
      <c r="D27" s="650">
        <f t="shared" ref="D27:R27" ca="1" si="3">D22+D16+D26</f>
        <v>2574.5892857142858</v>
      </c>
      <c r="E27" s="650">
        <f t="shared" ca="1" si="3"/>
        <v>258544.41423455594</v>
      </c>
      <c r="F27" s="650">
        <f t="shared" si="3"/>
        <v>7901.8771366360652</v>
      </c>
      <c r="G27" s="650">
        <f t="shared" ca="1" si="3"/>
        <v>159492.14335064639</v>
      </c>
      <c r="H27" s="650">
        <f t="shared" si="3"/>
        <v>135211.7488943873</v>
      </c>
      <c r="I27" s="650">
        <f t="shared" si="3"/>
        <v>24339.035432387846</v>
      </c>
      <c r="J27" s="650">
        <f t="shared" si="3"/>
        <v>0</v>
      </c>
      <c r="K27" s="650">
        <f t="shared" si="3"/>
        <v>3075.5861591760254</v>
      </c>
      <c r="L27" s="650">
        <f t="shared" si="3"/>
        <v>0</v>
      </c>
      <c r="M27" s="650">
        <f t="shared" ca="1" si="3"/>
        <v>0</v>
      </c>
      <c r="N27" s="650">
        <f t="shared" si="3"/>
        <v>7213.5607890998735</v>
      </c>
      <c r="O27" s="650">
        <f t="shared" ca="1" si="3"/>
        <v>30137.616062282617</v>
      </c>
      <c r="P27" s="650">
        <f t="shared" si="3"/>
        <v>453.36666666666667</v>
      </c>
      <c r="Q27" s="650">
        <f t="shared" si="3"/>
        <v>1353.7333333333333</v>
      </c>
      <c r="R27" s="650">
        <f t="shared" ca="1" si="3"/>
        <v>841580.72011286684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8718.0733822905822</v>
      </c>
      <c r="D40" s="640">
        <f ca="1">tertiair!C20</f>
        <v>18.822038695084355</v>
      </c>
      <c r="E40" s="640">
        <f ca="1">tertiair!D20</f>
        <v>9977.9440654275131</v>
      </c>
      <c r="F40" s="640">
        <f>tertiair!E20</f>
        <v>49.983335046392249</v>
      </c>
      <c r="G40" s="640">
        <f ca="1">tertiair!F20</f>
        <v>1399.8377730742975</v>
      </c>
      <c r="H40" s="640">
        <f>tertiair!G20</f>
        <v>0</v>
      </c>
      <c r="I40" s="640">
        <f>tertiair!H20</f>
        <v>0</v>
      </c>
      <c r="J40" s="640">
        <f>tertiair!I20</f>
        <v>0</v>
      </c>
      <c r="K40" s="640">
        <f>tertiair!J20</f>
        <v>54.507215531009557</v>
      </c>
      <c r="L40" s="640">
        <f>tertiair!K20</f>
        <v>0</v>
      </c>
      <c r="M40" s="640">
        <f ca="1">tertiair!L20</f>
        <v>0</v>
      </c>
      <c r="N40" s="640">
        <f>tertiair!M20</f>
        <v>0</v>
      </c>
      <c r="O40" s="640">
        <f ca="1">tertiair!N20</f>
        <v>0</v>
      </c>
      <c r="P40" s="640">
        <f>tertiair!O20</f>
        <v>0</v>
      </c>
      <c r="Q40" s="717">
        <f>tertiair!P20</f>
        <v>0</v>
      </c>
      <c r="R40" s="795">
        <f t="shared" ca="1" si="4"/>
        <v>20219.167810064879</v>
      </c>
    </row>
    <row r="41" spans="1:18">
      <c r="A41" s="767" t="s">
        <v>214</v>
      </c>
      <c r="B41" s="774"/>
      <c r="C41" s="640">
        <f ca="1">huishoudens!B12</f>
        <v>14030.895611060208</v>
      </c>
      <c r="D41" s="640">
        <f ca="1">huishoudens!C12</f>
        <v>0</v>
      </c>
      <c r="E41" s="640">
        <f>huishoudens!D12</f>
        <v>23087.455092832981</v>
      </c>
      <c r="F41" s="640">
        <f>huishoudens!E12</f>
        <v>891.64956633002589</v>
      </c>
      <c r="G41" s="640">
        <f>huishoudens!F12</f>
        <v>32140.004430556277</v>
      </c>
      <c r="H41" s="640">
        <f>huishoudens!G12</f>
        <v>0</v>
      </c>
      <c r="I41" s="640">
        <f>huishoudens!H12</f>
        <v>0</v>
      </c>
      <c r="J41" s="640">
        <f>huishoudens!I12</f>
        <v>0</v>
      </c>
      <c r="K41" s="640">
        <f>huishoudens!J12</f>
        <v>806.99760822709322</v>
      </c>
      <c r="L41" s="640">
        <f>huishoudens!K12</f>
        <v>0</v>
      </c>
      <c r="M41" s="640">
        <f>huishoudens!L12</f>
        <v>0</v>
      </c>
      <c r="N41" s="640">
        <f>huishoudens!M12</f>
        <v>0</v>
      </c>
      <c r="O41" s="640">
        <f>huishoudens!N12</f>
        <v>0</v>
      </c>
      <c r="P41" s="640">
        <f>huishoudens!O12</f>
        <v>0</v>
      </c>
      <c r="Q41" s="717">
        <f>huishoudens!P12</f>
        <v>0</v>
      </c>
      <c r="R41" s="795">
        <f t="shared" ca="1" si="4"/>
        <v>70957.002309006566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17390.908917529341</v>
      </c>
      <c r="D43" s="640">
        <f ca="1">industrie!C22</f>
        <v>0</v>
      </c>
      <c r="E43" s="640">
        <f>industrie!D22</f>
        <v>16931.078379347895</v>
      </c>
      <c r="F43" s="640">
        <f>industrie!E22</f>
        <v>722.2792020300152</v>
      </c>
      <c r="G43" s="640">
        <f>industrie!F22</f>
        <v>4522.3888674471409</v>
      </c>
      <c r="H43" s="640">
        <f>industrie!G22</f>
        <v>0</v>
      </c>
      <c r="I43" s="640">
        <f>industrie!H22</f>
        <v>0</v>
      </c>
      <c r="J43" s="640">
        <f>industrie!I22</f>
        <v>0</v>
      </c>
      <c r="K43" s="640">
        <f>industrie!J22</f>
        <v>32.667931819649716</v>
      </c>
      <c r="L43" s="640">
        <f>industrie!K22</f>
        <v>0</v>
      </c>
      <c r="M43" s="640">
        <f>industrie!L22</f>
        <v>0</v>
      </c>
      <c r="N43" s="640">
        <f>industrie!M22</f>
        <v>0</v>
      </c>
      <c r="O43" s="640">
        <f>industrie!N22</f>
        <v>0</v>
      </c>
      <c r="P43" s="640">
        <f>industrie!O22</f>
        <v>0</v>
      </c>
      <c r="Q43" s="717">
        <f>industrie!P22</f>
        <v>0</v>
      </c>
      <c r="R43" s="794">
        <f t="shared" ca="1" si="4"/>
        <v>39599.323298174044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40139.877910880132</v>
      </c>
      <c r="D46" s="675">
        <f t="shared" ref="D46:Q46" ca="1" si="5">SUM(D39:D45)</f>
        <v>18.822038695084355</v>
      </c>
      <c r="E46" s="675">
        <f t="shared" ca="1" si="5"/>
        <v>49996.477537608385</v>
      </c>
      <c r="F46" s="675">
        <f t="shared" si="5"/>
        <v>1663.9121034064333</v>
      </c>
      <c r="G46" s="675">
        <f t="shared" ca="1" si="5"/>
        <v>38062.231071077709</v>
      </c>
      <c r="H46" s="675">
        <f t="shared" si="5"/>
        <v>0</v>
      </c>
      <c r="I46" s="675">
        <f t="shared" si="5"/>
        <v>0</v>
      </c>
      <c r="J46" s="675">
        <f t="shared" si="5"/>
        <v>0</v>
      </c>
      <c r="K46" s="675">
        <f t="shared" si="5"/>
        <v>894.17275557775258</v>
      </c>
      <c r="L46" s="675">
        <f t="shared" si="5"/>
        <v>0</v>
      </c>
      <c r="M46" s="675">
        <f t="shared" ca="1" si="5"/>
        <v>0</v>
      </c>
      <c r="N46" s="675">
        <f t="shared" si="5"/>
        <v>0</v>
      </c>
      <c r="O46" s="675">
        <f t="shared" ca="1" si="5"/>
        <v>0</v>
      </c>
      <c r="P46" s="675">
        <f t="shared" si="5"/>
        <v>0</v>
      </c>
      <c r="Q46" s="675">
        <f t="shared" si="5"/>
        <v>0</v>
      </c>
      <c r="R46" s="675">
        <f ca="1">SUM(R39:R45)</f>
        <v>130775.49341724548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217.69647291407426</v>
      </c>
      <c r="D49" s="640">
        <f ca="1">transport!C58</f>
        <v>0</v>
      </c>
      <c r="E49" s="640">
        <f>transport!D58</f>
        <v>0</v>
      </c>
      <c r="F49" s="640">
        <f>transport!E58</f>
        <v>0</v>
      </c>
      <c r="G49" s="640">
        <f>transport!F58</f>
        <v>0</v>
      </c>
      <c r="H49" s="640">
        <f>transport!G58</f>
        <v>755.49622286434374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973.19269577841806</v>
      </c>
    </row>
    <row r="50" spans="1:18">
      <c r="A50" s="770" t="s">
        <v>296</v>
      </c>
      <c r="B50" s="780"/>
      <c r="C50" s="646">
        <f ca="1">transport!B18</f>
        <v>2.5685389418258233</v>
      </c>
      <c r="D50" s="646">
        <f>transport!C18</f>
        <v>0</v>
      </c>
      <c r="E50" s="646">
        <f>transport!D18</f>
        <v>2.7166649156367293</v>
      </c>
      <c r="F50" s="646">
        <f>transport!E18</f>
        <v>107.22392559604233</v>
      </c>
      <c r="G50" s="646">
        <f>transport!F18</f>
        <v>0</v>
      </c>
      <c r="H50" s="646">
        <f>transport!G18</f>
        <v>35346.040731937072</v>
      </c>
      <c r="I50" s="646">
        <f>transport!H18</f>
        <v>6060.4198226645731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41518.969684055148</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220.2650118559001</v>
      </c>
      <c r="D52" s="675">
        <f t="shared" ref="D52:Q52" ca="1" si="6">SUM(D48:D51)</f>
        <v>0</v>
      </c>
      <c r="E52" s="675">
        <f t="shared" si="6"/>
        <v>2.7166649156367293</v>
      </c>
      <c r="F52" s="675">
        <f t="shared" si="6"/>
        <v>107.22392559604233</v>
      </c>
      <c r="G52" s="675">
        <f t="shared" si="6"/>
        <v>0</v>
      </c>
      <c r="H52" s="675">
        <f t="shared" si="6"/>
        <v>36101.536954801413</v>
      </c>
      <c r="I52" s="675">
        <f t="shared" si="6"/>
        <v>6060.4198226645731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42492.162379833564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945.48059483176667</v>
      </c>
      <c r="D54" s="646">
        <f ca="1">+landbouw!C12</f>
        <v>579.43745710323515</v>
      </c>
      <c r="E54" s="646">
        <f>+landbouw!D12</f>
        <v>674.88745577266309</v>
      </c>
      <c r="F54" s="646">
        <f>+landbouw!E12</f>
        <v>22.590081013911448</v>
      </c>
      <c r="G54" s="646">
        <f>+landbouw!F12</f>
        <v>4522.1712035448709</v>
      </c>
      <c r="H54" s="646">
        <f>+landbouw!G12</f>
        <v>0</v>
      </c>
      <c r="I54" s="646">
        <f>+landbouw!H12</f>
        <v>0</v>
      </c>
      <c r="J54" s="646">
        <f>+landbouw!I12</f>
        <v>0</v>
      </c>
      <c r="K54" s="646">
        <f>+landbouw!J12</f>
        <v>194.58474477056038</v>
      </c>
      <c r="L54" s="646">
        <f>+landbouw!K12</f>
        <v>0</v>
      </c>
      <c r="M54" s="646">
        <f>+landbouw!L12</f>
        <v>0</v>
      </c>
      <c r="N54" s="646">
        <f>+landbouw!M12</f>
        <v>0</v>
      </c>
      <c r="O54" s="646">
        <f>+landbouw!N12</f>
        <v>0</v>
      </c>
      <c r="P54" s="646">
        <f>+landbouw!O12</f>
        <v>0</v>
      </c>
      <c r="Q54" s="647">
        <f>+landbouw!P12</f>
        <v>0</v>
      </c>
      <c r="R54" s="674">
        <f ca="1">SUM(C54:Q54)</f>
        <v>6939.1515370370071</v>
      </c>
    </row>
    <row r="55" spans="1:18" ht="15" thickBot="1">
      <c r="A55" s="770" t="s">
        <v>806</v>
      </c>
      <c r="B55" s="780"/>
      <c r="C55" s="646">
        <f ca="1">C25*'EF ele_warmte'!B12</f>
        <v>376.63251884652601</v>
      </c>
      <c r="D55" s="646"/>
      <c r="E55" s="646">
        <f>E25*EF_CO2_aardgas</f>
        <v>1551.8900170836112</v>
      </c>
      <c r="F55" s="646"/>
      <c r="G55" s="646"/>
      <c r="H55" s="646"/>
      <c r="I55" s="646"/>
      <c r="J55" s="646"/>
      <c r="K55" s="646"/>
      <c r="L55" s="646"/>
      <c r="M55" s="646"/>
      <c r="N55" s="646"/>
      <c r="O55" s="646"/>
      <c r="P55" s="646"/>
      <c r="Q55" s="647"/>
      <c r="R55" s="674">
        <f ca="1">SUM(C55:Q55)</f>
        <v>1928.5225359301371</v>
      </c>
    </row>
    <row r="56" spans="1:18" ht="15.75" thickBot="1">
      <c r="A56" s="768" t="s">
        <v>807</v>
      </c>
      <c r="B56" s="781"/>
      <c r="C56" s="675">
        <f ca="1">SUM(C54:C55)</f>
        <v>1322.1131136782926</v>
      </c>
      <c r="D56" s="675">
        <f t="shared" ref="D56:Q56" ca="1" si="7">SUM(D54:D55)</f>
        <v>579.43745710323515</v>
      </c>
      <c r="E56" s="675">
        <f t="shared" si="7"/>
        <v>2226.7774728562745</v>
      </c>
      <c r="F56" s="675">
        <f t="shared" si="7"/>
        <v>22.590081013911448</v>
      </c>
      <c r="G56" s="675">
        <f t="shared" si="7"/>
        <v>4522.1712035448709</v>
      </c>
      <c r="H56" s="675">
        <f t="shared" si="7"/>
        <v>0</v>
      </c>
      <c r="I56" s="675">
        <f t="shared" si="7"/>
        <v>0</v>
      </c>
      <c r="J56" s="675">
        <f t="shared" si="7"/>
        <v>0</v>
      </c>
      <c r="K56" s="675">
        <f t="shared" si="7"/>
        <v>194.58474477056038</v>
      </c>
      <c r="L56" s="675">
        <f t="shared" si="7"/>
        <v>0</v>
      </c>
      <c r="M56" s="675">
        <f t="shared" si="7"/>
        <v>0</v>
      </c>
      <c r="N56" s="675">
        <f t="shared" si="7"/>
        <v>0</v>
      </c>
      <c r="O56" s="675">
        <f t="shared" si="7"/>
        <v>0</v>
      </c>
      <c r="P56" s="675">
        <f t="shared" si="7"/>
        <v>0</v>
      </c>
      <c r="Q56" s="676">
        <f t="shared" si="7"/>
        <v>0</v>
      </c>
      <c r="R56" s="677">
        <f ca="1">SUM(R54:R55)</f>
        <v>8867.6740729671437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41682.256036414328</v>
      </c>
      <c r="D61" s="683">
        <f t="shared" ref="D61:Q61" ca="1" si="8">D46+D52+D56</f>
        <v>598.25949579831945</v>
      </c>
      <c r="E61" s="683">
        <f t="shared" ca="1" si="8"/>
        <v>52225.971675380293</v>
      </c>
      <c r="F61" s="683">
        <f t="shared" si="8"/>
        <v>1793.7261100163871</v>
      </c>
      <c r="G61" s="683">
        <f t="shared" ca="1" si="8"/>
        <v>42584.402274622582</v>
      </c>
      <c r="H61" s="683">
        <f t="shared" si="8"/>
        <v>36101.536954801413</v>
      </c>
      <c r="I61" s="683">
        <f t="shared" si="8"/>
        <v>6060.4198226645731</v>
      </c>
      <c r="J61" s="683">
        <f t="shared" si="8"/>
        <v>0</v>
      </c>
      <c r="K61" s="683">
        <f t="shared" si="8"/>
        <v>1088.757500348313</v>
      </c>
      <c r="L61" s="683">
        <f t="shared" si="8"/>
        <v>0</v>
      </c>
      <c r="M61" s="683">
        <f t="shared" ca="1" si="8"/>
        <v>0</v>
      </c>
      <c r="N61" s="683">
        <f t="shared" si="8"/>
        <v>0</v>
      </c>
      <c r="O61" s="683">
        <f t="shared" ca="1" si="8"/>
        <v>0</v>
      </c>
      <c r="P61" s="683">
        <f t="shared" si="8"/>
        <v>0</v>
      </c>
      <c r="Q61" s="683">
        <f t="shared" si="8"/>
        <v>0</v>
      </c>
      <c r="R61" s="683">
        <f ca="1">R46+R52+R56</f>
        <v>182135.32987004617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0.19728159111423796</v>
      </c>
      <c r="D63" s="726">
        <f t="shared" ca="1" si="9"/>
        <v>0.23237084808746117</v>
      </c>
      <c r="E63" s="946">
        <f t="shared" ca="1" si="9"/>
        <v>0.20199999999999999</v>
      </c>
      <c r="F63" s="726">
        <f t="shared" si="9"/>
        <v>0.22700000000000004</v>
      </c>
      <c r="G63" s="726">
        <f t="shared" ca="1" si="9"/>
        <v>0.26699999999999996</v>
      </c>
      <c r="H63" s="726">
        <f t="shared" si="9"/>
        <v>0.26700000000000002</v>
      </c>
      <c r="I63" s="726">
        <f t="shared" si="9"/>
        <v>0.24899999999999997</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22768.282469991787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40.012499999999996</v>
      </c>
      <c r="C76" s="693">
        <f>'lokale energieproductie'!B8*IFERROR(SUM(D76:H76)/SUM(D76:O76),0)</f>
        <v>1762.2</v>
      </c>
      <c r="D76" s="956">
        <f>'lokale energieproductie'!C8</f>
        <v>2073.1764705882351</v>
      </c>
      <c r="E76" s="957">
        <f>'lokale energieproductie'!D8</f>
        <v>0</v>
      </c>
      <c r="F76" s="957">
        <f>'lokale energieproductie'!E8</f>
        <v>0</v>
      </c>
      <c r="G76" s="957">
        <f>'lokale energieproductie'!F8</f>
        <v>0</v>
      </c>
      <c r="H76" s="957">
        <f>'lokale energieproductie'!G8</f>
        <v>0</v>
      </c>
      <c r="I76" s="957">
        <f>'lokale energieproductie'!I8</f>
        <v>0</v>
      </c>
      <c r="J76" s="957">
        <f>'lokale energieproductie'!J8</f>
        <v>47.073529411764703</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418.78164705882352</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22808.294969991788</v>
      </c>
      <c r="C78" s="698">
        <f>SUM(C72:C77)</f>
        <v>1762.2</v>
      </c>
      <c r="D78" s="699">
        <f t="shared" ref="D78:H78" si="10">SUM(D76:D77)</f>
        <v>2073.1764705882351</v>
      </c>
      <c r="E78" s="699">
        <f t="shared" si="10"/>
        <v>0</v>
      </c>
      <c r="F78" s="699">
        <f t="shared" si="10"/>
        <v>0</v>
      </c>
      <c r="G78" s="699">
        <f t="shared" si="10"/>
        <v>0</v>
      </c>
      <c r="H78" s="699">
        <f t="shared" si="10"/>
        <v>0</v>
      </c>
      <c r="I78" s="699">
        <f>SUM(I76:I77)</f>
        <v>0</v>
      </c>
      <c r="J78" s="699">
        <f>SUM(J76:J77)</f>
        <v>47.073529411764703</v>
      </c>
      <c r="K78" s="699">
        <f t="shared" ref="K78:L78" si="11">SUM(K76:K77)</f>
        <v>0</v>
      </c>
      <c r="L78" s="699">
        <f t="shared" si="11"/>
        <v>0</v>
      </c>
      <c r="M78" s="699">
        <f>SUM(M76:M77)</f>
        <v>0</v>
      </c>
      <c r="N78" s="699">
        <f>SUM(N76:N77)</f>
        <v>0</v>
      </c>
      <c r="O78" s="805">
        <f>SUM(O76:O77)</f>
        <v>0</v>
      </c>
      <c r="P78" s="700">
        <v>0</v>
      </c>
      <c r="Q78" s="700">
        <f>SUM(Q76:Q77)</f>
        <v>418.78164705882352</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57.160714285714278</v>
      </c>
      <c r="C87" s="709">
        <f>'lokale energieproductie'!B17*IFERROR(SUM(D87:H87)/SUM(D87:O87),0)</f>
        <v>2517.4285714285716</v>
      </c>
      <c r="D87" s="720">
        <f>'lokale energieproductie'!C17</f>
        <v>2961.680672268908</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67.247899159663874</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598.25949579831945</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57.160714285714278</v>
      </c>
      <c r="C90" s="698">
        <f>SUM(C87:C89)</f>
        <v>2517.4285714285716</v>
      </c>
      <c r="D90" s="698">
        <f t="shared" ref="D90:H90" si="12">SUM(D87:D89)</f>
        <v>2961.680672268908</v>
      </c>
      <c r="E90" s="698">
        <f t="shared" si="12"/>
        <v>0</v>
      </c>
      <c r="F90" s="698">
        <f t="shared" si="12"/>
        <v>0</v>
      </c>
      <c r="G90" s="698">
        <f t="shared" si="12"/>
        <v>0</v>
      </c>
      <c r="H90" s="698">
        <f t="shared" si="12"/>
        <v>0</v>
      </c>
      <c r="I90" s="698">
        <f>SUM(I87:I89)</f>
        <v>0</v>
      </c>
      <c r="J90" s="698">
        <f>SUM(J87:J89)</f>
        <v>67.247899159663874</v>
      </c>
      <c r="K90" s="698">
        <f t="shared" ref="K90:L90" si="13">SUM(K87:K89)</f>
        <v>0</v>
      </c>
      <c r="L90" s="698">
        <f t="shared" si="13"/>
        <v>0</v>
      </c>
      <c r="M90" s="698">
        <f>SUM(M87:M89)</f>
        <v>0</v>
      </c>
      <c r="N90" s="698">
        <f>SUM(N87:N89)</f>
        <v>0</v>
      </c>
      <c r="O90" s="698">
        <f>SUM(O87:O89)</f>
        <v>0</v>
      </c>
      <c r="P90" s="698">
        <v>0</v>
      </c>
      <c r="Q90" s="698">
        <f>SUM(Q87:Q89)</f>
        <v>598.25949579831945</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71121.160022150638</v>
      </c>
      <c r="C4" s="448">
        <f>huishoudens!C8</f>
        <v>0</v>
      </c>
      <c r="D4" s="448">
        <f>huishoudens!D8</f>
        <v>114294.33214273752</v>
      </c>
      <c r="E4" s="448">
        <f>huishoudens!E8</f>
        <v>3927.9716578415237</v>
      </c>
      <c r="F4" s="448">
        <f>huishoudens!F8</f>
        <v>120374.54842904973</v>
      </c>
      <c r="G4" s="448">
        <f>huishoudens!G8</f>
        <v>0</v>
      </c>
      <c r="H4" s="448">
        <f>huishoudens!H8</f>
        <v>0</v>
      </c>
      <c r="I4" s="448">
        <f>huishoudens!I8</f>
        <v>0</v>
      </c>
      <c r="J4" s="448">
        <f>huishoudens!J8</f>
        <v>2279.6542605285122</v>
      </c>
      <c r="K4" s="448">
        <f>huishoudens!K8</f>
        <v>0</v>
      </c>
      <c r="L4" s="448">
        <f>huishoudens!L8</f>
        <v>0</v>
      </c>
      <c r="M4" s="448">
        <f>huishoudens!M8</f>
        <v>0</v>
      </c>
      <c r="N4" s="448">
        <f>huishoudens!N8</f>
        <v>22261.572302146622</v>
      </c>
      <c r="O4" s="448">
        <f>huishoudens!O8</f>
        <v>443.98666666666668</v>
      </c>
      <c r="P4" s="449">
        <f>huishoudens!P8</f>
        <v>1258.4000000000001</v>
      </c>
      <c r="Q4" s="450">
        <f>SUM(B4:P4)</f>
        <v>335961.6254811213</v>
      </c>
    </row>
    <row r="5" spans="1:17">
      <c r="A5" s="447" t="s">
        <v>149</v>
      </c>
      <c r="B5" s="448">
        <f ca="1">tertiair!B16</f>
        <v>41800.72512520483</v>
      </c>
      <c r="C5" s="448">
        <f ca="1">tertiair!C16</f>
        <v>81</v>
      </c>
      <c r="D5" s="448">
        <f ca="1">tertiair!D16</f>
        <v>49395.762700136198</v>
      </c>
      <c r="E5" s="448">
        <f>tertiair!E16</f>
        <v>220.19090328807158</v>
      </c>
      <c r="F5" s="448">
        <f ca="1">tertiair!F16</f>
        <v>5242.8381014018632</v>
      </c>
      <c r="G5" s="448">
        <f>tertiair!G16</f>
        <v>0</v>
      </c>
      <c r="H5" s="448">
        <f>tertiair!H16</f>
        <v>0</v>
      </c>
      <c r="I5" s="448">
        <f>tertiair!I16</f>
        <v>0</v>
      </c>
      <c r="J5" s="448">
        <f>tertiair!J16</f>
        <v>153.97518511584622</v>
      </c>
      <c r="K5" s="448">
        <f>tertiair!K16</f>
        <v>0</v>
      </c>
      <c r="L5" s="448">
        <f ca="1">tertiair!L16</f>
        <v>0</v>
      </c>
      <c r="M5" s="448">
        <f>tertiair!M16</f>
        <v>0</v>
      </c>
      <c r="N5" s="448">
        <f ca="1">tertiair!N16</f>
        <v>3692.4552249946901</v>
      </c>
      <c r="O5" s="448">
        <f>tertiair!O16</f>
        <v>9.3800000000000008</v>
      </c>
      <c r="P5" s="449">
        <f>tertiair!P16</f>
        <v>95.333333333333343</v>
      </c>
      <c r="Q5" s="447">
        <f t="shared" ref="Q5:Q14" ca="1" si="0">SUM(B5:P5)</f>
        <v>100691.66057347483</v>
      </c>
    </row>
    <row r="6" spans="1:17">
      <c r="A6" s="447" t="s">
        <v>187</v>
      </c>
      <c r="B6" s="448">
        <f>'openbare verlichting'!B8</f>
        <v>2390.288</v>
      </c>
      <c r="C6" s="448"/>
      <c r="D6" s="448"/>
      <c r="E6" s="448"/>
      <c r="F6" s="448"/>
      <c r="G6" s="448"/>
      <c r="H6" s="448"/>
      <c r="I6" s="448"/>
      <c r="J6" s="448"/>
      <c r="K6" s="448"/>
      <c r="L6" s="448"/>
      <c r="M6" s="448"/>
      <c r="N6" s="448"/>
      <c r="O6" s="448"/>
      <c r="P6" s="449"/>
      <c r="Q6" s="447">
        <f t="shared" si="0"/>
        <v>2390.288</v>
      </c>
    </row>
    <row r="7" spans="1:17">
      <c r="A7" s="447" t="s">
        <v>105</v>
      </c>
      <c r="B7" s="448">
        <f>landbouw!B8</f>
        <v>4792.5434374881752</v>
      </c>
      <c r="C7" s="448">
        <f>landbouw!C8</f>
        <v>2493.5892857142858</v>
      </c>
      <c r="D7" s="448">
        <f>landbouw!D8</f>
        <v>3341.0270087755598</v>
      </c>
      <c r="E7" s="448">
        <f>landbouw!E8</f>
        <v>99.515775391680378</v>
      </c>
      <c r="F7" s="448">
        <f>landbouw!F8</f>
        <v>16936.970799793522</v>
      </c>
      <c r="G7" s="448">
        <f>landbouw!G8</f>
        <v>0</v>
      </c>
      <c r="H7" s="448">
        <f>landbouw!H8</f>
        <v>0</v>
      </c>
      <c r="I7" s="448">
        <f>landbouw!I8</f>
        <v>0</v>
      </c>
      <c r="J7" s="448">
        <f>landbouw!J8</f>
        <v>549.67442025582034</v>
      </c>
      <c r="K7" s="448">
        <f>landbouw!K8</f>
        <v>0</v>
      </c>
      <c r="L7" s="448">
        <f>landbouw!L8</f>
        <v>0</v>
      </c>
      <c r="M7" s="448">
        <f>landbouw!M8</f>
        <v>0</v>
      </c>
      <c r="N7" s="448">
        <f>landbouw!N8</f>
        <v>0</v>
      </c>
      <c r="O7" s="448">
        <f>landbouw!O8</f>
        <v>0</v>
      </c>
      <c r="P7" s="449">
        <f>landbouw!P8</f>
        <v>0</v>
      </c>
      <c r="Q7" s="447">
        <f t="shared" si="0"/>
        <v>28213.320727419046</v>
      </c>
    </row>
    <row r="8" spans="1:17">
      <c r="A8" s="447" t="s">
        <v>614</v>
      </c>
      <c r="B8" s="448">
        <f>industrie!B18</f>
        <v>88152.720278188324</v>
      </c>
      <c r="C8" s="448">
        <f>industrie!C18</f>
        <v>0</v>
      </c>
      <c r="D8" s="448">
        <f>industrie!D18</f>
        <v>83817.219699742054</v>
      </c>
      <c r="E8" s="448">
        <f>industrie!E18</f>
        <v>3181.8467049780402</v>
      </c>
      <c r="F8" s="448">
        <f>industrie!F18</f>
        <v>16937.786020401276</v>
      </c>
      <c r="G8" s="448">
        <f>industrie!G18</f>
        <v>0</v>
      </c>
      <c r="H8" s="448">
        <f>industrie!H18</f>
        <v>0</v>
      </c>
      <c r="I8" s="448">
        <f>industrie!I18</f>
        <v>0</v>
      </c>
      <c r="J8" s="448">
        <f>industrie!J18</f>
        <v>92.282293275846669</v>
      </c>
      <c r="K8" s="448">
        <f>industrie!K18</f>
        <v>0</v>
      </c>
      <c r="L8" s="448">
        <f>industrie!L18</f>
        <v>0</v>
      </c>
      <c r="M8" s="448">
        <f>industrie!M18</f>
        <v>0</v>
      </c>
      <c r="N8" s="448">
        <f>industrie!N18</f>
        <v>4183.5885351413044</v>
      </c>
      <c r="O8" s="448">
        <f>industrie!O18</f>
        <v>0</v>
      </c>
      <c r="P8" s="449">
        <f>industrie!P18</f>
        <v>0</v>
      </c>
      <c r="Q8" s="447">
        <f t="shared" si="0"/>
        <v>196365.44353172687</v>
      </c>
    </row>
    <row r="9" spans="1:17" s="453" customFormat="1">
      <c r="A9" s="451" t="s">
        <v>555</v>
      </c>
      <c r="B9" s="452">
        <f>transport!B14</f>
        <v>13.019658485714888</v>
      </c>
      <c r="C9" s="452">
        <f>transport!C14</f>
        <v>0</v>
      </c>
      <c r="D9" s="452">
        <f>transport!D14</f>
        <v>13.448836216023413</v>
      </c>
      <c r="E9" s="452">
        <f>transport!E14</f>
        <v>472.35209513675034</v>
      </c>
      <c r="F9" s="452">
        <f>transport!F14</f>
        <v>0</v>
      </c>
      <c r="G9" s="452">
        <f>transport!G14</f>
        <v>132382.17502598153</v>
      </c>
      <c r="H9" s="452">
        <f>transport!H14</f>
        <v>24339.035432387846</v>
      </c>
      <c r="I9" s="452">
        <f>transport!I14</f>
        <v>0</v>
      </c>
      <c r="J9" s="452">
        <f>transport!J14</f>
        <v>0</v>
      </c>
      <c r="K9" s="452">
        <f>transport!K14</f>
        <v>0</v>
      </c>
      <c r="L9" s="452">
        <f>transport!L14</f>
        <v>0</v>
      </c>
      <c r="M9" s="452">
        <f>transport!M14</f>
        <v>7086.6803192477601</v>
      </c>
      <c r="N9" s="452">
        <f>transport!N14</f>
        <v>0</v>
      </c>
      <c r="O9" s="452">
        <f>transport!O14</f>
        <v>0</v>
      </c>
      <c r="P9" s="452">
        <f>transport!P14</f>
        <v>0</v>
      </c>
      <c r="Q9" s="451">
        <f>SUM(B9:P9)</f>
        <v>164306.71136745563</v>
      </c>
    </row>
    <row r="10" spans="1:17">
      <c r="A10" s="447" t="s">
        <v>545</v>
      </c>
      <c r="B10" s="448">
        <f>transport!B54</f>
        <v>1103.4809263476329</v>
      </c>
      <c r="C10" s="448">
        <f>transport!C54</f>
        <v>0</v>
      </c>
      <c r="D10" s="448">
        <f>transport!D54</f>
        <v>0</v>
      </c>
      <c r="E10" s="448">
        <f>transport!E54</f>
        <v>0</v>
      </c>
      <c r="F10" s="448">
        <f>transport!F54</f>
        <v>0</v>
      </c>
      <c r="G10" s="448">
        <f>transport!G54</f>
        <v>2829.5738684057815</v>
      </c>
      <c r="H10" s="448">
        <f>transport!H54</f>
        <v>0</v>
      </c>
      <c r="I10" s="448">
        <f>transport!I54</f>
        <v>0</v>
      </c>
      <c r="J10" s="448">
        <f>transport!J54</f>
        <v>0</v>
      </c>
      <c r="K10" s="448">
        <f>transport!K54</f>
        <v>0</v>
      </c>
      <c r="L10" s="448">
        <f>transport!L54</f>
        <v>0</v>
      </c>
      <c r="M10" s="448">
        <f>transport!M54</f>
        <v>126.88046985211308</v>
      </c>
      <c r="N10" s="448">
        <f>transport!N54</f>
        <v>0</v>
      </c>
      <c r="O10" s="448">
        <f>transport!O54</f>
        <v>0</v>
      </c>
      <c r="P10" s="449">
        <f>transport!P54</f>
        <v>0</v>
      </c>
      <c r="Q10" s="447">
        <f t="shared" si="0"/>
        <v>4059.9352646055272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1909.11132011518</v>
      </c>
      <c r="C14" s="455"/>
      <c r="D14" s="455">
        <f>'SEAP template'!E25</f>
        <v>7682.6238469485697</v>
      </c>
      <c r="E14" s="455"/>
      <c r="F14" s="455"/>
      <c r="G14" s="455"/>
      <c r="H14" s="455"/>
      <c r="I14" s="455"/>
      <c r="J14" s="455"/>
      <c r="K14" s="455"/>
      <c r="L14" s="455"/>
      <c r="M14" s="455"/>
      <c r="N14" s="455"/>
      <c r="O14" s="455"/>
      <c r="P14" s="456"/>
      <c r="Q14" s="447">
        <f t="shared" si="0"/>
        <v>9591.735167063749</v>
      </c>
    </row>
    <row r="15" spans="1:17" s="460" customFormat="1">
      <c r="A15" s="457" t="s">
        <v>549</v>
      </c>
      <c r="B15" s="458">
        <f ca="1">SUM(B4:B14)</f>
        <v>211283.04876798051</v>
      </c>
      <c r="C15" s="458">
        <f t="shared" ref="C15:Q15" ca="1" si="1">SUM(C4:C14)</f>
        <v>2574.5892857142858</v>
      </c>
      <c r="D15" s="458">
        <f t="shared" ca="1" si="1"/>
        <v>258544.41423455597</v>
      </c>
      <c r="E15" s="458">
        <f t="shared" si="1"/>
        <v>7901.8771366360652</v>
      </c>
      <c r="F15" s="458">
        <f t="shared" ca="1" si="1"/>
        <v>159492.14335064639</v>
      </c>
      <c r="G15" s="458">
        <f t="shared" si="1"/>
        <v>135211.7488943873</v>
      </c>
      <c r="H15" s="458">
        <f t="shared" si="1"/>
        <v>24339.035432387846</v>
      </c>
      <c r="I15" s="458">
        <f t="shared" si="1"/>
        <v>0</v>
      </c>
      <c r="J15" s="458">
        <f t="shared" si="1"/>
        <v>3075.5861591760254</v>
      </c>
      <c r="K15" s="458">
        <f t="shared" si="1"/>
        <v>0</v>
      </c>
      <c r="L15" s="458">
        <f t="shared" ca="1" si="1"/>
        <v>0</v>
      </c>
      <c r="M15" s="458">
        <f t="shared" si="1"/>
        <v>7213.5607890998735</v>
      </c>
      <c r="N15" s="458">
        <f t="shared" ca="1" si="1"/>
        <v>30137.616062282617</v>
      </c>
      <c r="O15" s="458">
        <f t="shared" si="1"/>
        <v>453.36666666666667</v>
      </c>
      <c r="P15" s="458">
        <f t="shared" si="1"/>
        <v>1353.7333333333333</v>
      </c>
      <c r="Q15" s="458">
        <f t="shared" ca="1" si="1"/>
        <v>841580.72011286707</v>
      </c>
    </row>
    <row r="17" spans="1:17">
      <c r="A17" s="461" t="s">
        <v>550</v>
      </c>
      <c r="B17" s="731">
        <f ca="1">huishoudens!B10</f>
        <v>0.19728159111423796</v>
      </c>
      <c r="C17" s="731">
        <f ca="1">huishoudens!C10</f>
        <v>0.23237084808746117</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14030.895611060208</v>
      </c>
      <c r="C22" s="448">
        <f t="shared" ref="C22:C32" ca="1" si="3">C4*$C$17</f>
        <v>0</v>
      </c>
      <c r="D22" s="448">
        <f t="shared" ref="D22:D32" si="4">D4*$D$17</f>
        <v>23087.455092832981</v>
      </c>
      <c r="E22" s="448">
        <f t="shared" ref="E22:E32" si="5">E4*$E$17</f>
        <v>891.64956633002589</v>
      </c>
      <c r="F22" s="448">
        <f t="shared" ref="F22:F32" si="6">F4*$F$17</f>
        <v>32140.004430556277</v>
      </c>
      <c r="G22" s="448">
        <f t="shared" ref="G22:G32" si="7">G4*$G$17</f>
        <v>0</v>
      </c>
      <c r="H22" s="448">
        <f t="shared" ref="H22:H32" si="8">H4*$H$17</f>
        <v>0</v>
      </c>
      <c r="I22" s="448">
        <f t="shared" ref="I22:I32" si="9">I4*$I$17</f>
        <v>0</v>
      </c>
      <c r="J22" s="448">
        <f t="shared" ref="J22:J32" si="10">J4*$J$17</f>
        <v>806.99760822709322</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70957.002309006566</v>
      </c>
    </row>
    <row r="23" spans="1:17">
      <c r="A23" s="447" t="s">
        <v>149</v>
      </c>
      <c r="B23" s="448">
        <f t="shared" ca="1" si="2"/>
        <v>8246.5135624293125</v>
      </c>
      <c r="C23" s="448">
        <f t="shared" ca="1" si="3"/>
        <v>18.822038695084355</v>
      </c>
      <c r="D23" s="448">
        <f t="shared" ca="1" si="4"/>
        <v>9977.9440654275131</v>
      </c>
      <c r="E23" s="448">
        <f t="shared" si="5"/>
        <v>49.983335046392249</v>
      </c>
      <c r="F23" s="448">
        <f t="shared" ca="1" si="6"/>
        <v>1399.8377730742975</v>
      </c>
      <c r="G23" s="448">
        <f t="shared" si="7"/>
        <v>0</v>
      </c>
      <c r="H23" s="448">
        <f t="shared" si="8"/>
        <v>0</v>
      </c>
      <c r="I23" s="448">
        <f t="shared" si="9"/>
        <v>0</v>
      </c>
      <c r="J23" s="448">
        <f t="shared" si="10"/>
        <v>54.507215531009557</v>
      </c>
      <c r="K23" s="448">
        <f t="shared" si="11"/>
        <v>0</v>
      </c>
      <c r="L23" s="448">
        <f t="shared" ca="1" si="12"/>
        <v>0</v>
      </c>
      <c r="M23" s="448">
        <f t="shared" si="13"/>
        <v>0</v>
      </c>
      <c r="N23" s="448">
        <f t="shared" ca="1" si="14"/>
        <v>0</v>
      </c>
      <c r="O23" s="448">
        <f t="shared" si="15"/>
        <v>0</v>
      </c>
      <c r="P23" s="449">
        <f t="shared" si="16"/>
        <v>0</v>
      </c>
      <c r="Q23" s="447">
        <f t="shared" ref="Q23:Q32" ca="1" si="17">SUM(B23:P23)</f>
        <v>19747.607990203611</v>
      </c>
    </row>
    <row r="24" spans="1:17">
      <c r="A24" s="447" t="s">
        <v>187</v>
      </c>
      <c r="B24" s="448">
        <f t="shared" ca="1" si="2"/>
        <v>471.5598198612696</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471.5598198612696</v>
      </c>
    </row>
    <row r="25" spans="1:17">
      <c r="A25" s="447" t="s">
        <v>105</v>
      </c>
      <c r="B25" s="448">
        <f t="shared" ca="1" si="2"/>
        <v>945.48059483176667</v>
      </c>
      <c r="C25" s="448">
        <f t="shared" ca="1" si="3"/>
        <v>579.43745710323515</v>
      </c>
      <c r="D25" s="448">
        <f t="shared" si="4"/>
        <v>674.88745577266309</v>
      </c>
      <c r="E25" s="448">
        <f t="shared" si="5"/>
        <v>22.590081013911448</v>
      </c>
      <c r="F25" s="448">
        <f t="shared" si="6"/>
        <v>4522.1712035448709</v>
      </c>
      <c r="G25" s="448">
        <f t="shared" si="7"/>
        <v>0</v>
      </c>
      <c r="H25" s="448">
        <f t="shared" si="8"/>
        <v>0</v>
      </c>
      <c r="I25" s="448">
        <f t="shared" si="9"/>
        <v>0</v>
      </c>
      <c r="J25" s="448">
        <f t="shared" si="10"/>
        <v>194.58474477056038</v>
      </c>
      <c r="K25" s="448">
        <f t="shared" si="11"/>
        <v>0</v>
      </c>
      <c r="L25" s="448">
        <f t="shared" si="12"/>
        <v>0</v>
      </c>
      <c r="M25" s="448">
        <f t="shared" si="13"/>
        <v>0</v>
      </c>
      <c r="N25" s="448">
        <f t="shared" si="14"/>
        <v>0</v>
      </c>
      <c r="O25" s="448">
        <f t="shared" si="15"/>
        <v>0</v>
      </c>
      <c r="P25" s="449">
        <f t="shared" si="16"/>
        <v>0</v>
      </c>
      <c r="Q25" s="447">
        <f t="shared" ca="1" si="17"/>
        <v>6939.1515370370071</v>
      </c>
    </row>
    <row r="26" spans="1:17">
      <c r="A26" s="447" t="s">
        <v>614</v>
      </c>
      <c r="B26" s="448">
        <f t="shared" ca="1" si="2"/>
        <v>17390.908917529341</v>
      </c>
      <c r="C26" s="448">
        <f t="shared" ca="1" si="3"/>
        <v>0</v>
      </c>
      <c r="D26" s="448">
        <f t="shared" si="4"/>
        <v>16931.078379347895</v>
      </c>
      <c r="E26" s="448">
        <f t="shared" si="5"/>
        <v>722.2792020300152</v>
      </c>
      <c r="F26" s="448">
        <f t="shared" si="6"/>
        <v>4522.3888674471409</v>
      </c>
      <c r="G26" s="448">
        <f t="shared" si="7"/>
        <v>0</v>
      </c>
      <c r="H26" s="448">
        <f t="shared" si="8"/>
        <v>0</v>
      </c>
      <c r="I26" s="448">
        <f t="shared" si="9"/>
        <v>0</v>
      </c>
      <c r="J26" s="448">
        <f t="shared" si="10"/>
        <v>32.667931819649716</v>
      </c>
      <c r="K26" s="448">
        <f t="shared" si="11"/>
        <v>0</v>
      </c>
      <c r="L26" s="448">
        <f t="shared" si="12"/>
        <v>0</v>
      </c>
      <c r="M26" s="448">
        <f t="shared" si="13"/>
        <v>0</v>
      </c>
      <c r="N26" s="448">
        <f t="shared" si="14"/>
        <v>0</v>
      </c>
      <c r="O26" s="448">
        <f t="shared" si="15"/>
        <v>0</v>
      </c>
      <c r="P26" s="449">
        <f t="shared" si="16"/>
        <v>0</v>
      </c>
      <c r="Q26" s="447">
        <f t="shared" ca="1" si="17"/>
        <v>39599.323298174044</v>
      </c>
    </row>
    <row r="27" spans="1:17" s="453" customFormat="1">
      <c r="A27" s="451" t="s">
        <v>555</v>
      </c>
      <c r="B27" s="725">
        <f t="shared" ca="1" si="2"/>
        <v>2.5685389418258233</v>
      </c>
      <c r="C27" s="452">
        <f t="shared" ca="1" si="3"/>
        <v>0</v>
      </c>
      <c r="D27" s="452">
        <f t="shared" si="4"/>
        <v>2.7166649156367293</v>
      </c>
      <c r="E27" s="452">
        <f t="shared" si="5"/>
        <v>107.22392559604233</v>
      </c>
      <c r="F27" s="452">
        <f t="shared" si="6"/>
        <v>0</v>
      </c>
      <c r="G27" s="452">
        <f t="shared" si="7"/>
        <v>35346.040731937072</v>
      </c>
      <c r="H27" s="452">
        <f t="shared" si="8"/>
        <v>6060.4198226645731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41518.969684055148</v>
      </c>
    </row>
    <row r="28" spans="1:17">
      <c r="A28" s="447" t="s">
        <v>545</v>
      </c>
      <c r="B28" s="448">
        <f t="shared" ca="1" si="2"/>
        <v>217.69647291407426</v>
      </c>
      <c r="C28" s="448">
        <f t="shared" ca="1" si="3"/>
        <v>0</v>
      </c>
      <c r="D28" s="448">
        <f t="shared" si="4"/>
        <v>0</v>
      </c>
      <c r="E28" s="448">
        <f t="shared" si="5"/>
        <v>0</v>
      </c>
      <c r="F28" s="448">
        <f t="shared" si="6"/>
        <v>0</v>
      </c>
      <c r="G28" s="448">
        <f t="shared" si="7"/>
        <v>755.49622286434374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973.19269577841806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376.63251884652601</v>
      </c>
      <c r="C32" s="448">
        <f t="shared" ca="1" si="3"/>
        <v>0</v>
      </c>
      <c r="D32" s="448">
        <f t="shared" si="4"/>
        <v>1551.8900170836112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1928.5225359301371</v>
      </c>
    </row>
    <row r="33" spans="1:17" s="460" customFormat="1">
      <c r="A33" s="457" t="s">
        <v>549</v>
      </c>
      <c r="B33" s="458">
        <f ca="1">SUM(B22:B32)</f>
        <v>41682.256036414321</v>
      </c>
      <c r="C33" s="458">
        <f t="shared" ref="C33:Q33" ca="1" si="18">SUM(C22:C32)</f>
        <v>598.25949579831945</v>
      </c>
      <c r="D33" s="458">
        <f t="shared" ca="1" si="18"/>
        <v>52225.9716753803</v>
      </c>
      <c r="E33" s="458">
        <f t="shared" si="18"/>
        <v>1793.7261100163871</v>
      </c>
      <c r="F33" s="458">
        <f t="shared" ca="1" si="18"/>
        <v>42584.402274622582</v>
      </c>
      <c r="G33" s="458">
        <f t="shared" si="18"/>
        <v>36101.536954801413</v>
      </c>
      <c r="H33" s="458">
        <f t="shared" si="18"/>
        <v>6060.4198226645731</v>
      </c>
      <c r="I33" s="458">
        <f t="shared" si="18"/>
        <v>0</v>
      </c>
      <c r="J33" s="458">
        <f t="shared" si="18"/>
        <v>1088.757500348313</v>
      </c>
      <c r="K33" s="458">
        <f t="shared" si="18"/>
        <v>0</v>
      </c>
      <c r="L33" s="458">
        <f t="shared" ca="1" si="18"/>
        <v>0</v>
      </c>
      <c r="M33" s="458">
        <f t="shared" si="18"/>
        <v>0</v>
      </c>
      <c r="N33" s="458">
        <f t="shared" ca="1" si="18"/>
        <v>0</v>
      </c>
      <c r="O33" s="458">
        <f t="shared" si="18"/>
        <v>0</v>
      </c>
      <c r="P33" s="458">
        <f t="shared" si="18"/>
        <v>0</v>
      </c>
      <c r="Q33" s="458">
        <f t="shared" ca="1" si="18"/>
        <v>182135.32987004617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22768.282469991787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40.012499999999996</v>
      </c>
      <c r="C8" s="982">
        <f>'SEAP template'!C76</f>
        <v>1762.2</v>
      </c>
      <c r="D8" s="982">
        <f>'SEAP template'!D76</f>
        <v>2073.1764705882351</v>
      </c>
      <c r="E8" s="982">
        <f>'SEAP template'!E76</f>
        <v>0</v>
      </c>
      <c r="F8" s="982">
        <f>'SEAP template'!F76</f>
        <v>0</v>
      </c>
      <c r="G8" s="982">
        <f>'SEAP template'!G76</f>
        <v>0</v>
      </c>
      <c r="H8" s="982">
        <f>'SEAP template'!H76</f>
        <v>0</v>
      </c>
      <c r="I8" s="982">
        <f>'SEAP template'!I76</f>
        <v>0</v>
      </c>
      <c r="J8" s="982">
        <f>'SEAP template'!J76</f>
        <v>47.073529411764703</v>
      </c>
      <c r="K8" s="982">
        <f>'SEAP template'!K76</f>
        <v>0</v>
      </c>
      <c r="L8" s="982">
        <f>'SEAP template'!L76</f>
        <v>0</v>
      </c>
      <c r="M8" s="982">
        <f>'SEAP template'!M76</f>
        <v>0</v>
      </c>
      <c r="N8" s="982">
        <f>'SEAP template'!N76</f>
        <v>0</v>
      </c>
      <c r="O8" s="982">
        <f>'SEAP template'!O76</f>
        <v>0</v>
      </c>
      <c r="P8" s="983">
        <f>'SEAP template'!Q76</f>
        <v>418.78164705882352</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22808.294969991788</v>
      </c>
      <c r="C10" s="986">
        <f>SUM(C4:C9)</f>
        <v>1762.2</v>
      </c>
      <c r="D10" s="986">
        <f t="shared" ref="D10:H10" si="0">SUM(D8:D9)</f>
        <v>2073.1764705882351</v>
      </c>
      <c r="E10" s="986">
        <f t="shared" si="0"/>
        <v>0</v>
      </c>
      <c r="F10" s="986">
        <f t="shared" si="0"/>
        <v>0</v>
      </c>
      <c r="G10" s="986">
        <f t="shared" si="0"/>
        <v>0</v>
      </c>
      <c r="H10" s="986">
        <f t="shared" si="0"/>
        <v>0</v>
      </c>
      <c r="I10" s="986">
        <f>SUM(I8:I9)</f>
        <v>0</v>
      </c>
      <c r="J10" s="986">
        <f>SUM(J8:J9)</f>
        <v>47.073529411764703</v>
      </c>
      <c r="K10" s="986">
        <f t="shared" ref="K10:L10" si="1">SUM(K8:K9)</f>
        <v>0</v>
      </c>
      <c r="L10" s="986">
        <f t="shared" si="1"/>
        <v>0</v>
      </c>
      <c r="M10" s="986">
        <f>SUM(M8:M9)</f>
        <v>0</v>
      </c>
      <c r="N10" s="986">
        <f>SUM(N8:N9)</f>
        <v>0</v>
      </c>
      <c r="O10" s="986">
        <f>SUM(O8:O9)</f>
        <v>0</v>
      </c>
      <c r="P10" s="986">
        <f>SUM(P8:P9)</f>
        <v>418.78164705882352</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0.19728159111423796</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57.160714285714278</v>
      </c>
      <c r="C17" s="988">
        <f>'SEAP template'!C87</f>
        <v>2517.4285714285716</v>
      </c>
      <c r="D17" s="983">
        <f>'SEAP template'!D87</f>
        <v>2961.680672268908</v>
      </c>
      <c r="E17" s="983">
        <f>'SEAP template'!E87</f>
        <v>0</v>
      </c>
      <c r="F17" s="983">
        <f>'SEAP template'!F87</f>
        <v>0</v>
      </c>
      <c r="G17" s="983">
        <f>'SEAP template'!G87</f>
        <v>0</v>
      </c>
      <c r="H17" s="983">
        <f>'SEAP template'!H87</f>
        <v>0</v>
      </c>
      <c r="I17" s="983">
        <f>'SEAP template'!I87</f>
        <v>0</v>
      </c>
      <c r="J17" s="983">
        <f>'SEAP template'!J87</f>
        <v>67.247899159663874</v>
      </c>
      <c r="K17" s="983">
        <f>'SEAP template'!K87</f>
        <v>0</v>
      </c>
      <c r="L17" s="983">
        <f>'SEAP template'!L87</f>
        <v>0</v>
      </c>
      <c r="M17" s="983">
        <f>'SEAP template'!M87</f>
        <v>0</v>
      </c>
      <c r="N17" s="983">
        <f>'SEAP template'!N87</f>
        <v>0</v>
      </c>
      <c r="O17" s="983">
        <f>'SEAP template'!O87</f>
        <v>0</v>
      </c>
      <c r="P17" s="983">
        <f>'SEAP template'!Q87</f>
        <v>598.25949579831945</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57.160714285714278</v>
      </c>
      <c r="C20" s="986">
        <f>SUM(C17:C19)</f>
        <v>2517.4285714285716</v>
      </c>
      <c r="D20" s="986">
        <f t="shared" ref="D20:H20" si="2">SUM(D17:D19)</f>
        <v>2961.680672268908</v>
      </c>
      <c r="E20" s="986">
        <f t="shared" si="2"/>
        <v>0</v>
      </c>
      <c r="F20" s="986">
        <f t="shared" si="2"/>
        <v>0</v>
      </c>
      <c r="G20" s="986">
        <f t="shared" si="2"/>
        <v>0</v>
      </c>
      <c r="H20" s="986">
        <f t="shared" si="2"/>
        <v>0</v>
      </c>
      <c r="I20" s="986">
        <f>SUM(I17:I19)</f>
        <v>0</v>
      </c>
      <c r="J20" s="986">
        <f>SUM(J17:J19)</f>
        <v>67.247899159663874</v>
      </c>
      <c r="K20" s="986">
        <f t="shared" ref="K20:L20" si="3">SUM(K17:K19)</f>
        <v>0</v>
      </c>
      <c r="L20" s="986">
        <f t="shared" si="3"/>
        <v>0</v>
      </c>
      <c r="M20" s="986">
        <f>SUM(M17:M19)</f>
        <v>0</v>
      </c>
      <c r="N20" s="986">
        <f>SUM(N17:N19)</f>
        <v>0</v>
      </c>
      <c r="O20" s="986">
        <f>SUM(O17:O19)</f>
        <v>0</v>
      </c>
      <c r="P20" s="986">
        <f>SUM(P17:P19)</f>
        <v>598.25949579831945</v>
      </c>
    </row>
    <row r="22" spans="1:16">
      <c r="A22" s="461" t="s">
        <v>829</v>
      </c>
      <c r="B22" s="731" t="s">
        <v>823</v>
      </c>
      <c r="C22" s="731">
        <f ca="1">'EF ele_warmte'!B22</f>
        <v>0.23237084808746117</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0.19728159111423796</v>
      </c>
      <c r="C17" s="498">
        <f ca="1">'EF ele_warmte'!B22</f>
        <v>0.23237084808746117</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2022-07-26T12:09:11Z</dcterms:modified>
</cp:coreProperties>
</file>