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218463C-77E1-498B-99F1-93A29E84B7C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<sst xmlns="http://schemas.openxmlformats.org/spreadsheetml/2006/main" count="2446" uniqueCount="911">
  <si>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</si>
  <si>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</si>
  <si>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</si>
  <si>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</si>
  <si>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</si>
  <si>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</si>
  <si>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</si>
  <si>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</si>
  <si>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</si>
  <si>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</si>
  <si>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</si>
  <si>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</si>
  <si>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</si>
  <si>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</si>
  <si>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</si>
  <si>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</si>
  <si>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</si>
  <si>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</si>
  <si>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</si>
  <si>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</si>
  <si>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</si>
  <si>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</si>
  <si>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</si>
  <si>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</si>
  <si>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</si>
  <si>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</si>
  <si>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</si>
  <si>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</si>
  <si>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</si>
  <si>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</si>
  <si>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</si>
  <si>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</si>
  <si>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</si>
  <si>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</si>
  <si>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</si>
  <si>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</si>
  <si>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</si>
  <si>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</si>
  <si>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</si>
  <si>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</si>
  <si>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</si>
  <si>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</si>
  <si>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</si>
  <si>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</si>
  <si>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</si>
  <si>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</si>
  <si>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</si>
  <si>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</si>
  <si>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</si>
  <si>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</si>
  <si>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</si>
  <si>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</si>
  <si>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</si>
  <si>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</si>
  <si>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</si>
  <si>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</si>
  <si>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</si>
  <si>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</si>
  <si>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</si>
  <si>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</si>
  <si>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</si>
  <si>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</si>
  <si>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</si>
  <si>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</si>
  <si>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</si>
  <si>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</si>
  <si>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</si>
  <si>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</si>
  <si>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</si>
  <si>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</si>
  <si>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</si>
  <si>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</si>
  <si>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</si>
  <si>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</si>
  <si>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</si>
  <si>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</si>
  <si>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</si>
  <si>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</si>
  <si>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</si>
  <si>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</si>
  <si>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</si>
  <si>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</si>
  <si>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</si>
  <si>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</si>
  <si>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</si>
  <si>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</si>
  <si>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</si>
  <si>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</si>
  <si>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</si>
  <si>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</si>
  <si>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</si>
  <si>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</si>
  <si>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</si>
  <si>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</si>
  <si>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</si>
  <si>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</si>
  <si>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</si>
  <si>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</si>
  <si>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</si>
  <si>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</si>
  <si>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</si>
  <si>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</si>
  <si>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</si>
  <si>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</si>
  <si>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</si>
  <si>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</si>
  <si>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</si>
  <si>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</si>
  <si>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</si>
  <si>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</si>
  <si>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</si>
  <si>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</si>
  <si>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</si>
  <si>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</si>
  <si>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</si>
  <si>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</si>
  <si>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</si>
  <si>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</si>
  <si>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</si>
  <si>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</si>
  <si>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</si>
  <si>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</si>
  <si>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</si>
  <si>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</si>
  <si>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</si>
  <si>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</si>
  <si>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</si>
  <si>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</si>
  <si>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</si>
  <si>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</si>
  <si>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</si>
  <si>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</si>
  <si>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</si>
  <si>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</si>
  <si>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</si>
  <si>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</si>
  <si>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</si>
  <si>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</si>
  <si>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</si>
  <si>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</si>
  <si>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</si>
  <si>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</si>
  <si>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</si>
  <si>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</si>
  <si>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</si>
  <si>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</si>
  <si>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</si>
  <si>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</si>
  <si>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</si>
  <si>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</si>
  <si>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</si>
  <si>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</si>
  <si>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</si>
  <si>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</si>
  <si>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</si>
  <si>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</si>
  <si>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</si>
  <si>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</si>
  <si>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</si>
  <si>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</si>
  <si>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</si>
  <si>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</si>
  <si>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</si>
  <si>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</si>
  <si>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</si>
  <si>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</si>
  <si>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</si>
  <si>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</si>
  <si>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</si>
  <si>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</si>
  <si>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</si>
  <si>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</si>
  <si>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</si>
  <si>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</si>
  <si>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</si>
  <si>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</si>
  <si>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</si>
  <si>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</si>
  <si>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</si>
  <si>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</si>
  <si>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</si>
  <si>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</si>
  <si>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</si>
  <si>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</si>
  <si>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</si>
  <si>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</si>
  <si>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</si>
  <si>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</si>
  <si>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</si>
  <si>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</si>
  <si>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</si>
  <si>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</si>
  <si>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</si>
  <si>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</si>
  <si>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</si>
  <si>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</si>
  <si>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</si>
  <si>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</si>
  <si>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</si>
  <si>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</si>
  <si>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</si>
  <si>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</si>
  <si>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</si>
  <si>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</si>
  <si>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</si>
  <si>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</si>
  <si>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</si>
  <si>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</si>
  <si>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</si>
  <si>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</si>
  <si>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</si>
  <si>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</si>
  <si>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</si>
  <si>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</si>
  <si>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</si>
  <si>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</si>
  <si>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</si>
  <si>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</si>
  <si>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</si>
  <si>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</si>
  <si>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</si>
  <si>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</si>
  <si>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</si>
  <si>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</si>
  <si>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</si>
  <si>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</si>
  <si>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</si>
  <si>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</si>
  <si>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</si>
  <si>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</si>
  <si>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</si>
  <si>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</si>
  <si>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</si>
  <si>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</si>
  <si>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</si>
  <si>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</si>
  <si>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</si>
  <si>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</si>
  <si>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</si>
  <si>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</si>
  <si>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</si>
  <si>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</si>
  <si>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</si>
  <si>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</si>
  <si>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</si>
  <si>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</si>
  <si>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</si>
  <si>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</si>
  <si>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</si>
  <si>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</si>
  <si>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</si>
  <si>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</si>
  <si>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</si>
  <si>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</si>
  <si>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</si>
  <si>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</si>
  <si>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</si>
  <si>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</si>
  <si>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</si>
  <si>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</si>
  <si>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</si>
  <si>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</si>
  <si>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</si>
  <si>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</si>
  <si>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</si>
  <si>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</si>
  <si>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</si>
  <si>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</si>
  <si>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</si>
  <si>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</si>
  <si>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</si>
  <si>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</si>
  <si>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</si>
  <si>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</si>
  <si>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</si>
  <si>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</si>
  <si>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</si>
  <si>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</si>
  <si>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</si>
  <si>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</si>
  <si>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</si>
  <si>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</si>
  <si>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</si>
  <si>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</si>
  <si>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</si>
  <si>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</si>
  <si>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</si>
  <si>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</si>
  <si>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</si>
  <si>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</si>
  <si>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</si>
  <si>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</si>
  <si>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</si>
  <si>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</si>
  <si>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</si>
  <si>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</si>
  <si>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</si>
  <si>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</si>
  <si>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</si>
  <si>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</si>
  <si>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</si>
  <si>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</si>
  <si>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</si>
  <si>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</si>
  <si>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</si>
  <si>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</si>
  <si>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</si>
  <si>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</si>
  <si>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</si>
  <si>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</si>
  <si>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</si>
  <si>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</si>
  <si>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</si>
  <si>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</si>
  <si>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</si>
  <si>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</si>
  <si>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</si>
  <si>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</si>
  <si>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</si>
  <si>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</si>
  <si>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</si>
  <si>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</si>
  <si>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</si>
  <si>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</si>
  <si>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</si>
  <si>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</si>
  <si>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</si>
  <si>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</si>
  <si>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</si>
  <si>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</si>
  <si>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</si>
  <si>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</si>
  <si>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</si>
  <si>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</si>
  <si>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</si>
  <si>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</si>
  <si>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</si>
  <si>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</si>
  <si>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</si>
  <si>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</si>
  <si>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</si>
  <si>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</si>
  <si>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</si>
  <si>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</si>
  <si>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</si>
  <si>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</si>
  <si>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</si>
  <si>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</si>
  <si>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</si>
  <si>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</si>
  <si>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</si>
  <si>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</si>
  <si>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</si>
  <si>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</si>
  <si>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</si>
  <si>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</si>
  <si>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</si>
  <si>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</si>
  <si>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</si>
  <si>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</si>
  <si>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</si>
  <si>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</si>
  <si>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</si>
  <si>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</si>
  <si>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</si>
  <si>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</si>
  <si>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</si>
  <si>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</si>
  <si>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</si>
  <si>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</si>
  <si>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</si>
  <si>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</si>
  <si>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</si>
  <si>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</si>
  <si>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</si>
  <si>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</si>
  <si>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</si>
  <si>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</si>
  <si>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</si>
  <si>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</si>
  <si>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</si>
  <si>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</si>
  <si>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</si>
  <si>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</si>
  <si>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</si>
  <si>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</si>
  <si>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</si>
  <si>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</si>
  <si>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</si>
  <si>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</si>
  <si>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</si>
  <si>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</si>
  <si>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</si>
  <si>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</si>
  <si>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</si>
  <si>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</si>
  <si>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</si>
  <si>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</si>
  <si>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</si>
  <si>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</si>
  <si>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</si>
  <si>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</si>
  <si>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</si>
  <si>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</si>
  <si>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</si>
  <si>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</si>
  <si>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</si>
  <si>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</si>
  <si>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</si>
  <si>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</si>
  <si>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</si>
  <si>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</si>
  <si>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</si>
  <si>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</si>
  <si>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</si>
  <si>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</si>
  <si>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</si>
  <si>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</si>
  <si>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</si>
  <si>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</si>
  <si>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</si>
  <si>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</si>
  <si>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</si>
  <si>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</si>
  <si>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</si>
  <si>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</si>
  <si>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</si>
  <si>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</si>
  <si>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</si>
  <si>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</si>
  <si>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</si>
  <si>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</si>
  <si>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</si>
  <si>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</si>
  <si>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</si>
  <si>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</si>
  <si>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</si>
  <si>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</si>
  <si>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</si>
  <si>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</si>
  <si>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</si>
  <si>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</si>
  <si>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</si>
  <si>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</si>
  <si>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</si>
  <si>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</si>
  <si>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</si>
  <si>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</si>
  <si>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</si>
  <si>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</si>
  <si>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</si>
  <si>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</si>
  <si>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</si>
  <si>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</si>
  <si>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</si>
  <si>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</si>
  <si>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</si>
  <si>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</si>
  <si>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</si>
  <si>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</si>
  <si>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</si>
  <si>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</si>
  <si>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</si>
  <si>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</si>
  <si>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</si>
  <si>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</si>
  <si>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</si>
  <si>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</si>
  <si>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</si>
  <si>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</si>
  <si>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</si>
  <si>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</si>
  <si>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</si>
  <si>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</si>
  <si>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</si>
  <si>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</si>
  <si>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</si>
  <si>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</si>
  <si>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</si>
  <si>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</si>
  <si>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</si>
  <si>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</si>
  <si>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</si>
  <si>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</si>
  <si>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</si>
  <si>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</si>
  <si>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</si>
  <si>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</si>
  <si>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</si>
  <si>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</si>
  <si>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</si>
  <si>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</si>
  <si>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</si>
  <si>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</si>
  <si>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</si>
  <si>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</si>
  <si>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</si>
  <si>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</si>
  <si>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</si>
  <si>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</si>
  <si>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</si>
  <si>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</si>
  <si>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</si>
  <si>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</si>
  <si>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</si>
  <si>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</si>
  <si>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</si>
  <si>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</si>
  <si>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</si>
  <si>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</si>
  <si>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</si>
  <si>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</si>
  <si>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</si>
  <si>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</si>
  <si>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</si>
  <si>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</si>
  <si>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</si>
  <si>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</si>
  <si>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</si>
  <si>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</si>
  <si>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</si>
  <si>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</si>
  <si>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</si>
  <si>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</si>
  <si>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</si>
  <si>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</si>
  <si>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</si>
  <si>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</si>
  <si>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</si>
  <si>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</si>
  <si>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</si>
  <si>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</si>
  <si>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</si>
  <si>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</si>
  <si>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</si>
  <si>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</si>
  <si>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</si>
  <si>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</si>
  <si>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</si>
  <si>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</si>
  <si>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</si>
  <si>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</si>
  <si>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</si>
  <si>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</si>
  <si>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</si>
  <si>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</si>
  <si>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</si>
  <si>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</si>
  <si>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</si>
  <si>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</si>
  <si>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</si>
  <si>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</si>
  <si>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</si>
  <si>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</si>
  <si>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</si>
  <si>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</si>
  <si>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</si>
  <si>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</si>
  <si>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</si>
  <si>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</si>
  <si>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</si>
  <si>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</si>
  <si>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</si>
  <si>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</si>
  <si>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</si>
  <si>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</si>
  <si>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</si>
  <si>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</si>
  <si>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</si>
  <si>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</si>
  <si>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</si>
  <si>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</si>
  <si>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</si>
  <si>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</si>
  <si>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</si>
  <si>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</si>
  <si>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</si>
  <si>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</si>
  <si>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</si>
  <si>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</si>
  <si>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</si>
  <si>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</si>
  <si>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</si>
  <si>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</si>
  <si>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</si>
  <si>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</si>
  <si>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</si>
  <si>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</si>
  <si>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</si>
  <si>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</si>
  <si>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</si>
  <si>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</si>
  <si>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</si>
  <si>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</si>
  <si>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</si>
  <si>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</si>
  <si>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</si>
  <si>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</si>
  <si>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</si>
  <si>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</si>
  <si>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</si>
  <si>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</si>
  <si>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</si>
  <si>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</si>
  <si>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</si>
  <si>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</si>
  <si>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</si>
  <si>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</si>
  <si>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</si>
  <si>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</si>
  <si>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</si>
  <si>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</si>
  <si>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</si>
  <si>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</si>
  <si>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</si>
  <si>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</si>
  <si>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</si>
  <si>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</si>
  <si>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</si>
  <si>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</si>
  <si>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</si>
  <si>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</si>
  <si>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</si>
  <si>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</si>
  <si>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</si>
  <si>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</si>
  <si>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</si>
  <si>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</si>
  <si>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</si>
  <si>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</si>
  <si>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</si>
  <si>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</si>
  <si>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</si>
  <si>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</si>
  <si>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</si>
  <si>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</si>
  <si>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</si>
  <si>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</si>
  <si>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</si>
  <si>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</si>
  <si>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</si>
  <si>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</si>
  <si>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</si>
  <si>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</si>
  <si>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</si>
  <si>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</si>
  <si>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</si>
  <si>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</si>
  <si>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</si>
  <si>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</si>
  <si>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</si>
  <si>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</si>
  <si>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</si>
  <si>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</si>
  <si>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</si>
  <si>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</si>
  <si>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</si>
  <si>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</si>
  <si>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</si>
  <si>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</si>
  <si>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</si>
  <si>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</si>
  <si>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</si>
  <si>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</si>
  <si>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</si>
  <si>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</si>
  <si>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</si>
  <si>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</si>
  <si>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</si>
  <si>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</si>
  <si>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</si>
  <si>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</si>
  <si>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</si>
  <si>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</si>
  <si>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</si>
  <si>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</si>
  <si>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</si>
  <si>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</si>
  <si>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</si>
  <si>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</si>
  <si>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</si>
  <si>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</si>
  <si>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</si>
  <si>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</si>
  <si>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</si>
  <si>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</si>
  <si>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</si>
  <si>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</si>
  <si>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</si>
  <si>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</si>
  <si>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</si>
  <si>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</si>
  <si>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</si>
  <si>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</si>
  <si>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</si>
  <si>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</si>
  <si>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</si>
  <si>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</si>
  <si>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</si>
  <si>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</si>
  <si>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</si>
  <si>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</si>
  <si>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</si>
  <si>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</si>
  <si>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</si>
  <si>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</si>
  <si>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</si>
  <si>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</si>
  <si>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</si>
  <si>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</si>
  <si>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</si>
  <si>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</si>
  <si>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</si>
  <si>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</si>
  <si>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</si>
  <si>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</si>
  <si>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</si>
  <si>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</si>
  <si>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</si>
  <si>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</si>
  <si>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</si>
  <si>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</si>
  <si>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</si>
  <si>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</si>
  <si>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</si>
  <si>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</si>
  <si>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</si>
  <si>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</si>
  <si>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</si>
  <si>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</si>
  <si>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</si>
  <si>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</si>
  <si>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</si>
  <si>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</si>
  <si>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</si>
  <si>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</si>
  <si>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</si>
  <si>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</si>
  <si>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</si>
  <si>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</si>
  <si>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</si>
  <si>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</si>
  <si>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</si>
  <si>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</si>
  <si>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</si>
  <si>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</si>
  <si>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</si>
  <si>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</si>
  <si>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</si>
  <si>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</si>
  <si>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</si>
  <si>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</si>
  <si>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</si>
  <si>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</si>
  <si>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</si>
  <si>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</si>
  <si>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</si>
  <si>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</si>
  <si>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</si>
  <si>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</si>
  <si>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</si>
  <si>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</si>
  <si>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</si>
  <si>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</si>
  <si>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</si>
  <si>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</si>
  <si>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</si>
  <si>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</si>
  <si>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</si>
  <si>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</si>
  <si>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</si>
  <si>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</si>
  <si>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</si>
  <si>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</si>
  <si>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</si>
  <si>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</si>
  <si>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</si>
  <si>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</si>
  <si>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</si>
  <si>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</si>
  <si>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</si>
  <si>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</si>
  <si>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</si>
  <si>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</si>
  <si>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</si>
  <si>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</si>
  <si>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</si>
  <si>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</si>
  <si>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</si>
  <si>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</si>
  <si>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</si>
  <si>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</si>
  <si>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</si>
  <si>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</si>
  <si>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</si>
  <si>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</si>
  <si>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</si>
  <si>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</si>
  <si>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</si>
  <si>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</si>
  <si>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</si>
  <si>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</si>
  <si>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</si>
  <si>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</si>
  <si>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</si>
  <si>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</si>
  <si>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</si>
  <si>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</si>
  <si>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</si>
  <si>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</si>
  <si>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</si>
  <si>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</si>
  <si>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</si>
  <si>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</si>
  <si>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</si>
  <si>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</si>
  <si>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</si>
  <si>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</si>
  <si>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</si>
  <si>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</si>
  <si>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</si>
  <si>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</si>
  <si>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</si>
  <si>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</si>
  <si>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</si>
  <si>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</si>
  <si>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</si>
  <si>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</si>
  <si>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</si>
  <si>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</si>
  <si>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</si>
  <si>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</si>
  <si>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</si>
  <si>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</si>
  <si>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</si>
  <si>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</si>
  <si>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</si>
  <si>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</si>
  <si>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</si>
  <si>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</si>
  <si>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</si>
  <si>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</si>
  <si>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</si>
  <si>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</si>
  <si>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</si>
  <si>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</si>
  <si>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</si>
  <si>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</si>
  <si>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</si>
  <si>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</si>
  <si>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</si>
  <si>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</si>
  <si>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</si>
  <si>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</si>
  <si>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</si>
  <si>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</si>
  <si>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</si>
  <si>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</si>
  <si>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</si>
  <si>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</si>
  <si>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</si>
  <si>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</si>
  <si>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</si>
  <si>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</si>
  <si>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</si>
  <si>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</si>
  <si>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</si>
  <si>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</si>
  <si>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</si>
  <si>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</si>
  <si>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</si>
  <si>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</si>
  <si>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</si>
  <si>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</si>
  <si>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</si>
  <si>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</si>
  <si>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</si>
  <si>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</si>
  <si>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</si>
  <si>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</si>
  <si>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</si>
  <si>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</si>
  <si>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</si>
  <si>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</si>
  <si>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</si>
  <si>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</si>
  <si>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</si>
  <si>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</si>
  <si>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</si>
  <si>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</si>
  <si>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</si>
  <si>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</si>
  <si>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</si>
  <si>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</si>
  <si>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</si>
  <si>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</si>
  <si>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</si>
  <si>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</si>
  <si>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</si>
  <si>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</si>
  <si>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</si>
  <si>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</si>
  <si>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41081</t>
  </si>
  <si>
    <t>ZOTTEGEM</t>
  </si>
  <si>
    <t>Cultuurgrond (ha)</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</si>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</sst>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DA55988-C059-48B0-993D-0C0636B4B56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266665.89273081452</c:v>
                </c:pt>
                <c:pt idx="1">
                  <c:v>84191.253149068361</c:v>
                </c:pt>
                <c:pt idx="2">
                  <c:v>1838.4649999999999</c:v>
                </c:pt>
                <c:pt idx="3">
                  <c:v>5086.2800314996566</c:v>
                </c:pt>
                <c:pt idx="4">
                  <c:v>69009.889564640747</c:v>
                </c:pt>
                <c:pt idx="5">
                  <c:v>122685.47131356667</c:v>
                </c:pt>
                <c:pt idx="6">
                  <c:v>2292.3059850010304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266665.89273081452</c:v>
                </c:pt>
                <c:pt idx="1">
                  <c:v>84191.253149068361</c:v>
                </c:pt>
                <c:pt idx="2">
                  <c:v>1838.4649999999999</c:v>
                </c:pt>
                <c:pt idx="3">
                  <c:v>5086.2800314996566</c:v>
                </c:pt>
                <c:pt idx="4">
                  <c:v>69009.889564640747</c:v>
                </c:pt>
                <c:pt idx="5">
                  <c:v>122685.47131356667</c:v>
                </c:pt>
                <c:pt idx="6">
                  <c:v>2292.3059850010304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57622.733902970445</c:v>
                </c:pt>
                <c:pt idx="2">
                  <c:v>17368.439515229315</c:v>
                </c:pt>
                <c:pt idx="3">
                  <c:v>385.55399690703672</c:v>
                </c:pt>
                <c:pt idx="4">
                  <c:v>1297.0226707379577</c:v>
                </c:pt>
                <c:pt idx="5">
                  <c:v>15001.814069015049</c:v>
                </c:pt>
                <c:pt idx="6">
                  <c:v>30989.982346930803</c:v>
                </c:pt>
                <c:pt idx="7">
                  <c:v>585.26488002028543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57622.733902970445</c:v>
                </c:pt>
                <c:pt idx="2">
                  <c:v>17368.439515229315</c:v>
                </c:pt>
                <c:pt idx="3">
                  <c:v>385.55399690703672</c:v>
                </c:pt>
                <c:pt idx="4">
                  <c:v>1297.0226707379577</c:v>
                </c:pt>
                <c:pt idx="5">
                  <c:v>15001.814069015049</c:v>
                </c:pt>
                <c:pt idx="6">
                  <c:v>30989.982346930803</c:v>
                </c:pt>
                <c:pt idx="7">
                  <c:v>585.26488002028543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41081</v>
      </c>
      <c r="B6" s="385"/>
      <c r="C6" s="386"/>
    </row>
    <row r="7" spans="1:7" s="383" customFormat="1" ht="15.75" customHeight="1">
      <c r="A7" s="387" t="str">
        <f>txtMunicipality</f>
        <v>ZOTTEGEM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0.20971516830999595</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0.20971516830999595</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11146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3162</v>
      </c>
      <c r="C14" s="327"/>
      <c r="D14" s="327"/>
      <c r="E14" s="327"/>
      <c r="F14" s="327"/>
    </row>
    <row r="15" spans="1:6">
      <c r="A15" s="1258" t="s">
        <v>177</v>
      </c>
      <c r="B15" s="1259">
        <v>23</v>
      </c>
      <c r="C15" s="327"/>
      <c r="D15" s="327"/>
      <c r="E15" s="327"/>
      <c r="F15" s="327"/>
    </row>
    <row r="16" spans="1:6">
      <c r="A16" s="1258" t="s">
        <v>6</v>
      </c>
      <c r="B16" s="1259">
        <v>816</v>
      </c>
      <c r="C16" s="327"/>
      <c r="D16" s="327"/>
      <c r="E16" s="327"/>
      <c r="F16" s="327"/>
    </row>
    <row r="17" spans="1:6">
      <c r="A17" s="1258" t="s">
        <v>7</v>
      </c>
      <c r="B17" s="1259">
        <v>675</v>
      </c>
      <c r="C17" s="327"/>
      <c r="D17" s="327"/>
      <c r="E17" s="327"/>
      <c r="F17" s="327"/>
    </row>
    <row r="18" spans="1:6">
      <c r="A18" s="1258" t="s">
        <v>8</v>
      </c>
      <c r="B18" s="1259">
        <v>1015</v>
      </c>
      <c r="C18" s="327"/>
      <c r="D18" s="327"/>
      <c r="E18" s="327"/>
      <c r="F18" s="327"/>
    </row>
    <row r="19" spans="1:6">
      <c r="A19" s="1258" t="s">
        <v>9</v>
      </c>
      <c r="B19" s="1259">
        <v>938</v>
      </c>
      <c r="C19" s="327"/>
      <c r="D19" s="327"/>
      <c r="E19" s="327"/>
      <c r="F19" s="327"/>
    </row>
    <row r="20" spans="1:6">
      <c r="A20" s="1258" t="s">
        <v>10</v>
      </c>
      <c r="B20" s="1259">
        <v>874</v>
      </c>
      <c r="C20" s="327"/>
      <c r="D20" s="327"/>
      <c r="E20" s="327"/>
      <c r="F20" s="327"/>
    </row>
    <row r="21" spans="1:6">
      <c r="A21" s="1258" t="s">
        <v>11</v>
      </c>
      <c r="B21" s="1259">
        <v>0</v>
      </c>
      <c r="C21" s="327"/>
      <c r="D21" s="327"/>
      <c r="E21" s="327"/>
      <c r="F21" s="327"/>
    </row>
    <row r="22" spans="1:6">
      <c r="A22" s="1258" t="s">
        <v>12</v>
      </c>
      <c r="B22" s="1259">
        <v>88</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234</v>
      </c>
      <c r="C29" s="327"/>
      <c r="D29" s="327"/>
      <c r="E29" s="327"/>
      <c r="F29" s="327"/>
    </row>
    <row r="30" spans="1:6">
      <c r="A30" s="1253" t="s">
        <v>906</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6819.1346038815</v>
      </c>
    </row>
    <row r="39" spans="1:6">
      <c r="A39" s="1258" t="s">
        <v>29</v>
      </c>
      <c r="B39" s="1258" t="s">
        <v>30</v>
      </c>
      <c r="C39" s="1259">
        <v>5340</v>
      </c>
      <c r="D39" s="1259">
        <v>91663815.310037002</v>
      </c>
      <c r="E39" s="1259">
        <v>11168</v>
      </c>
      <c r="F39" s="1259">
        <v>49134693.819428802</v>
      </c>
    </row>
    <row r="40" spans="1:6">
      <c r="A40" s="1258" t="s">
        <v>29</v>
      </c>
      <c r="B40" s="1258" t="s">
        <v>28</v>
      </c>
      <c r="C40" s="1259">
        <v>0</v>
      </c>
      <c r="D40" s="1259">
        <v>0</v>
      </c>
      <c r="E40" s="1259">
        <v>1</v>
      </c>
      <c r="F40" s="1259">
        <v>26594.933073933102</v>
      </c>
    </row>
    <row r="41" spans="1:6">
      <c r="A41" s="1258" t="s">
        <v>31</v>
      </c>
      <c r="B41" s="1258" t="s">
        <v>32</v>
      </c>
      <c r="C41" s="1259">
        <v>62</v>
      </c>
      <c r="D41" s="1259">
        <v>1399044.7705093001</v>
      </c>
      <c r="E41" s="1259">
        <v>210</v>
      </c>
      <c r="F41" s="1259">
        <v>17549580.2626682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15</v>
      </c>
      <c r="F44" s="1259">
        <v>279237.39330911898</v>
      </c>
    </row>
    <row r="45" spans="1:6">
      <c r="A45" s="1258" t="s">
        <v>31</v>
      </c>
      <c r="B45" s="1258" t="s">
        <v>36</v>
      </c>
      <c r="C45" s="1259">
        <v>0</v>
      </c>
      <c r="D45" s="1259">
        <v>0</v>
      </c>
      <c r="E45" s="1259">
        <v>15</v>
      </c>
      <c r="F45" s="1259">
        <v>241930.87261827101</v>
      </c>
    </row>
    <row r="46" spans="1:6">
      <c r="A46" s="1258" t="s">
        <v>31</v>
      </c>
      <c r="B46" s="1258" t="s">
        <v>37</v>
      </c>
      <c r="C46" s="1259">
        <v>0</v>
      </c>
      <c r="D46" s="1259">
        <v>0</v>
      </c>
      <c r="E46" s="1259">
        <v>0</v>
      </c>
      <c r="F46" s="1259">
        <v>0</v>
      </c>
    </row>
    <row r="47" spans="1:6">
      <c r="A47" s="1258" t="s">
        <v>31</v>
      </c>
      <c r="B47" s="1258" t="s">
        <v>38</v>
      </c>
      <c r="C47" s="1259">
        <v>3</v>
      </c>
      <c r="D47" s="1259">
        <v>821362.34859278705</v>
      </c>
      <c r="E47" s="1259">
        <v>0</v>
      </c>
      <c r="F47" s="1259">
        <v>0</v>
      </c>
    </row>
    <row r="48" spans="1:6">
      <c r="A48" s="1258" t="s">
        <v>31</v>
      </c>
      <c r="B48" s="1258" t="s">
        <v>28</v>
      </c>
      <c r="C48" s="1259">
        <v>32</v>
      </c>
      <c r="D48" s="1259">
        <v>5679805.5998160299</v>
      </c>
      <c r="E48" s="1259">
        <v>36</v>
      </c>
      <c r="F48" s="1259">
        <v>8573642.7226098496</v>
      </c>
    </row>
    <row r="49" spans="1:6">
      <c r="A49" s="1258" t="s">
        <v>31</v>
      </c>
      <c r="B49" s="1258" t="s">
        <v>39</v>
      </c>
      <c r="C49" s="1259">
        <v>0</v>
      </c>
      <c r="D49" s="1259">
        <v>0</v>
      </c>
      <c r="E49" s="1259">
        <v>4</v>
      </c>
      <c r="F49" s="1259">
        <v>63381.1321667257</v>
      </c>
    </row>
    <row r="50" spans="1:6">
      <c r="A50" s="1258" t="s">
        <v>31</v>
      </c>
      <c r="B50" s="1258" t="s">
        <v>40</v>
      </c>
      <c r="C50" s="1259">
        <v>19</v>
      </c>
      <c r="D50" s="1259">
        <v>2175177.0603910801</v>
      </c>
      <c r="E50" s="1259">
        <v>28</v>
      </c>
      <c r="F50" s="1259">
        <v>4253479.4067982696</v>
      </c>
    </row>
    <row r="51" spans="1:6">
      <c r="A51" s="1258" t="s">
        <v>41</v>
      </c>
      <c r="B51" s="1258" t="s">
        <v>42</v>
      </c>
      <c r="C51" s="1259">
        <v>8</v>
      </c>
      <c r="D51" s="1259">
        <v>118931.94733193501</v>
      </c>
      <c r="E51" s="1259">
        <v>88</v>
      </c>
      <c r="F51" s="1259">
        <v>950401.81831068802</v>
      </c>
    </row>
    <row r="52" spans="1:6">
      <c r="A52" s="1258" t="s">
        <v>41</v>
      </c>
      <c r="B52" s="1258" t="s">
        <v>28</v>
      </c>
      <c r="C52" s="1259">
        <v>3</v>
      </c>
      <c r="D52" s="1259">
        <v>55000.520090726597</v>
      </c>
      <c r="E52" s="1259">
        <v>8</v>
      </c>
      <c r="F52" s="1259">
        <v>105259.37442738601</v>
      </c>
    </row>
    <row r="53" spans="1:6">
      <c r="A53" s="1258" t="s">
        <v>43</v>
      </c>
      <c r="B53" s="1258" t="s">
        <v>44</v>
      </c>
      <c r="C53" s="1259">
        <v>141</v>
      </c>
      <c r="D53" s="1259">
        <v>6056953.5155484704</v>
      </c>
      <c r="E53" s="1259">
        <v>388</v>
      </c>
      <c r="F53" s="1259">
        <v>1911766.00883105</v>
      </c>
    </row>
    <row r="54" spans="1:6">
      <c r="A54" s="1258" t="s">
        <v>45</v>
      </c>
      <c r="B54" s="1258" t="s">
        <v>46</v>
      </c>
      <c r="C54" s="1259">
        <v>0</v>
      </c>
      <c r="D54" s="1259">
        <v>0</v>
      </c>
      <c r="E54" s="1259">
        <v>1</v>
      </c>
      <c r="F54" s="1259">
        <v>1838465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49</v>
      </c>
      <c r="D57" s="1259">
        <v>3629195.6365889101</v>
      </c>
      <c r="E57" s="1259">
        <v>126</v>
      </c>
      <c r="F57" s="1259">
        <v>1970527.5715966001</v>
      </c>
    </row>
    <row r="58" spans="1:6">
      <c r="A58" s="1258" t="s">
        <v>48</v>
      </c>
      <c r="B58" s="1258" t="s">
        <v>50</v>
      </c>
      <c r="C58" s="1259">
        <v>19</v>
      </c>
      <c r="D58" s="1259">
        <v>13541022.239558</v>
      </c>
      <c r="E58" s="1259">
        <v>54</v>
      </c>
      <c r="F58" s="1259">
        <v>8772060.0123122092</v>
      </c>
    </row>
    <row r="59" spans="1:6">
      <c r="A59" s="1258" t="s">
        <v>48</v>
      </c>
      <c r="B59" s="1258" t="s">
        <v>51</v>
      </c>
      <c r="C59" s="1259">
        <v>141</v>
      </c>
      <c r="D59" s="1259">
        <v>7407648.6153607098</v>
      </c>
      <c r="E59" s="1259">
        <v>355</v>
      </c>
      <c r="F59" s="1259">
        <v>13785544.4909999</v>
      </c>
    </row>
    <row r="60" spans="1:6">
      <c r="A60" s="1258" t="s">
        <v>48</v>
      </c>
      <c r="B60" s="1258" t="s">
        <v>52</v>
      </c>
      <c r="C60" s="1259">
        <v>83</v>
      </c>
      <c r="D60" s="1259">
        <v>3957619.3715214198</v>
      </c>
      <c r="E60" s="1259">
        <v>133</v>
      </c>
      <c r="F60" s="1259">
        <v>2796007.11392185</v>
      </c>
    </row>
    <row r="61" spans="1:6">
      <c r="A61" s="1258" t="s">
        <v>48</v>
      </c>
      <c r="B61" s="1258" t="s">
        <v>53</v>
      </c>
      <c r="C61" s="1259">
        <v>159</v>
      </c>
      <c r="D61" s="1259">
        <v>9928757.4606652409</v>
      </c>
      <c r="E61" s="1259">
        <v>419</v>
      </c>
      <c r="F61" s="1259">
        <v>5199250.4135482404</v>
      </c>
    </row>
    <row r="62" spans="1:6">
      <c r="A62" s="1258" t="s">
        <v>48</v>
      </c>
      <c r="B62" s="1258" t="s">
        <v>54</v>
      </c>
      <c r="C62" s="1259">
        <v>13</v>
      </c>
      <c r="D62" s="1259">
        <v>3797692.5938186999</v>
      </c>
      <c r="E62" s="1259">
        <v>22</v>
      </c>
      <c r="F62" s="1259">
        <v>857143.69233760599</v>
      </c>
    </row>
    <row r="63" spans="1:6">
      <c r="A63" s="1258" t="s">
        <v>48</v>
      </c>
      <c r="B63" s="1258" t="s">
        <v>28</v>
      </c>
      <c r="C63" s="1259">
        <v>100</v>
      </c>
      <c r="D63" s="1259">
        <v>5844999.8541225903</v>
      </c>
      <c r="E63" s="1259">
        <v>110</v>
      </c>
      <c r="F63" s="1259">
        <v>1961282.4297535301</v>
      </c>
    </row>
    <row r="64" spans="1:6">
      <c r="A64" s="1258" t="s">
        <v>55</v>
      </c>
      <c r="B64" s="1258" t="s">
        <v>56</v>
      </c>
      <c r="C64" s="1259">
        <v>0</v>
      </c>
      <c r="D64" s="1259">
        <v>0</v>
      </c>
      <c r="E64" s="1259">
        <v>0</v>
      </c>
      <c r="F64" s="1259">
        <v>0</v>
      </c>
    </row>
    <row r="65" spans="1:6">
      <c r="A65" s="1258" t="s">
        <v>55</v>
      </c>
      <c r="B65" s="1258" t="s">
        <v>28</v>
      </c>
      <c r="C65" s="1259">
        <v>2</v>
      </c>
      <c r="D65" s="1259">
        <v>58877.064101244403</v>
      </c>
      <c r="E65" s="1259">
        <v>3</v>
      </c>
      <c r="F65" s="1259">
        <v>18363.2674955906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105207.992140306</v>
      </c>
      <c r="E68" s="1261">
        <v>9</v>
      </c>
      <c r="F68" s="1261">
        <v>30359.689273797001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89738676</v>
      </c>
      <c r="E73" s="446"/>
      <c r="F73" s="327"/>
    </row>
    <row r="74" spans="1:6">
      <c r="A74" s="1258" t="s">
        <v>63</v>
      </c>
      <c r="B74" s="1258" t="s">
        <v>681</v>
      </c>
      <c r="C74" s="1271" t="s">
        <v>682</v>
      </c>
      <c r="D74" s="1259">
        <v>8143281.2132285796</v>
      </c>
      <c r="E74" s="446"/>
      <c r="F74" s="327"/>
    </row>
    <row r="75" spans="1:6">
      <c r="A75" s="1258" t="s">
        <v>64</v>
      </c>
      <c r="B75" s="1258" t="s">
        <v>679</v>
      </c>
      <c r="C75" s="1271" t="s">
        <v>683</v>
      </c>
      <c r="D75" s="1259">
        <v>42362494</v>
      </c>
      <c r="E75" s="446"/>
      <c r="F75" s="327"/>
    </row>
    <row r="76" spans="1:6">
      <c r="A76" s="1258" t="s">
        <v>64</v>
      </c>
      <c r="B76" s="1258" t="s">
        <v>681</v>
      </c>
      <c r="C76" s="1271" t="s">
        <v>684</v>
      </c>
      <c r="D76" s="1259">
        <v>1789085.2132285791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606705.57354284171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7.7452914798206276</v>
      </c>
      <c r="C89" s="327"/>
      <c r="D89" s="327"/>
      <c r="E89" s="327"/>
      <c r="F89" s="327"/>
    </row>
    <row r="90" spans="1:6">
      <c r="A90" s="1258" t="s">
        <v>543</v>
      </c>
      <c r="B90" s="1259">
        <v>0</v>
      </c>
      <c r="C90" s="327"/>
      <c r="D90" s="327"/>
      <c r="E90" s="327"/>
      <c r="F90" s="327"/>
    </row>
    <row r="91" spans="1:6">
      <c r="A91" s="1258" t="s">
        <v>67</v>
      </c>
      <c r="B91" s="1259">
        <v>3914.8862107871187</v>
      </c>
      <c r="C91" s="327"/>
      <c r="D91" s="327"/>
      <c r="E91" s="327"/>
      <c r="F91" s="327"/>
    </row>
    <row r="92" spans="1:6">
      <c r="A92" s="1253" t="s">
        <v>68</v>
      </c>
      <c r="B92" s="1254">
        <v>2590.2899211205763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2429</v>
      </c>
      <c r="C97" s="327"/>
      <c r="D97" s="327"/>
      <c r="E97" s="327"/>
      <c r="F97" s="327"/>
    </row>
    <row r="98" spans="1:6">
      <c r="A98" s="1258" t="s">
        <v>71</v>
      </c>
      <c r="B98" s="1259">
        <v>2</v>
      </c>
      <c r="C98" s="327"/>
      <c r="D98" s="327"/>
      <c r="E98" s="327"/>
      <c r="F98" s="327"/>
    </row>
    <row r="99" spans="1:6">
      <c r="A99" s="1258" t="s">
        <v>72</v>
      </c>
      <c r="B99" s="1259">
        <v>185</v>
      </c>
      <c r="C99" s="327"/>
      <c r="D99" s="327"/>
      <c r="E99" s="327"/>
      <c r="F99" s="327"/>
    </row>
    <row r="100" spans="1:6">
      <c r="A100" s="1258" t="s">
        <v>73</v>
      </c>
      <c r="B100" s="1259">
        <v>1198</v>
      </c>
      <c r="C100" s="327"/>
      <c r="D100" s="327"/>
      <c r="E100" s="327"/>
      <c r="F100" s="327"/>
    </row>
    <row r="101" spans="1:6">
      <c r="A101" s="1258" t="s">
        <v>74</v>
      </c>
      <c r="B101" s="1259">
        <v>135</v>
      </c>
      <c r="C101" s="327"/>
      <c r="D101" s="327"/>
      <c r="E101" s="327"/>
      <c r="F101" s="327"/>
    </row>
    <row r="102" spans="1:6">
      <c r="A102" s="1258" t="s">
        <v>75</v>
      </c>
      <c r="B102" s="1259">
        <v>179</v>
      </c>
      <c r="C102" s="327"/>
      <c r="D102" s="327"/>
      <c r="E102" s="327"/>
      <c r="F102" s="327"/>
    </row>
    <row r="103" spans="1:6">
      <c r="A103" s="1258" t="s">
        <v>76</v>
      </c>
      <c r="B103" s="1259">
        <v>534</v>
      </c>
      <c r="C103" s="327"/>
      <c r="D103" s="327"/>
      <c r="E103" s="327"/>
      <c r="F103" s="327"/>
    </row>
    <row r="104" spans="1:6">
      <c r="A104" s="1258" t="s">
        <v>77</v>
      </c>
      <c r="B104" s="1259">
        <v>5137</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37</v>
      </c>
      <c r="C123" s="1259">
        <v>29</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141</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125556.33474019177</v>
      </c>
      <c r="C3" s="43" t="s">
        <v>163</v>
      </c>
      <c r="D3" s="43"/>
      <c r="E3" s="156"/>
      <c r="F3" s="43"/>
      <c r="G3" s="43"/>
      <c r="H3" s="43"/>
      <c r="I3" s="43"/>
      <c r="J3" s="43"/>
      <c r="K3" s="96"/>
    </row>
    <row r="4" spans="1:11">
      <c r="A4" s="353" t="s">
        <v>164</v>
      </c>
      <c r="B4" s="49">
        <f>IF(ISERROR('SEAP template'!B78+'SEAP template'!C78),0,'SEAP template'!B78+'SEAP template'!C78)</f>
        <v>7862.9214233875155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320.82352941176475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0.20971516830999595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458.31932773109253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1928.5714285714287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1838.4649999999999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1838.4649999999999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0.20971516830999595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385.55399690703672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49161.288752502733</v>
      </c>
      <c r="C5" s="17">
        <f>IF(ISERROR('Eigen informatie GS &amp; warmtenet'!B57),0,'Eigen informatie GS &amp; warmtenet'!B57)</f>
        <v>0</v>
      </c>
      <c r="D5" s="30">
        <f>(SUM(HH_hh_gas_kWh,HH_rest_gas_kWh)/1000)*0.902</f>
        <v>82680.76140965338</v>
      </c>
      <c r="E5" s="17">
        <f>B32*B41</f>
        <v>3458.0460537138674</v>
      </c>
      <c r="F5" s="17">
        <f>B36*B45</f>
        <v>105973.45613013039</v>
      </c>
      <c r="G5" s="18"/>
      <c r="H5" s="17"/>
      <c r="I5" s="17"/>
      <c r="J5" s="17">
        <f>B35*B44+C35*C44</f>
        <v>2006.9262474731117</v>
      </c>
      <c r="K5" s="17"/>
      <c r="L5" s="17"/>
      <c r="M5" s="17"/>
      <c r="N5" s="17">
        <f>B34*B43+C34*C43</f>
        <v>18230.797926553882</v>
      </c>
      <c r="O5" s="17">
        <f>B52*B53*B54</f>
        <v>267.33000000000004</v>
      </c>
      <c r="P5" s="17">
        <f>B60*B61*B62/1000-B60*B61*B62/1000/B63</f>
        <v>972.4</v>
      </c>
    </row>
    <row r="6" spans="1:16">
      <c r="A6" s="16" t="s">
        <v>592</v>
      </c>
      <c r="B6" s="733">
        <f>kWh_PV_kleiner_dan_10kW</f>
        <v>3914.8862107871187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53076.17496328985</v>
      </c>
      <c r="C8" s="21">
        <f>C5</f>
        <v>0</v>
      </c>
      <c r="D8" s="21">
        <f>D5</f>
        <v>82680.76140965338</v>
      </c>
      <c r="E8" s="21">
        <f>E5</f>
        <v>3458.0460537138674</v>
      </c>
      <c r="F8" s="21">
        <f>F5</f>
        <v>105973.45613013039</v>
      </c>
      <c r="G8" s="21"/>
      <c r="H8" s="21"/>
      <c r="I8" s="21"/>
      <c r="J8" s="21">
        <f>J5</f>
        <v>2006.9262474731117</v>
      </c>
      <c r="K8" s="21"/>
      <c r="L8" s="21">
        <f>L5</f>
        <v>0</v>
      </c>
      <c r="M8" s="21">
        <f>M5</f>
        <v>0</v>
      </c>
      <c r="N8" s="21">
        <f>N5</f>
        <v>18230.797926553882</v>
      </c>
      <c r="O8" s="21">
        <f>O5</f>
        <v>267.33000000000004</v>
      </c>
      <c r="P8" s="21">
        <f>P5</f>
        <v>972.4</v>
      </c>
    </row>
    <row r="9" spans="1:16">
      <c r="B9" s="19"/>
      <c r="C9" s="19"/>
      <c r="D9" s="257"/>
      <c r="E9" s="19"/>
      <c r="F9" s="19"/>
      <c r="G9" s="19"/>
      <c r="H9" s="19"/>
      <c r="I9" s="19"/>
      <c r="J9" s="19"/>
      <c r="K9" s="19"/>
      <c r="L9" s="19"/>
      <c r="M9" s="19"/>
      <c r="N9" s="19"/>
      <c r="O9" s="19"/>
      <c r="P9" s="19"/>
    </row>
    <row r="10" spans="1:16">
      <c r="A10" s="24" t="s">
        <v>207</v>
      </c>
      <c r="B10" s="25">
        <f ca="1">'EF ele_warmte'!B12</f>
        <v>0.20971516830999595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11130.878965677124</v>
      </c>
      <c r="C12" s="23">
        <f ca="1">C10*C8</f>
        <v>0</v>
      </c>
      <c r="D12" s="23">
        <f>D8*D10</f>
        <v>16701.513804749982</v>
      </c>
      <c r="E12" s="23">
        <f>E10*E8</f>
        <v>784.97645419304797</v>
      </c>
      <c r="F12" s="23">
        <f>F10*F8</f>
        <v>28294.912786744815</v>
      </c>
      <c r="G12" s="23"/>
      <c r="H12" s="23"/>
      <c r="I12" s="23"/>
      <c r="J12" s="23">
        <f>J10*J8</f>
        <v>710.45189160548148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11146</v>
      </c>
      <c r="C26" s="36"/>
      <c r="D26" s="227"/>
    </row>
    <row r="27" spans="1:5" s="15" customFormat="1">
      <c r="A27" s="229" t="s">
        <v>697</v>
      </c>
      <c r="B27" s="37">
        <f>SUM(HH_hh_gas_aantal,HH_rest_gas_aantal)</f>
        <v>5340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5073</v>
      </c>
      <c r="C31" s="34" t="s">
        <v>104</v>
      </c>
      <c r="D31" s="173"/>
    </row>
    <row r="32" spans="1:5">
      <c r="A32" s="170" t="s">
        <v>72</v>
      </c>
      <c r="B32" s="33">
        <f>IF((B21*($B$26-($B$27-0.05*$B$27)-$B$60))&lt;0,0,B21*($B$26-($B$27-0.05*$B$27)-$B$60))</f>
        <v>150.80028670488738</v>
      </c>
      <c r="C32" s="34" t="s">
        <v>104</v>
      </c>
      <c r="D32" s="173"/>
    </row>
    <row r="33" spans="1:6">
      <c r="A33" s="170" t="s">
        <v>73</v>
      </c>
      <c r="B33" s="33">
        <f>IF((B22*($B$26-($B$27-0.05*$B$27)-$B$60))&lt;0,0,B22*($B$26-($B$27-0.05*$B$27)-$B$60))</f>
        <v>1015.0627940576821</v>
      </c>
      <c r="C33" s="34" t="s">
        <v>104</v>
      </c>
      <c r="D33" s="173"/>
    </row>
    <row r="34" spans="1:6">
      <c r="A34" s="170" t="s">
        <v>74</v>
      </c>
      <c r="B34" s="33">
        <f>IF((B24*($B$26-($B$27-0.05*$B$27)-$B$60))&lt;0,0,B24*($B$26-($B$27-0.05*$B$27)-$B$60))</f>
        <v>257.53518953917632</v>
      </c>
      <c r="C34" s="33">
        <f>B26*C24</f>
        <v>2280.0265137903693</v>
      </c>
      <c r="D34" s="232"/>
    </row>
    <row r="35" spans="1:6">
      <c r="A35" s="170" t="s">
        <v>76</v>
      </c>
      <c r="B35" s="33">
        <f>IF((B19*($B$26-($B$27-0.05*$B$27)-$B$60))&lt;0,0,B19*($B$26-($B$27-0.05*$B$27)-$B$60))</f>
        <v>95.708535872680088</v>
      </c>
      <c r="C35" s="33">
        <f>B35/2</f>
        <v>47.854267936340044</v>
      </c>
      <c r="D35" s="232"/>
    </row>
    <row r="36" spans="1:6">
      <c r="A36" s="170" t="s">
        <v>77</v>
      </c>
      <c r="B36" s="33">
        <f>IF((B18*($B$26-($B$27-0.05*$B$27)-$B$60))&lt;0,0,B18*($B$26-($B$27-0.05*$B$27)-$B$60))</f>
        <v>4502.8931938255746</v>
      </c>
      <c r="C36" s="34" t="s">
        <v>104</v>
      </c>
      <c r="D36" s="173"/>
    </row>
    <row r="37" spans="1:6">
      <c r="A37" s="170" t="s">
        <v>78</v>
      </c>
      <c r="B37" s="33">
        <f>B60</f>
        <v>51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51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35341.815724469947</v>
      </c>
      <c r="C5" s="17">
        <f>IF(ISERROR('Eigen informatie GS &amp; warmtenet'!B58),0,'Eigen informatie GS &amp; warmtenet'!B58)</f>
        <v>0</v>
      </c>
      <c r="D5" s="30">
        <f>SUM(D6:D12)</f>
        <v>43392.456066015293</v>
      </c>
      <c r="E5" s="17">
        <f>SUM(E6:E12)</f>
        <v>157.66091918118738</v>
      </c>
      <c r="F5" s="17">
        <f>SUM(F6:F12)</f>
        <v>3979.1849945692229</v>
      </c>
      <c r="G5" s="18"/>
      <c r="H5" s="17"/>
      <c r="I5" s="17"/>
      <c r="J5" s="17">
        <f>SUM(J6:J12)</f>
        <v>369.84516057995955</v>
      </c>
      <c r="K5" s="17"/>
      <c r="L5" s="17"/>
      <c r="M5" s="17"/>
      <c r="N5" s="17">
        <f>SUM(N6:N12)</f>
        <v>1490.7283794908419</v>
      </c>
      <c r="O5" s="17">
        <f>B38*B39*B40</f>
        <v>0</v>
      </c>
      <c r="P5" s="17">
        <f>B46*B47*B48/1000-B46*B47*B48/1000/B49</f>
        <v>38.133333333333333</v>
      </c>
      <c r="R5" s="32"/>
    </row>
    <row r="6" spans="1:18">
      <c r="A6" s="32" t="s">
        <v>53</v>
      </c>
      <c r="B6" s="37">
        <f>B26</f>
        <v>5199.2504135482404</v>
      </c>
      <c r="C6" s="33"/>
      <c r="D6" s="37">
        <f>IF(ISERROR(TER_kantoor_gas_kWh/1000),0,TER_kantoor_gas_kWh/1000)*0.902</f>
        <v>8955.739229520048</v>
      </c>
      <c r="E6" s="33">
        <f>$C$26*'E Balans VL '!I12/100/3.6*1000000</f>
        <v>43.88620822907545</v>
      </c>
      <c r="F6" s="33">
        <f>$C$26*('E Balans VL '!L12+'E Balans VL '!N12)/100/3.6*1000000</f>
        <v>697.16191391074778</v>
      </c>
      <c r="G6" s="34"/>
      <c r="H6" s="33"/>
      <c r="I6" s="33"/>
      <c r="J6" s="33">
        <f>$C$26*('E Balans VL '!D12+'E Balans VL '!E12)/100/3.6*1000000</f>
        <v>0</v>
      </c>
      <c r="K6" s="33"/>
      <c r="L6" s="33"/>
      <c r="M6" s="33"/>
      <c r="N6" s="33">
        <f>$C$26*'E Balans VL '!Y12/100/3.6*1000000</f>
        <v>45.725799361205404</v>
      </c>
      <c r="O6" s="33"/>
      <c r="P6" s="33"/>
      <c r="R6" s="32"/>
    </row>
    <row r="7" spans="1:18">
      <c r="A7" s="32" t="s">
        <v>52</v>
      </c>
      <c r="B7" s="37">
        <f t="shared" ref="B7:B12" si="0">B27</f>
        <v>2796.0071139218499</v>
      </c>
      <c r="C7" s="33"/>
      <c r="D7" s="37">
        <f>IF(ISERROR(TER_horeca_gas_kWh/1000),0,TER_horeca_gas_kWh/1000)*0.902</f>
        <v>3569.7726731123207</v>
      </c>
      <c r="E7" s="33">
        <f>$C$27*'E Balans VL '!I9/100/3.6*1000000</f>
        <v>36.761911526626761</v>
      </c>
      <c r="F7" s="33">
        <f>$C$27*('E Balans VL '!L9+'E Balans VL '!N9)/100/3.6*1000000</f>
        <v>702.18181080373245</v>
      </c>
      <c r="G7" s="34"/>
      <c r="H7" s="33"/>
      <c r="I7" s="33"/>
      <c r="J7" s="33">
        <f>$C$27*('E Balans VL '!D9+'E Balans VL '!E9)/100/3.6*1000000</f>
        <v>0</v>
      </c>
      <c r="K7" s="33"/>
      <c r="L7" s="33"/>
      <c r="M7" s="33"/>
      <c r="N7" s="33">
        <f>$C$27*'E Balans VL '!Y9/100/3.6*1000000</f>
        <v>0.76117861612295645</v>
      </c>
      <c r="O7" s="33"/>
      <c r="P7" s="33"/>
      <c r="R7" s="32"/>
    </row>
    <row r="8" spans="1:18">
      <c r="A8" s="6" t="s">
        <v>51</v>
      </c>
      <c r="B8" s="37">
        <f t="shared" si="0"/>
        <v>13785.544490999901</v>
      </c>
      <c r="C8" s="33"/>
      <c r="D8" s="37">
        <f>IF(ISERROR(TER_handel_gas_kWh/1000),0,TER_handel_gas_kWh/1000)*0.902</f>
        <v>6681.6990510553605</v>
      </c>
      <c r="E8" s="33">
        <f>$C$28*'E Balans VL '!I13/100/3.6*1000000</f>
        <v>60.371970601167888</v>
      </c>
      <c r="F8" s="33">
        <f>$C$28*('E Balans VL '!L13+'E Balans VL '!N13)/100/3.6*1000000</f>
        <v>926.59015844273472</v>
      </c>
      <c r="G8" s="34"/>
      <c r="H8" s="33"/>
      <c r="I8" s="33"/>
      <c r="J8" s="33">
        <f>$C$28*('E Balans VL '!D13+'E Balans VL '!E13)/100/3.6*1000000</f>
        <v>0</v>
      </c>
      <c r="K8" s="33"/>
      <c r="L8" s="33"/>
      <c r="M8" s="33"/>
      <c r="N8" s="33">
        <f>$C$28*'E Balans VL '!Y13/100/3.6*1000000</f>
        <v>40.726017577465228</v>
      </c>
      <c r="O8" s="33"/>
      <c r="P8" s="33"/>
      <c r="R8" s="32"/>
    </row>
    <row r="9" spans="1:18">
      <c r="A9" s="32" t="s">
        <v>50</v>
      </c>
      <c r="B9" s="37">
        <f t="shared" si="0"/>
        <v>8772.0600123122094</v>
      </c>
      <c r="C9" s="33"/>
      <c r="D9" s="37">
        <f>IF(ISERROR(TER_gezond_gas_kWh/1000),0,TER_gezond_gas_kWh/1000)*0.902</f>
        <v>12214.002060081317</v>
      </c>
      <c r="E9" s="33">
        <f>$C$29*'E Balans VL '!I10/100/3.6*1000000</f>
        <v>3.0167501671842278</v>
      </c>
      <c r="F9" s="33">
        <f>$C$29*('E Balans VL '!L10+'E Balans VL '!N10)/100/3.6*1000000</f>
        <v>766.7125964952595</v>
      </c>
      <c r="G9" s="34"/>
      <c r="H9" s="33"/>
      <c r="I9" s="33"/>
      <c r="J9" s="33">
        <f>$C$29*('E Balans VL '!D10+'E Balans VL '!E10)/100/3.6*1000000</f>
        <v>363.8725721121354</v>
      </c>
      <c r="K9" s="33"/>
      <c r="L9" s="33"/>
      <c r="M9" s="33"/>
      <c r="N9" s="33">
        <f>$C$29*'E Balans VL '!Y10/100/3.6*1000000</f>
        <v>91.971807624361048</v>
      </c>
      <c r="O9" s="33"/>
      <c r="P9" s="33"/>
      <c r="R9" s="32"/>
    </row>
    <row r="10" spans="1:18">
      <c r="A10" s="32" t="s">
        <v>49</v>
      </c>
      <c r="B10" s="37">
        <f t="shared" si="0"/>
        <v>1970.5275715966002</v>
      </c>
      <c r="C10" s="33"/>
      <c r="D10" s="37">
        <f>IF(ISERROR(TER_ander_gas_kWh/1000),0,TER_ander_gas_kWh/1000)*0.902</f>
        <v>3273.5344642031969</v>
      </c>
      <c r="E10" s="33">
        <f>$C$30*'E Balans VL '!I14/100/3.6*1000000</f>
        <v>1.1719446471837942</v>
      </c>
      <c r="F10" s="33">
        <f>$C$30*('E Balans VL '!L14+'E Balans VL '!N14)/100/3.6*1000000</f>
        <v>348.88809197181462</v>
      </c>
      <c r="G10" s="34"/>
      <c r="H10" s="33"/>
      <c r="I10" s="33"/>
      <c r="J10" s="33">
        <f>$C$30*('E Balans VL '!D14+'E Balans VL '!E14)/100/3.6*1000000</f>
        <v>0</v>
      </c>
      <c r="K10" s="33"/>
      <c r="L10" s="33"/>
      <c r="M10" s="33"/>
      <c r="N10" s="33">
        <f>$C$30*'E Balans VL '!Y14/100/3.6*1000000</f>
        <v>1170.0320954620577</v>
      </c>
      <c r="O10" s="33"/>
      <c r="P10" s="33"/>
      <c r="R10" s="32"/>
    </row>
    <row r="11" spans="1:18">
      <c r="A11" s="32" t="s">
        <v>54</v>
      </c>
      <c r="B11" s="37">
        <f t="shared" si="0"/>
        <v>857.14369233760601</v>
      </c>
      <c r="C11" s="33"/>
      <c r="D11" s="37">
        <f>IF(ISERROR(TER_onderwijs_gas_kWh/1000),0,TER_onderwijs_gas_kWh/1000)*0.902</f>
        <v>3425.5187196244674</v>
      </c>
      <c r="E11" s="33">
        <f>$C$31*'E Balans VL '!I11/100/3.6*1000000</f>
        <v>0.57013000391774049</v>
      </c>
      <c r="F11" s="33">
        <f>$C$31*('E Balans VL '!L11+'E Balans VL '!N11)/100/3.6*1000000</f>
        <v>274.61213774012106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1961.2824297535301</v>
      </c>
      <c r="C12" s="33"/>
      <c r="D12" s="37">
        <f>IF(ISERROR(TER_rest_gas_kWh/1000),0,TER_rest_gas_kWh/1000)*0.902</f>
        <v>5272.1898684185771</v>
      </c>
      <c r="E12" s="33">
        <f>$C$32*'E Balans VL '!I8/100/3.6*1000000</f>
        <v>11.882004006031517</v>
      </c>
      <c r="F12" s="33">
        <f>$C$32*('E Balans VL '!L8+'E Balans VL '!N8)/100/3.6*1000000</f>
        <v>263.03828520481312</v>
      </c>
      <c r="G12" s="34"/>
      <c r="H12" s="33"/>
      <c r="I12" s="33"/>
      <c r="J12" s="33">
        <f>$C$32*('E Balans VL '!D8+'E Balans VL '!E8)/100/3.6*1000000</f>
        <v>5.972588467824151</v>
      </c>
      <c r="K12" s="33"/>
      <c r="L12" s="33"/>
      <c r="M12" s="33"/>
      <c r="N12" s="33">
        <f>$C$32*'E Balans VL '!Y8/100/3.6*1000000</f>
        <v>141.51148084962952</v>
      </c>
      <c r="O12" s="33"/>
      <c r="P12" s="33"/>
      <c r="R12" s="32"/>
    </row>
    <row r="13" spans="1:18">
      <c r="A13" s="16" t="s">
        <v>483</v>
      </c>
      <c r="B13" s="245">
        <f ca="1">'lokale energieproductie'!N38+'lokale energieproductie'!N31</f>
        <v>1350</v>
      </c>
      <c r="C13" s="245">
        <f ca="1">'lokale energieproductie'!O38+'lokale energieproductie'!O31</f>
        <v>1928.5714285714287</v>
      </c>
      <c r="D13" s="305">
        <f ca="1">('lokale energieproductie'!P31+'lokale energieproductie'!P38)*(-1)</f>
        <v>-3857.1428571428573</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36691.815724469947</v>
      </c>
      <c r="C16" s="21">
        <f t="shared" ca="1" si="1"/>
        <v>1928.5714285714287</v>
      </c>
      <c r="D16" s="21">
        <f t="shared" ca="1" si="1"/>
        <v>39535.313208872438</v>
      </c>
      <c r="E16" s="21">
        <f t="shared" si="1"/>
        <v>157.66091918118738</v>
      </c>
      <c r="F16" s="21">
        <f t="shared" ca="1" si="1"/>
        <v>3979.1849945692229</v>
      </c>
      <c r="G16" s="21">
        <f t="shared" si="1"/>
        <v>0</v>
      </c>
      <c r="H16" s="21">
        <f t="shared" si="1"/>
        <v>0</v>
      </c>
      <c r="I16" s="21">
        <f t="shared" si="1"/>
        <v>0</v>
      </c>
      <c r="J16" s="21">
        <f t="shared" si="1"/>
        <v>369.84516057995955</v>
      </c>
      <c r="K16" s="21">
        <f t="shared" si="1"/>
        <v>0</v>
      </c>
      <c r="L16" s="21">
        <f t="shared" ca="1" si="1"/>
        <v>0</v>
      </c>
      <c r="M16" s="21">
        <f t="shared" si="1"/>
        <v>0</v>
      </c>
      <c r="N16" s="21">
        <f t="shared" ca="1" si="1"/>
        <v>1490.7283794908419</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0.20971516830999595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7694.8303102565706</v>
      </c>
      <c r="C20" s="23">
        <f t="shared" ref="C20:P20" ca="1" si="2">C16*C18</f>
        <v>458.31932773109253</v>
      </c>
      <c r="D20" s="23">
        <f t="shared" ca="1" si="2"/>
        <v>7986.1332681922331</v>
      </c>
      <c r="E20" s="23">
        <f t="shared" si="2"/>
        <v>35.789028654129538</v>
      </c>
      <c r="F20" s="23">
        <f t="shared" ca="1" si="2"/>
        <v>1062.4423935499826</v>
      </c>
      <c r="G20" s="23">
        <f t="shared" si="2"/>
        <v>0</v>
      </c>
      <c r="H20" s="23">
        <f t="shared" si="2"/>
        <v>0</v>
      </c>
      <c r="I20" s="23">
        <f t="shared" si="2"/>
        <v>0</v>
      </c>
      <c r="J20" s="23">
        <f t="shared" si="2"/>
        <v>130.92518684530569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5199.2504135482404</v>
      </c>
      <c r="C26" s="39">
        <f>IF(ISERROR(B26*3.6/1000000/'E Balans VL '!Z12*100),0,B26*3.6/1000000/'E Balans VL '!Z12*100)</f>
        <v>0.10896983401254981</v>
      </c>
      <c r="D26" s="235" t="s">
        <v>647</v>
      </c>
      <c r="F26" s="6"/>
    </row>
    <row r="27" spans="1:18">
      <c r="A27" s="230" t="s">
        <v>52</v>
      </c>
      <c r="B27" s="33">
        <f>IF(ISERROR(TER_horeca_ele_kWh/1000),0,TER_horeca_ele_kWh/1000)</f>
        <v>2796.0071139218499</v>
      </c>
      <c r="C27" s="39">
        <f>IF(ISERROR(B27*3.6/1000000/'E Balans VL '!Z9*100),0,B27*3.6/1000000/'E Balans VL '!Z9*100)</f>
        <v>0.21436938431387129</v>
      </c>
      <c r="D27" s="235" t="s">
        <v>647</v>
      </c>
      <c r="F27" s="6"/>
    </row>
    <row r="28" spans="1:18">
      <c r="A28" s="170" t="s">
        <v>51</v>
      </c>
      <c r="B28" s="33">
        <f>IF(ISERROR(TER_handel_ele_kWh/1000),0,TER_handel_ele_kWh/1000)</f>
        <v>13785.544490999901</v>
      </c>
      <c r="C28" s="39">
        <f>IF(ISERROR(B28*3.6/1000000/'E Balans VL '!Z13*100),0,B28*3.6/1000000/'E Balans VL '!Z13*100)</f>
        <v>0.38891054679752124</v>
      </c>
      <c r="D28" s="235" t="s">
        <v>647</v>
      </c>
      <c r="F28" s="6"/>
    </row>
    <row r="29" spans="1:18">
      <c r="A29" s="230" t="s">
        <v>50</v>
      </c>
      <c r="B29" s="33">
        <f>IF(ISERROR(TER_gezond_ele_kWh/1000),0,TER_gezond_ele_kWh/1000)</f>
        <v>8772.0600123122094</v>
      </c>
      <c r="C29" s="39">
        <f>IF(ISERROR(B29*3.6/1000000/'E Balans VL '!Z10*100),0,B29*3.6/1000000/'E Balans VL '!Z10*100)</f>
        <v>0.97402816599648101</v>
      </c>
      <c r="D29" s="235" t="s">
        <v>647</v>
      </c>
      <c r="F29" s="6"/>
    </row>
    <row r="30" spans="1:18">
      <c r="A30" s="230" t="s">
        <v>49</v>
      </c>
      <c r="B30" s="33">
        <f>IF(ISERROR(TER_ander_ele_kWh/1000),0,TER_ander_ele_kWh/1000)</f>
        <v>1970.5275715966002</v>
      </c>
      <c r="C30" s="39">
        <f>IF(ISERROR(B30*3.6/1000000/'E Balans VL '!Z14*100),0,B30*3.6/1000000/'E Balans VL '!Z14*100)</f>
        <v>0.14218426354015151</v>
      </c>
      <c r="D30" s="235" t="s">
        <v>647</v>
      </c>
      <c r="F30" s="6"/>
    </row>
    <row r="31" spans="1:18">
      <c r="A31" s="230" t="s">
        <v>54</v>
      </c>
      <c r="B31" s="33">
        <f>IF(ISERROR(TER_onderwijs_ele_kWh/1000),0,TER_onderwijs_ele_kWh/1000)</f>
        <v>857.14369233760601</v>
      </c>
      <c r="C31" s="39">
        <f>IF(ISERROR(B31*3.6/1000000/'E Balans VL '!Z11*100),0,B31*3.6/1000000/'E Balans VL '!Z11*100)</f>
        <v>0.23759344199156238</v>
      </c>
      <c r="D31" s="235" t="s">
        <v>647</v>
      </c>
    </row>
    <row r="32" spans="1:18">
      <c r="A32" s="230" t="s">
        <v>249</v>
      </c>
      <c r="B32" s="33">
        <f>IF(ISERROR(TER_rest_ele_kWh/1000),0,TER_rest_ele_kWh/1000)</f>
        <v>1961.2824297535301</v>
      </c>
      <c r="C32" s="39">
        <f>IF(ISERROR(B32*3.6/1000000/'E Balans VL '!Z8*100),0,B32*3.6/1000000/'E Balans VL '!Z8*100)</f>
        <v>1.5987655672419599E-2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30961.251790170438</v>
      </c>
      <c r="C5" s="17">
        <f>IF(ISERROR('Eigen informatie GS &amp; warmtenet'!B59),0,'Eigen informatie GS &amp; warmtenet'!B59)</f>
        <v>0</v>
      </c>
      <c r="D5" s="30">
        <f>SUM(D6:D15)</f>
        <v>9088.0015809368961</v>
      </c>
      <c r="E5" s="17">
        <f>SUM(E6:E15)</f>
        <v>5585.3891313508157</v>
      </c>
      <c r="F5" s="17">
        <f>SUM(F6:F15)</f>
        <v>20212.884874936648</v>
      </c>
      <c r="G5" s="18"/>
      <c r="H5" s="17"/>
      <c r="I5" s="17"/>
      <c r="J5" s="17">
        <f>SUM(J6:J15)</f>
        <v>23.361652478300467</v>
      </c>
      <c r="K5" s="17"/>
      <c r="L5" s="17"/>
      <c r="M5" s="17"/>
      <c r="N5" s="17">
        <f>SUM(N6:N15)</f>
        <v>3139.0005347676424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279.237393309119</v>
      </c>
      <c r="C8" s="33"/>
      <c r="D8" s="37">
        <f>IF( ISERROR(IND_metaal_Gas_kWH/1000),0,IND_metaal_Gas_kWH/1000)*0.902</f>
        <v>0</v>
      </c>
      <c r="E8" s="33">
        <f>C30*'E Balans VL '!I18/100/3.6*1000000</f>
        <v>8.0207460644294759</v>
      </c>
      <c r="F8" s="33">
        <f>C30*'E Balans VL '!L18/100/3.6*1000000+C30*'E Balans VL '!N18/100/3.6*1000000</f>
        <v>71.61902087691324</v>
      </c>
      <c r="G8" s="34"/>
      <c r="H8" s="33"/>
      <c r="I8" s="33"/>
      <c r="J8" s="40">
        <f>C30*'E Balans VL '!D18/100/3.6*1000000+C30*'E Balans VL '!E18/100/3.6*1000000</f>
        <v>0</v>
      </c>
      <c r="K8" s="33"/>
      <c r="L8" s="33"/>
      <c r="M8" s="33"/>
      <c r="N8" s="33">
        <f>C30*'E Balans VL '!Y18/100/3.6*1000000</f>
        <v>7.581865232619232</v>
      </c>
      <c r="O8" s="33"/>
      <c r="P8" s="33"/>
      <c r="R8" s="32"/>
    </row>
    <row r="9" spans="1:18">
      <c r="A9" s="6" t="s">
        <v>32</v>
      </c>
      <c r="B9" s="37">
        <f t="shared" si="0"/>
        <v>17549.580262668202</v>
      </c>
      <c r="C9" s="33"/>
      <c r="D9" s="37">
        <f>IF( ISERROR(IND_andere_gas_kWh/1000),0,IND_andere_gas_kWh/1000)*0.902</f>
        <v>1261.9383829993885</v>
      </c>
      <c r="E9" s="33">
        <f>C31*'E Balans VL '!I19/100/3.6*1000000</f>
        <v>4750.239884864558</v>
      </c>
      <c r="F9" s="33">
        <f>C31*'E Balans VL '!L19/100/3.6*1000000+C31*'E Balans VL '!N19/100/3.6*1000000</f>
        <v>11689.877588465899</v>
      </c>
      <c r="G9" s="34"/>
      <c r="H9" s="33"/>
      <c r="I9" s="33"/>
      <c r="J9" s="40">
        <f>C31*'E Balans VL '!D19/100/3.6*1000000+C31*'E Balans VL '!E19/100/3.6*1000000</f>
        <v>0</v>
      </c>
      <c r="K9" s="33"/>
      <c r="L9" s="33"/>
      <c r="M9" s="33"/>
      <c r="N9" s="33">
        <f>C31*'E Balans VL '!Y19/100/3.6*1000000</f>
        <v>1483.7007585146905</v>
      </c>
      <c r="O9" s="33"/>
      <c r="P9" s="33"/>
      <c r="R9" s="32"/>
    </row>
    <row r="10" spans="1:18">
      <c r="A10" s="6" t="s">
        <v>40</v>
      </c>
      <c r="B10" s="37">
        <f t="shared" si="0"/>
        <v>4253.4794067982693</v>
      </c>
      <c r="C10" s="33"/>
      <c r="D10" s="37">
        <f>IF( ISERROR(IND_voed_gas_kWh/1000),0,IND_voed_gas_kWh/1000)*0.902</f>
        <v>1962.0097084727543</v>
      </c>
      <c r="E10" s="33">
        <f>C32*'E Balans VL '!I20/100/3.6*1000000</f>
        <v>346.9235525331203</v>
      </c>
      <c r="F10" s="33">
        <f>C32*'E Balans VL '!L20/100/3.6*1000000+C32*'E Balans VL '!N20/100/3.6*1000000</f>
        <v>6342.3237050018888</v>
      </c>
      <c r="G10" s="34"/>
      <c r="H10" s="33"/>
      <c r="I10" s="33"/>
      <c r="J10" s="40">
        <f>C32*'E Balans VL '!D20/100/3.6*1000000+C32*'E Balans VL '!E20/100/3.6*1000000</f>
        <v>5.6268369520565069E-2</v>
      </c>
      <c r="K10" s="33"/>
      <c r="L10" s="33"/>
      <c r="M10" s="33"/>
      <c r="N10" s="33">
        <f>C32*'E Balans VL '!Y20/100/3.6*1000000</f>
        <v>1249.5221606128523</v>
      </c>
      <c r="O10" s="33"/>
      <c r="P10" s="33"/>
      <c r="R10" s="32"/>
    </row>
    <row r="11" spans="1:18">
      <c r="A11" s="6" t="s">
        <v>39</v>
      </c>
      <c r="B11" s="37">
        <f t="shared" si="0"/>
        <v>63.381132166725699</v>
      </c>
      <c r="C11" s="33"/>
      <c r="D11" s="37">
        <f>IF( ISERROR(IND_textiel_gas_kWh/1000),0,IND_textiel_gas_kWh/1000)*0.902</f>
        <v>0</v>
      </c>
      <c r="E11" s="33">
        <f>C33*'E Balans VL '!I21/100/3.6*1000000</f>
        <v>1.256343715501259E-2</v>
      </c>
      <c r="F11" s="33">
        <f>C33*'E Balans VL '!L21/100/3.6*1000000+C33*'E Balans VL '!N21/100/3.6*1000000</f>
        <v>2.3344035672805816</v>
      </c>
      <c r="G11" s="34"/>
      <c r="H11" s="33"/>
      <c r="I11" s="33"/>
      <c r="J11" s="40">
        <f>C33*'E Balans VL '!D21/100/3.6*1000000+C33*'E Balans VL '!E21/100/3.6*1000000</f>
        <v>0</v>
      </c>
      <c r="K11" s="33"/>
      <c r="L11" s="33"/>
      <c r="M11" s="33"/>
      <c r="N11" s="33">
        <f>C33*'E Balans VL '!Y21/100/3.6*1000000</f>
        <v>0.29470626452522686</v>
      </c>
      <c r="O11" s="33"/>
      <c r="P11" s="33"/>
      <c r="R11" s="32"/>
    </row>
    <row r="12" spans="1:18">
      <c r="A12" s="6" t="s">
        <v>36</v>
      </c>
      <c r="B12" s="37">
        <f t="shared" si="0"/>
        <v>241.930872618271</v>
      </c>
      <c r="C12" s="33"/>
      <c r="D12" s="37">
        <f>IF( ISERROR(IND_min_gas_kWh/1000),0,IND_min_gas_kWh/1000)*0.902</f>
        <v>0</v>
      </c>
      <c r="E12" s="33">
        <f>C34*'E Balans VL '!I22/100/3.6*1000000</f>
        <v>1.8845887832030086</v>
      </c>
      <c r="F12" s="33">
        <f>C34*'E Balans VL '!L22/100/3.6*1000000+C34*'E Balans VL '!N22/100/3.6*1000000</f>
        <v>91.241458045414646</v>
      </c>
      <c r="G12" s="34"/>
      <c r="H12" s="33"/>
      <c r="I12" s="33"/>
      <c r="J12" s="40">
        <f>C34*'E Balans VL '!D22/100/3.6*1000000+C34*'E Balans VL '!E22/100/3.6*1000000</f>
        <v>1.3305986466760604</v>
      </c>
      <c r="K12" s="33"/>
      <c r="L12" s="33"/>
      <c r="M12" s="33"/>
      <c r="N12" s="33">
        <f>C34*'E Balans VL '!Y22/100/3.6*1000000</f>
        <v>0</v>
      </c>
      <c r="O12" s="33"/>
      <c r="P12" s="33"/>
      <c r="R12" s="32"/>
    </row>
    <row r="13" spans="1:18">
      <c r="A13" s="6" t="s">
        <v>38</v>
      </c>
      <c r="B13" s="37">
        <f t="shared" si="0"/>
        <v>0</v>
      </c>
      <c r="C13" s="33"/>
      <c r="D13" s="37">
        <f>IF( ISERROR(IND_papier_gas_kWh/1000),0,IND_papier_gas_kWh/1000)*0.902</f>
        <v>740.86883843069393</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8573.6427226098494</v>
      </c>
      <c r="C15" s="33"/>
      <c r="D15" s="37">
        <f>IF( ISERROR(IND_rest_gas_kWh/1000),0,IND_rest_gas_kWh/1000)*0.902</f>
        <v>5123.1846510340592</v>
      </c>
      <c r="E15" s="33">
        <f>C37*'E Balans VL '!I15/100/3.6*1000000</f>
        <v>478.30779566834929</v>
      </c>
      <c r="F15" s="33">
        <f>C37*'E Balans VL '!L15/100/3.6*1000000+C37*'E Balans VL '!N15/100/3.6*1000000</f>
        <v>2015.4886989792492</v>
      </c>
      <c r="G15" s="34"/>
      <c r="H15" s="33"/>
      <c r="I15" s="33"/>
      <c r="J15" s="40">
        <f>C37*'E Balans VL '!D15/100/3.6*1000000+C37*'E Balans VL '!E15/100/3.6*1000000</f>
        <v>21.974785462103842</v>
      </c>
      <c r="K15" s="33"/>
      <c r="L15" s="33"/>
      <c r="M15" s="33"/>
      <c r="N15" s="33">
        <f>C37*'E Balans VL '!Y15/100/3.6*1000000</f>
        <v>397.90104414295502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30961.251790170438</v>
      </c>
      <c r="C18" s="21">
        <f>C5+C16</f>
        <v>0</v>
      </c>
      <c r="D18" s="21">
        <f>MAX((D5+D16),0)</f>
        <v>9088.0015809368961</v>
      </c>
      <c r="E18" s="21">
        <f>MAX((E5+E16),0)</f>
        <v>5585.3891313508157</v>
      </c>
      <c r="F18" s="21">
        <f>MAX((F5+F16),0)</f>
        <v>20212.884874936648</v>
      </c>
      <c r="G18" s="21"/>
      <c r="H18" s="21"/>
      <c r="I18" s="21"/>
      <c r="J18" s="21">
        <f>MAX((J5+J16),0)</f>
        <v>23.361652478300467</v>
      </c>
      <c r="K18" s="21"/>
      <c r="L18" s="21">
        <f>MAX((L5+L16),0)</f>
        <v>0</v>
      </c>
      <c r="M18" s="21"/>
      <c r="N18" s="21">
        <f>MAX((N5+N16),0)</f>
        <v>3139.0005347676424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0.20971516830999595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6493.0441302637564</v>
      </c>
      <c r="C22" s="23">
        <f ca="1">C18*C20</f>
        <v>0</v>
      </c>
      <c r="D22" s="23">
        <f>D18*D20</f>
        <v>1835.7763193492531</v>
      </c>
      <c r="E22" s="23">
        <f>E18*E20</f>
        <v>1267.8833328166352</v>
      </c>
      <c r="F22" s="23">
        <f>F18*F20</f>
        <v>5396.8402616080857</v>
      </c>
      <c r="G22" s="23"/>
      <c r="H22" s="23"/>
      <c r="I22" s="23"/>
      <c r="J22" s="23">
        <f>J18*J20</f>
        <v>8.2700249773183643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279.237393309119</v>
      </c>
      <c r="C30" s="39">
        <f>IF(ISERROR(B30*3.6/1000000/'E Balans VL '!Z18*100),0,B30*3.6/1000000/'E Balans VL '!Z18*100)</f>
        <v>2.7476246684485076E-2</v>
      </c>
      <c r="D30" s="235" t="s">
        <v>647</v>
      </c>
    </row>
    <row r="31" spans="1:18">
      <c r="A31" s="6" t="s">
        <v>32</v>
      </c>
      <c r="B31" s="37">
        <f>IF( ISERROR(IND_ander_ele_kWh/1000),0,IND_ander_ele_kWh/1000)</f>
        <v>17549.580262668202</v>
      </c>
      <c r="C31" s="39">
        <f>IF(ISERROR(B31*3.6/1000000/'E Balans VL '!Z19*100),0,B31*3.6/1000000/'E Balans VL '!Z19*100)</f>
        <v>0.76427022127692557</v>
      </c>
      <c r="D31" s="235" t="s">
        <v>647</v>
      </c>
    </row>
    <row r="32" spans="1:18">
      <c r="A32" s="170" t="s">
        <v>40</v>
      </c>
      <c r="B32" s="37">
        <f>IF( ISERROR(IND_voed_ele_kWh/1000),0,IND_voed_ele_kWh/1000)</f>
        <v>4253.4794067982693</v>
      </c>
      <c r="C32" s="39">
        <f>IF(ISERROR(B32*3.6/1000000/'E Balans VL '!Z20*100),0,B32*3.6/1000000/'E Balans VL '!Z20*100)</f>
        <v>0.80703637559373009</v>
      </c>
      <c r="D32" s="235" t="s">
        <v>647</v>
      </c>
    </row>
    <row r="33" spans="1:5">
      <c r="A33" s="170" t="s">
        <v>39</v>
      </c>
      <c r="B33" s="37">
        <f>IF( ISERROR(IND_textiel_ele_kWh/1000),0,IND_textiel_ele_kWh/1000)</f>
        <v>63.381132166725699</v>
      </c>
      <c r="C33" s="39">
        <f>IF(ISERROR(B33*3.6/1000000/'E Balans VL '!Z21*100),0,B33*3.6/1000000/'E Balans VL '!Z21*100)</f>
        <v>3.6187412248134812E-3</v>
      </c>
      <c r="D33" s="235" t="s">
        <v>647</v>
      </c>
    </row>
    <row r="34" spans="1:5">
      <c r="A34" s="170" t="s">
        <v>36</v>
      </c>
      <c r="B34" s="37">
        <f>IF( ISERROR(IND_min_ele_kWh/1000),0,IND_min_ele_kWh/1000)</f>
        <v>241.930872618271</v>
      </c>
      <c r="C34" s="39">
        <f>IF(ISERROR(B34*3.6/1000000/'E Balans VL '!Z22*100),0,B34*3.6/1000000/'E Balans VL '!Z22*100)</f>
        <v>3.4017910084228414E-2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8573.6427226098494</v>
      </c>
      <c r="C37" s="39">
        <f>IF(ISERROR(B37*3.6/1000000/'E Balans VL '!Z15*100),0,B37*3.6/1000000/'E Balans VL '!Z15*100)</f>
        <v>6.6070447781630334E-2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1055.6611927380741</v>
      </c>
      <c r="C5" s="17">
        <f>'Eigen informatie GS &amp; warmtenet'!B60</f>
        <v>0</v>
      </c>
      <c r="D5" s="30">
        <f>IF(ISERROR(SUM(LB_lb_gas_kWh,LB_rest_gas_kWh)/1000),0,SUM(LB_lb_gas_kWh,LB_rest_gas_kWh)/1000)*0.902</f>
        <v>156.88708561524078</v>
      </c>
      <c r="E5" s="17">
        <f>B17*'E Balans VL '!I25/3.6*1000000/100</f>
        <v>21.920498690627625</v>
      </c>
      <c r="F5" s="17">
        <f>B17*('E Balans VL '!L25/3.6*1000000+'E Balans VL '!N25/3.6*1000000)/100</f>
        <v>3730.7335925265834</v>
      </c>
      <c r="G5" s="18"/>
      <c r="H5" s="17"/>
      <c r="I5" s="17"/>
      <c r="J5" s="17">
        <f>('E Balans VL '!D25+'E Balans VL '!E25)/3.6*1000000*landbouw!B17/100</f>
        <v>121.077661929131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1055.6611927380741</v>
      </c>
      <c r="C8" s="21">
        <f>C5+C6</f>
        <v>0</v>
      </c>
      <c r="D8" s="21">
        <f>MAX((D5+D6),0)</f>
        <v>156.88708561524078</v>
      </c>
      <c r="E8" s="21">
        <f>MAX((E5+E6),0)</f>
        <v>21.920498690627625</v>
      </c>
      <c r="F8" s="21">
        <f>MAX((F5+F6),0)</f>
        <v>3730.7335925265834</v>
      </c>
      <c r="G8" s="21"/>
      <c r="H8" s="21"/>
      <c r="I8" s="21"/>
      <c r="J8" s="21">
        <f>MAX((J5+J6),0)</f>
        <v>121.077661929131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0.20971516830999595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221.38816471339629</v>
      </c>
      <c r="C12" s="23">
        <f ca="1">C8*C10</f>
        <v>0</v>
      </c>
      <c r="D12" s="23">
        <f>D8*D10</f>
        <v>31.691191294278639</v>
      </c>
      <c r="E12" s="23">
        <f>E8*E10</f>
        <v>4.9759532027724713</v>
      </c>
      <c r="F12" s="23">
        <f>F8*F10</f>
        <v>996.10586920459787</v>
      </c>
      <c r="G12" s="23"/>
      <c r="H12" s="23"/>
      <c r="I12" s="23"/>
      <c r="J12" s="23">
        <f>J8*J10</f>
        <v>42.861492322912369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0.14723146387751229</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264.79672505305149</v>
      </c>
      <c r="C26" s="245">
        <f>B26*'GWP N2O_CH4'!B5</f>
        <v>5560.7312261140814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35.685177867261579</v>
      </c>
      <c r="C27" s="245">
        <f>B27*'GWP N2O_CH4'!B5</f>
        <v>749.3887352124932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3.9988081410132921</v>
      </c>
      <c r="C28" s="245">
        <f>B28*'GWP N2O_CH4'!B4</f>
        <v>1239.6305237141205</v>
      </c>
      <c r="D28" s="50"/>
    </row>
    <row r="29" spans="1:4">
      <c r="A29" s="41" t="s">
        <v>266</v>
      </c>
      <c r="B29" s="245">
        <f>B34*'ha_N2O bodem landbouw'!B4</f>
        <v>18.834845580255379</v>
      </c>
      <c r="C29" s="245">
        <f>B29*'GWP N2O_CH4'!B4</f>
        <v>5838.8021298791673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4.7028727383599438E-3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3.5941462532355834E-5</v>
      </c>
      <c r="C5" s="434" t="s">
        <v>204</v>
      </c>
      <c r="D5" s="419">
        <f>SUM(D6:D11)</f>
        <v>3.7421435007979406E-5</v>
      </c>
      <c r="E5" s="419">
        <f>SUM(E6:E11)</f>
        <v>1.3134745572834592E-3</v>
      </c>
      <c r="F5" s="432" t="s">
        <v>204</v>
      </c>
      <c r="G5" s="419">
        <f>SUM(G6:G11)</f>
        <v>0.35354496220669418</v>
      </c>
      <c r="H5" s="419">
        <f>SUM(H6:H11)</f>
        <v>6.7687454680820519E-2</v>
      </c>
      <c r="I5" s="434" t="s">
        <v>204</v>
      </c>
      <c r="J5" s="434" t="s">
        <v>204</v>
      </c>
      <c r="K5" s="434" t="s">
        <v>204</v>
      </c>
      <c r="L5" s="434" t="s">
        <v>204</v>
      </c>
      <c r="M5" s="419">
        <f>SUM(M6:M11)</f>
        <v>1.90484423865015E-2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2.3396322164899133E-5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2.07527236130621E-5</v>
      </c>
      <c r="E6" s="836">
        <f>vkm_GW_PW*SUMIFS(TableVerdeelsleutelVkm[LPG],TableVerdeelsleutelVkm[Voertuigtype],"Lichte voertuigen")*SUMIFS(TableECFTransport[EnergieConsumptieFactor (PJ per km)],TableECFTransport[Index],CONCATENATE($A6,"_LPG_LPG"))</f>
        <v>7.4521317714060372E-4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0.14814422962143267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3.8242531361937178E-2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8.4321722840981286E-3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4.9252819513137454E-7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7.7073339332097951E-2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2.027459612118373E-6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3.4799923634579264E-3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1.1944403344957773E-5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1.6668711394917303E-5</v>
      </c>
      <c r="E8" s="422">
        <f>vkm_NGW_PW*SUMIFS(TableVerdeelsleutelVkm[LPG],TableVerdeelsleutelVkm[Voertuigtype],"Lichte voertuigen")*SUMIFS(TableECFTransport[EnergieConsumptieFactor (PJ per km)],TableECFTransport[Index],CONCATENATE($A8,"_LPG_LPG"))</f>
        <v>5.6826138014285559E-4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0.1065765639463629</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2.9442358208526684E-2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6.1541923737381517E-3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1.0820882736755466E-7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2.1750829306800647E-2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5.3765074453044284E-7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9.8208536520729165E-4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9.983739592321065</v>
      </c>
      <c r="C14" s="21"/>
      <c r="D14" s="21">
        <f t="shared" ref="D14:M14" si="0">((D5)*10^9/3600)+D12</f>
        <v>10.394843057772055</v>
      </c>
      <c r="E14" s="21">
        <f t="shared" si="0"/>
        <v>364.85404368984979</v>
      </c>
      <c r="F14" s="21"/>
      <c r="G14" s="21">
        <f t="shared" si="0"/>
        <v>98206.933946303936</v>
      </c>
      <c r="H14" s="21">
        <f t="shared" si="0"/>
        <v>18802.070744672368</v>
      </c>
      <c r="I14" s="21"/>
      <c r="J14" s="21"/>
      <c r="K14" s="21"/>
      <c r="L14" s="21"/>
      <c r="M14" s="21">
        <f t="shared" si="0"/>
        <v>5291.2339962504166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0.20971516830999595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2.0937416289667827</v>
      </c>
      <c r="C18" s="23"/>
      <c r="D18" s="23">
        <f t="shared" ref="D18:M18" si="1">D14*D16</f>
        <v>2.0997582976699554</v>
      </c>
      <c r="E18" s="23">
        <f t="shared" si="1"/>
        <v>82.82186791759591</v>
      </c>
      <c r="F18" s="23"/>
      <c r="G18" s="23">
        <f t="shared" si="1"/>
        <v>26221.251363663152</v>
      </c>
      <c r="H18" s="23">
        <f t="shared" si="1"/>
        <v>4681.7156154234199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4.0378755960315653E-5</v>
      </c>
      <c r="C50" s="316">
        <f t="shared" ref="C50:P50" si="2">SUM(C51:C52)</f>
        <v>0</v>
      </c>
      <c r="D50" s="316">
        <f t="shared" si="2"/>
        <v>0</v>
      </c>
      <c r="E50" s="316">
        <f t="shared" si="2"/>
        <v>0</v>
      </c>
      <c r="F50" s="316">
        <f t="shared" si="2"/>
        <v>0</v>
      </c>
      <c r="G50" s="316">
        <f t="shared" si="2"/>
        <v>7.8594963688039775E-3</v>
      </c>
      <c r="H50" s="316">
        <f t="shared" si="2"/>
        <v>0</v>
      </c>
      <c r="I50" s="316">
        <f t="shared" si="2"/>
        <v>0</v>
      </c>
      <c r="J50" s="316">
        <f t="shared" si="2"/>
        <v>0</v>
      </c>
      <c r="K50" s="316">
        <f t="shared" si="2"/>
        <v>0</v>
      </c>
      <c r="L50" s="316">
        <f t="shared" si="2"/>
        <v>0</v>
      </c>
      <c r="M50" s="316">
        <f t="shared" si="2"/>
        <v>3.5242642123941794E-4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4.0378755960315653E-5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7.8594963688039775E-3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3.5242642123941794E-4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11.216321100087683</v>
      </c>
      <c r="C54" s="21">
        <f t="shared" ref="C54:P54" si="3">(C50)*10^9/3600</f>
        <v>0</v>
      </c>
      <c r="D54" s="21">
        <f t="shared" si="3"/>
        <v>0</v>
      </c>
      <c r="E54" s="21">
        <f t="shared" si="3"/>
        <v>0</v>
      </c>
      <c r="F54" s="21">
        <f t="shared" si="3"/>
        <v>0</v>
      </c>
      <c r="G54" s="21">
        <f t="shared" si="3"/>
        <v>2183.1934357788823</v>
      </c>
      <c r="H54" s="21">
        <f t="shared" si="3"/>
        <v>0</v>
      </c>
      <c r="I54" s="21">
        <f t="shared" si="3"/>
        <v>0</v>
      </c>
      <c r="J54" s="21">
        <f t="shared" si="3"/>
        <v>0</v>
      </c>
      <c r="K54" s="21">
        <f t="shared" si="3"/>
        <v>0</v>
      </c>
      <c r="L54" s="21">
        <f t="shared" si="3"/>
        <v>0</v>
      </c>
      <c r="M54" s="21">
        <f t="shared" si="3"/>
        <v>97.896228122060535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0.20971516830999595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2.3522326673238472</v>
      </c>
      <c r="C58" s="23">
        <f t="shared" ref="C58:P58" ca="1" si="4">C54*C56</f>
        <v>0</v>
      </c>
      <c r="D58" s="23">
        <f t="shared" si="4"/>
        <v>0</v>
      </c>
      <c r="E58" s="23">
        <f t="shared" si="4"/>
        <v>0</v>
      </c>
      <c r="F58" s="23">
        <f t="shared" si="4"/>
        <v>0</v>
      </c>
      <c r="G58" s="23">
        <f t="shared" si="4"/>
        <v>582.91264735296159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7.7452914798206276</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6505.176131907695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1350</v>
      </c>
      <c r="C8" s="546">
        <f>B48</f>
        <v>1588.2352941176473</v>
      </c>
      <c r="D8" s="963"/>
      <c r="E8" s="963">
        <f>E48</f>
        <v>0</v>
      </c>
      <c r="F8" s="964"/>
      <c r="G8" s="547"/>
      <c r="H8" s="963">
        <f>I48</f>
        <v>0</v>
      </c>
      <c r="I8" s="963">
        <f>G48+F48</f>
        <v>0</v>
      </c>
      <c r="J8" s="963">
        <f>H48+D48+C48</f>
        <v>0</v>
      </c>
      <c r="K8" s="963"/>
      <c r="L8" s="963"/>
      <c r="M8" s="963"/>
      <c r="N8" s="548"/>
      <c r="O8" s="549">
        <f>C8*$C$12+D8*$D$12+E8*$E$12+F8*$F$12+G8*$G$12+H8*$H$12+I8*$I$12+J8*$J$12</f>
        <v>320.82352941176475</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7862.9214233875155</v>
      </c>
      <c r="C10" s="559">
        <f t="shared" ref="C10:L10" si="0">SUM(C8:C9)</f>
        <v>1588.2352941176473</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320.82352941176475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1928.5714285714287</v>
      </c>
      <c r="C17" s="571">
        <f>B49</f>
        <v>2268.9075630252105</v>
      </c>
      <c r="D17" s="572"/>
      <c r="E17" s="572">
        <f>E49</f>
        <v>0</v>
      </c>
      <c r="F17" s="969"/>
      <c r="G17" s="573"/>
      <c r="H17" s="571">
        <f>I49</f>
        <v>0</v>
      </c>
      <c r="I17" s="572">
        <f>G49+F49</f>
        <v>0</v>
      </c>
      <c r="J17" s="572">
        <f>H49+D49+C49</f>
        <v>0</v>
      </c>
      <c r="K17" s="572"/>
      <c r="L17" s="572"/>
      <c r="M17" s="572"/>
      <c r="N17" s="970"/>
      <c r="O17" s="574">
        <f>C17*$C$22+E17*$E$22+H17*$H$22+I17*$I$22+J17*$J$22+D17*$D$22+F17*$F$22+G17*$G$22+K17*$K$22+L17*$L$22</f>
        <v>458.31932773109253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1928.5714285714287</v>
      </c>
      <c r="C20" s="558">
        <f>SUM(C17:C19)</f>
        <v>2268.9075630252105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458.31932773109253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51" hidden="1">
      <c r="A28" s="582"/>
      <c r="B28" s="741">
        <v>41081</v>
      </c>
      <c r="C28" s="741">
        <v>9620</v>
      </c>
      <c r="D28" s="630"/>
      <c r="E28" s="629"/>
      <c r="F28" s="629"/>
      <c r="G28" s="629" t="s">
        <v>908</v>
      </c>
      <c r="H28" s="629" t="s">
        <v>909</v>
      </c>
      <c r="I28" s="629"/>
      <c r="J28" s="740"/>
      <c r="K28" s="740"/>
      <c r="L28" s="629" t="s">
        <v>910</v>
      </c>
      <c r="M28" s="629">
        <v>300</v>
      </c>
      <c r="N28" s="629">
        <v>1350</v>
      </c>
      <c r="O28" s="629">
        <v>1928.5714285714287</v>
      </c>
      <c r="P28" s="629">
        <v>3857.1428571428573</v>
      </c>
      <c r="Q28" s="629">
        <v>0</v>
      </c>
      <c r="R28" s="629">
        <v>0</v>
      </c>
      <c r="S28" s="629">
        <v>0</v>
      </c>
      <c r="T28" s="629">
        <v>0</v>
      </c>
      <c r="U28" s="629">
        <v>0</v>
      </c>
      <c r="V28" s="629">
        <v>0</v>
      </c>
      <c r="W28" s="629">
        <v>0</v>
      </c>
      <c r="X28" s="629"/>
      <c r="Y28" s="629">
        <v>1500</v>
      </c>
      <c r="Z28" s="629" t="s">
        <v>50</v>
      </c>
      <c r="AA28" s="631" t="s">
        <v>149</v>
      </c>
    </row>
    <row r="29" spans="1:27" s="566" customFormat="1" hidden="1">
      <c r="A29" s="585" t="s">
        <v>269</v>
      </c>
      <c r="B29" s="586"/>
      <c r="C29" s="586"/>
      <c r="D29" s="586"/>
      <c r="E29" s="586"/>
      <c r="F29" s="586"/>
      <c r="G29" s="586"/>
      <c r="H29" s="586"/>
      <c r="I29" s="586"/>
      <c r="J29" s="586"/>
      <c r="K29" s="586"/>
      <c r="L29" s="587"/>
      <c r="M29" s="587">
        <f>SUM(M28:M28)</f>
        <v>300</v>
      </c>
      <c r="N29" s="587">
        <f>SUM(N28:N28)</f>
        <v>1350</v>
      </c>
      <c r="O29" s="587">
        <f>SUM(O28:O28)</f>
        <v>1928.5714285714287</v>
      </c>
      <c r="P29" s="587">
        <f>SUM(P28:P28)</f>
        <v>3857.1428571428573</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300</v>
      </c>
      <c r="N31" s="587">
        <f ca="1">SUMIF($AA$28:AE28,"tertiair",N28:N28)</f>
        <v>1350</v>
      </c>
      <c r="O31" s="587">
        <f ca="1">SUMIF($AA$28:AF28,"tertiair",O28:O28)</f>
        <v>1928.5714285714287</v>
      </c>
      <c r="P31" s="587">
        <f ca="1">SUMIF($AA$28:AG28,"tertiair",P28:P28)</f>
        <v>3857.1428571428573</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1588.2352941176473</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2268.9075630252105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38530.280724469943</v>
      </c>
      <c r="D10" s="640">
        <f ca="1">tertiair!C16</f>
        <v>1928.5714285714287</v>
      </c>
      <c r="E10" s="640">
        <f ca="1">tertiair!D16</f>
        <v>39535.313208872438</v>
      </c>
      <c r="F10" s="640">
        <f>tertiair!E16</f>
        <v>157.66091918118738</v>
      </c>
      <c r="G10" s="640">
        <f ca="1">tertiair!F16</f>
        <v>3979.1849945692229</v>
      </c>
      <c r="H10" s="640">
        <f>tertiair!G16</f>
        <v>0</v>
      </c>
      <c r="I10" s="640">
        <f>tertiair!H16</f>
        <v>0</v>
      </c>
      <c r="J10" s="640">
        <f>tertiair!I16</f>
        <v>0</v>
      </c>
      <c r="K10" s="640">
        <f>tertiair!J16</f>
        <v>369.84516057995955</v>
      </c>
      <c r="L10" s="640">
        <f>tertiair!K16</f>
        <v>0</v>
      </c>
      <c r="M10" s="640">
        <f ca="1">tertiair!L16</f>
        <v>0</v>
      </c>
      <c r="N10" s="640">
        <f>tertiair!M16</f>
        <v>0</v>
      </c>
      <c r="O10" s="640">
        <f ca="1">tertiair!N16</f>
        <v>1490.7283794908419</v>
      </c>
      <c r="P10" s="640">
        <f>tertiair!O16</f>
        <v>0</v>
      </c>
      <c r="Q10" s="641">
        <f>tertiair!P16</f>
        <v>38.133333333333333</v>
      </c>
      <c r="R10" s="643">
        <f ca="1">SUM(C10:Q10)</f>
        <v>86029.718149068358</v>
      </c>
      <c r="S10" s="67"/>
    </row>
    <row r="11" spans="1:19" s="444" customFormat="1">
      <c r="A11" s="754" t="s">
        <v>214</v>
      </c>
      <c r="B11" s="759"/>
      <c r="C11" s="640">
        <f>huishoudens!B8</f>
        <v>53076.17496328985</v>
      </c>
      <c r="D11" s="640">
        <f>huishoudens!C8</f>
        <v>0</v>
      </c>
      <c r="E11" s="640">
        <f>huishoudens!D8</f>
        <v>82680.76140965338</v>
      </c>
      <c r="F11" s="640">
        <f>huishoudens!E8</f>
        <v>3458.0460537138674</v>
      </c>
      <c r="G11" s="640">
        <f>huishoudens!F8</f>
        <v>105973.45613013039</v>
      </c>
      <c r="H11" s="640">
        <f>huishoudens!G8</f>
        <v>0</v>
      </c>
      <c r="I11" s="640">
        <f>huishoudens!H8</f>
        <v>0</v>
      </c>
      <c r="J11" s="640">
        <f>huishoudens!I8</f>
        <v>0</v>
      </c>
      <c r="K11" s="640">
        <f>huishoudens!J8</f>
        <v>2006.9262474731117</v>
      </c>
      <c r="L11" s="640">
        <f>huishoudens!K8</f>
        <v>0</v>
      </c>
      <c r="M11" s="640">
        <f>huishoudens!L8</f>
        <v>0</v>
      </c>
      <c r="N11" s="640">
        <f>huishoudens!M8</f>
        <v>0</v>
      </c>
      <c r="O11" s="640">
        <f>huishoudens!N8</f>
        <v>18230.797926553882</v>
      </c>
      <c r="P11" s="640">
        <f>huishoudens!O8</f>
        <v>267.33000000000004</v>
      </c>
      <c r="Q11" s="641">
        <f>huishoudens!P8</f>
        <v>972.4</v>
      </c>
      <c r="R11" s="643">
        <f>SUM(C11:Q11)</f>
        <v>266665.89273081452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30961.251790170438</v>
      </c>
      <c r="D13" s="640">
        <f>industrie!C18</f>
        <v>0</v>
      </c>
      <c r="E13" s="640">
        <f>industrie!D18</f>
        <v>9088.0015809368961</v>
      </c>
      <c r="F13" s="640">
        <f>industrie!E18</f>
        <v>5585.3891313508157</v>
      </c>
      <c r="G13" s="640">
        <f>industrie!F18</f>
        <v>20212.884874936648</v>
      </c>
      <c r="H13" s="640">
        <f>industrie!G18</f>
        <v>0</v>
      </c>
      <c r="I13" s="640">
        <f>industrie!H18</f>
        <v>0</v>
      </c>
      <c r="J13" s="640">
        <f>industrie!I18</f>
        <v>0</v>
      </c>
      <c r="K13" s="640">
        <f>industrie!J18</f>
        <v>23.361652478300467</v>
      </c>
      <c r="L13" s="640">
        <f>industrie!K18</f>
        <v>0</v>
      </c>
      <c r="M13" s="640">
        <f>industrie!L18</f>
        <v>0</v>
      </c>
      <c r="N13" s="640">
        <f>industrie!M18</f>
        <v>0</v>
      </c>
      <c r="O13" s="640">
        <f>industrie!N18</f>
        <v>3139.0005347676424</v>
      </c>
      <c r="P13" s="640">
        <f>industrie!O18</f>
        <v>0</v>
      </c>
      <c r="Q13" s="641">
        <f>industrie!P18</f>
        <v>0</v>
      </c>
      <c r="R13" s="643">
        <f>SUM(C13:Q13)</f>
        <v>69009.889564640747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122567.70747793023</v>
      </c>
      <c r="D16" s="675">
        <f t="shared" ref="D16:R16" ca="1" si="0">SUM(D9:D15)</f>
        <v>1928.5714285714287</v>
      </c>
      <c r="E16" s="675">
        <f t="shared" ca="1" si="0"/>
        <v>131304.07619946272</v>
      </c>
      <c r="F16" s="675">
        <f t="shared" si="0"/>
        <v>9201.0961042458694</v>
      </c>
      <c r="G16" s="675">
        <f t="shared" ca="1" si="0"/>
        <v>130165.52599963626</v>
      </c>
      <c r="H16" s="675">
        <f t="shared" si="0"/>
        <v>0</v>
      </c>
      <c r="I16" s="675">
        <f t="shared" si="0"/>
        <v>0</v>
      </c>
      <c r="J16" s="675">
        <f t="shared" si="0"/>
        <v>0</v>
      </c>
      <c r="K16" s="675">
        <f t="shared" si="0"/>
        <v>2400.1330605313719</v>
      </c>
      <c r="L16" s="675">
        <f t="shared" si="0"/>
        <v>0</v>
      </c>
      <c r="M16" s="675">
        <f t="shared" ca="1" si="0"/>
        <v>0</v>
      </c>
      <c r="N16" s="675">
        <f t="shared" si="0"/>
        <v>0</v>
      </c>
      <c r="O16" s="675">
        <f t="shared" ca="1" si="0"/>
        <v>22860.526840812367</v>
      </c>
      <c r="P16" s="675">
        <f t="shared" si="0"/>
        <v>267.33000000000004</v>
      </c>
      <c r="Q16" s="675">
        <f t="shared" si="0"/>
        <v>1010.5333333333333</v>
      </c>
      <c r="R16" s="675">
        <f t="shared" ca="1" si="0"/>
        <v>421705.50044452364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11.216321100087683</v>
      </c>
      <c r="D19" s="640">
        <f>transport!C54</f>
        <v>0</v>
      </c>
      <c r="E19" s="640">
        <f>transport!D54</f>
        <v>0</v>
      </c>
      <c r="F19" s="640">
        <f>transport!E54</f>
        <v>0</v>
      </c>
      <c r="G19" s="640">
        <f>transport!F54</f>
        <v>0</v>
      </c>
      <c r="H19" s="640">
        <f>transport!G54</f>
        <v>2183.1934357788823</v>
      </c>
      <c r="I19" s="640">
        <f>transport!H54</f>
        <v>0</v>
      </c>
      <c r="J19" s="640">
        <f>transport!I54</f>
        <v>0</v>
      </c>
      <c r="K19" s="640">
        <f>transport!J54</f>
        <v>0</v>
      </c>
      <c r="L19" s="640">
        <f>transport!K54</f>
        <v>0</v>
      </c>
      <c r="M19" s="640">
        <f>transport!L54</f>
        <v>0</v>
      </c>
      <c r="N19" s="640">
        <f>transport!M54</f>
        <v>97.896228122060535</v>
      </c>
      <c r="O19" s="640">
        <f>transport!N54</f>
        <v>0</v>
      </c>
      <c r="P19" s="640">
        <f>transport!O54</f>
        <v>0</v>
      </c>
      <c r="Q19" s="641">
        <f>transport!P54</f>
        <v>0</v>
      </c>
      <c r="R19" s="643">
        <f>SUM(C19:Q19)</f>
        <v>2292.3059850010304</v>
      </c>
      <c r="S19" s="67"/>
    </row>
    <row r="20" spans="1:19" s="444" customFormat="1">
      <c r="A20" s="754" t="s">
        <v>296</v>
      </c>
      <c r="B20" s="759"/>
      <c r="C20" s="640">
        <f>transport!B14</f>
        <v>9.983739592321065</v>
      </c>
      <c r="D20" s="640">
        <f>transport!C14</f>
        <v>0</v>
      </c>
      <c r="E20" s="640">
        <f>transport!D14</f>
        <v>10.394843057772055</v>
      </c>
      <c r="F20" s="640">
        <f>transport!E14</f>
        <v>364.85404368984979</v>
      </c>
      <c r="G20" s="640">
        <f>transport!F14</f>
        <v>0</v>
      </c>
      <c r="H20" s="640">
        <f>transport!G14</f>
        <v>98206.933946303936</v>
      </c>
      <c r="I20" s="640">
        <f>transport!H14</f>
        <v>18802.070744672368</v>
      </c>
      <c r="J20" s="640">
        <f>transport!I14</f>
        <v>0</v>
      </c>
      <c r="K20" s="640">
        <f>transport!J14</f>
        <v>0</v>
      </c>
      <c r="L20" s="640">
        <f>transport!K14</f>
        <v>0</v>
      </c>
      <c r="M20" s="640">
        <f>transport!L14</f>
        <v>0</v>
      </c>
      <c r="N20" s="640">
        <f>transport!M14</f>
        <v>5291.2339962504166</v>
      </c>
      <c r="O20" s="640">
        <f>transport!N14</f>
        <v>0</v>
      </c>
      <c r="P20" s="640">
        <f>transport!O14</f>
        <v>0</v>
      </c>
      <c r="Q20" s="641">
        <f>transport!P14</f>
        <v>0</v>
      </c>
      <c r="R20" s="643">
        <f>SUM(C20:Q20)</f>
        <v>122685.47131356667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21.200060692408748</v>
      </c>
      <c r="D22" s="757">
        <f t="shared" ref="D22:R22" si="1">SUM(D18:D21)</f>
        <v>0</v>
      </c>
      <c r="E22" s="757">
        <f t="shared" si="1"/>
        <v>10.394843057772055</v>
      </c>
      <c r="F22" s="757">
        <f t="shared" si="1"/>
        <v>364.85404368984979</v>
      </c>
      <c r="G22" s="757">
        <f t="shared" si="1"/>
        <v>0</v>
      </c>
      <c r="H22" s="757">
        <f t="shared" si="1"/>
        <v>100390.12738208282</v>
      </c>
      <c r="I22" s="757">
        <f t="shared" si="1"/>
        <v>18802.070744672368</v>
      </c>
      <c r="J22" s="757">
        <f t="shared" si="1"/>
        <v>0</v>
      </c>
      <c r="K22" s="757">
        <f t="shared" si="1"/>
        <v>0</v>
      </c>
      <c r="L22" s="757">
        <f t="shared" si="1"/>
        <v>0</v>
      </c>
      <c r="M22" s="757">
        <f t="shared" si="1"/>
        <v>0</v>
      </c>
      <c r="N22" s="757">
        <f t="shared" si="1"/>
        <v>5389.1302243724767</v>
      </c>
      <c r="O22" s="757">
        <f t="shared" si="1"/>
        <v>0</v>
      </c>
      <c r="P22" s="757">
        <f t="shared" si="1"/>
        <v>0</v>
      </c>
      <c r="Q22" s="757">
        <f t="shared" si="1"/>
        <v>0</v>
      </c>
      <c r="R22" s="757">
        <f t="shared" si="1"/>
        <v>124977.7772985677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1055.6611927380741</v>
      </c>
      <c r="D24" s="640">
        <f>+landbouw!C8</f>
        <v>0</v>
      </c>
      <c r="E24" s="640">
        <f>+landbouw!D8</f>
        <v>156.88708561524078</v>
      </c>
      <c r="F24" s="640">
        <f>+landbouw!E8</f>
        <v>21.920498690627625</v>
      </c>
      <c r="G24" s="640">
        <f>+landbouw!F8</f>
        <v>3730.7335925265834</v>
      </c>
      <c r="H24" s="640">
        <f>+landbouw!G8</f>
        <v>0</v>
      </c>
      <c r="I24" s="640">
        <f>+landbouw!H8</f>
        <v>0</v>
      </c>
      <c r="J24" s="640">
        <f>+landbouw!I8</f>
        <v>0</v>
      </c>
      <c r="K24" s="640">
        <f>+landbouw!J8</f>
        <v>121.077661929131</v>
      </c>
      <c r="L24" s="640">
        <f>+landbouw!K8</f>
        <v>0</v>
      </c>
      <c r="M24" s="640">
        <f>+landbouw!L8</f>
        <v>0</v>
      </c>
      <c r="N24" s="640">
        <f>+landbouw!M8</f>
        <v>0</v>
      </c>
      <c r="O24" s="640">
        <f>+landbouw!N8</f>
        <v>0</v>
      </c>
      <c r="P24" s="640">
        <f>+landbouw!O8</f>
        <v>0</v>
      </c>
      <c r="Q24" s="641">
        <f>+landbouw!P8</f>
        <v>0</v>
      </c>
      <c r="R24" s="643">
        <f>SUM(C24:Q24)</f>
        <v>5086.2800314996566</v>
      </c>
      <c r="S24" s="67"/>
    </row>
    <row r="25" spans="1:19" s="444" customFormat="1" ht="15" thickBot="1">
      <c r="A25" s="776" t="s">
        <v>806</v>
      </c>
      <c r="B25" s="939"/>
      <c r="C25" s="940">
        <f>IF(Onbekend_ele_kWh="---",0,Onbekend_ele_kWh)/1000+IF(REST_rest_ele_kWh="---",0,REST_rest_ele_kWh)/1000</f>
        <v>1911.7660088310499</v>
      </c>
      <c r="D25" s="940"/>
      <c r="E25" s="940">
        <f>IF(onbekend_gas_kWh="---",0,onbekend_gas_kWh)/1000+IF(REST_rest_gas_kWh="---",0,REST_rest_gas_kWh)/1000</f>
        <v>6056.95351554847</v>
      </c>
      <c r="F25" s="940"/>
      <c r="G25" s="940"/>
      <c r="H25" s="940"/>
      <c r="I25" s="940"/>
      <c r="J25" s="940"/>
      <c r="K25" s="940"/>
      <c r="L25" s="940"/>
      <c r="M25" s="940"/>
      <c r="N25" s="940"/>
      <c r="O25" s="940"/>
      <c r="P25" s="940"/>
      <c r="Q25" s="941"/>
      <c r="R25" s="643">
        <f>SUM(C25:Q25)</f>
        <v>7968.7195243795195</v>
      </c>
      <c r="S25" s="67"/>
    </row>
    <row r="26" spans="1:19" s="444" customFormat="1" ht="15.75" thickBot="1">
      <c r="A26" s="648" t="s">
        <v>807</v>
      </c>
      <c r="B26" s="762"/>
      <c r="C26" s="757">
        <f>SUM(C24:C25)</f>
        <v>2967.427201569124</v>
      </c>
      <c r="D26" s="757">
        <f t="shared" ref="D26:R26" si="2">SUM(D24:D25)</f>
        <v>0</v>
      </c>
      <c r="E26" s="757">
        <f t="shared" si="2"/>
        <v>6213.8406011637107</v>
      </c>
      <c r="F26" s="757">
        <f t="shared" si="2"/>
        <v>21.920498690627625</v>
      </c>
      <c r="G26" s="757">
        <f t="shared" si="2"/>
        <v>3730.7335925265834</v>
      </c>
      <c r="H26" s="757">
        <f t="shared" si="2"/>
        <v>0</v>
      </c>
      <c r="I26" s="757">
        <f t="shared" si="2"/>
        <v>0</v>
      </c>
      <c r="J26" s="757">
        <f t="shared" si="2"/>
        <v>0</v>
      </c>
      <c r="K26" s="757">
        <f t="shared" si="2"/>
        <v>121.077661929131</v>
      </c>
      <c r="L26" s="757">
        <f t="shared" si="2"/>
        <v>0</v>
      </c>
      <c r="M26" s="757">
        <f t="shared" si="2"/>
        <v>0</v>
      </c>
      <c r="N26" s="757">
        <f t="shared" si="2"/>
        <v>0</v>
      </c>
      <c r="O26" s="757">
        <f t="shared" si="2"/>
        <v>0</v>
      </c>
      <c r="P26" s="757">
        <f t="shared" si="2"/>
        <v>0</v>
      </c>
      <c r="Q26" s="757">
        <f t="shared" si="2"/>
        <v>0</v>
      </c>
      <c r="R26" s="757">
        <f t="shared" si="2"/>
        <v>13054.999555879176</v>
      </c>
      <c r="S26" s="67"/>
    </row>
    <row r="27" spans="1:19" s="444" customFormat="1" ht="17.25" thickTop="1" thickBot="1">
      <c r="A27" s="649" t="s">
        <v>109</v>
      </c>
      <c r="B27" s="749"/>
      <c r="C27" s="650">
        <f ca="1">C22+C16+C26</f>
        <v>125556.33474019177</v>
      </c>
      <c r="D27" s="650">
        <f t="shared" ref="D27:R27" ca="1" si="3">D22+D16+D26</f>
        <v>1928.5714285714287</v>
      </c>
      <c r="E27" s="650">
        <f t="shared" ca="1" si="3"/>
        <v>137528.3116436842</v>
      </c>
      <c r="F27" s="650">
        <f t="shared" si="3"/>
        <v>9587.8706466263466</v>
      </c>
      <c r="G27" s="650">
        <f t="shared" ca="1" si="3"/>
        <v>133896.25959216285</v>
      </c>
      <c r="H27" s="650">
        <f t="shared" si="3"/>
        <v>100390.12738208282</v>
      </c>
      <c r="I27" s="650">
        <f t="shared" si="3"/>
        <v>18802.070744672368</v>
      </c>
      <c r="J27" s="650">
        <f t="shared" si="3"/>
        <v>0</v>
      </c>
      <c r="K27" s="650">
        <f t="shared" si="3"/>
        <v>2521.2107224605029</v>
      </c>
      <c r="L27" s="650">
        <f t="shared" si="3"/>
        <v>0</v>
      </c>
      <c r="M27" s="650">
        <f t="shared" ca="1" si="3"/>
        <v>0</v>
      </c>
      <c r="N27" s="650">
        <f t="shared" si="3"/>
        <v>5389.1302243724767</v>
      </c>
      <c r="O27" s="650">
        <f t="shared" ca="1" si="3"/>
        <v>22860.526840812367</v>
      </c>
      <c r="P27" s="650">
        <f t="shared" si="3"/>
        <v>267.33000000000004</v>
      </c>
      <c r="Q27" s="650">
        <f t="shared" si="3"/>
        <v>1010.5333333333333</v>
      </c>
      <c r="R27" s="650">
        <f t="shared" ca="1" si="3"/>
        <v>559738.2772989705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8080.3843071636074</v>
      </c>
      <c r="D40" s="640">
        <f ca="1">tertiair!C20</f>
        <v>458.31932773109253</v>
      </c>
      <c r="E40" s="640">
        <f ca="1">tertiair!D20</f>
        <v>7986.1332681922331</v>
      </c>
      <c r="F40" s="640">
        <f>tertiair!E20</f>
        <v>35.789028654129538</v>
      </c>
      <c r="G40" s="640">
        <f ca="1">tertiair!F20</f>
        <v>1062.4423935499826</v>
      </c>
      <c r="H40" s="640">
        <f>tertiair!G20</f>
        <v>0</v>
      </c>
      <c r="I40" s="640">
        <f>tertiair!H20</f>
        <v>0</v>
      </c>
      <c r="J40" s="640">
        <f>tertiair!I20</f>
        <v>0</v>
      </c>
      <c r="K40" s="640">
        <f>tertiair!J20</f>
        <v>130.92518684530569</v>
      </c>
      <c r="L40" s="640">
        <f>tertiair!K20</f>
        <v>0</v>
      </c>
      <c r="M40" s="640">
        <f ca="1">tertiair!L20</f>
        <v>0</v>
      </c>
      <c r="N40" s="640">
        <f>tertiair!M20</f>
        <v>0</v>
      </c>
      <c r="O40" s="640">
        <f ca="1">tertiair!N20</f>
        <v>0</v>
      </c>
      <c r="P40" s="640">
        <f>tertiair!O20</f>
        <v>0</v>
      </c>
      <c r="Q40" s="717">
        <f>tertiair!P20</f>
        <v>0</v>
      </c>
      <c r="R40" s="795">
        <f t="shared" ca="1" si="4"/>
        <v>17753.993512136352</v>
      </c>
    </row>
    <row r="41" spans="1:18">
      <c r="A41" s="767" t="s">
        <v>214</v>
      </c>
      <c r="B41" s="774"/>
      <c r="C41" s="640">
        <f ca="1">huishoudens!B12</f>
        <v>11130.878965677124</v>
      </c>
      <c r="D41" s="640">
        <f ca="1">huishoudens!C12</f>
        <v>0</v>
      </c>
      <c r="E41" s="640">
        <f>huishoudens!D12</f>
        <v>16701.513804749982</v>
      </c>
      <c r="F41" s="640">
        <f>huishoudens!E12</f>
        <v>784.97645419304797</v>
      </c>
      <c r="G41" s="640">
        <f>huishoudens!F12</f>
        <v>28294.912786744815</v>
      </c>
      <c r="H41" s="640">
        <f>huishoudens!G12</f>
        <v>0</v>
      </c>
      <c r="I41" s="640">
        <f>huishoudens!H12</f>
        <v>0</v>
      </c>
      <c r="J41" s="640">
        <f>huishoudens!I12</f>
        <v>0</v>
      </c>
      <c r="K41" s="640">
        <f>huishoudens!J12</f>
        <v>710.45189160548148</v>
      </c>
      <c r="L41" s="640">
        <f>huishoudens!K12</f>
        <v>0</v>
      </c>
      <c r="M41" s="640">
        <f>huishoudens!L12</f>
        <v>0</v>
      </c>
      <c r="N41" s="640">
        <f>huishoudens!M12</f>
        <v>0</v>
      </c>
      <c r="O41" s="640">
        <f>huishoudens!N12</f>
        <v>0</v>
      </c>
      <c r="P41" s="640">
        <f>huishoudens!O12</f>
        <v>0</v>
      </c>
      <c r="Q41" s="717">
        <f>huishoudens!P12</f>
        <v>0</v>
      </c>
      <c r="R41" s="795">
        <f t="shared" ca="1" si="4"/>
        <v>57622.733902970445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6493.0441302637564</v>
      </c>
      <c r="D43" s="640">
        <f ca="1">industrie!C22</f>
        <v>0</v>
      </c>
      <c r="E43" s="640">
        <f>industrie!D22</f>
        <v>1835.7763193492531</v>
      </c>
      <c r="F43" s="640">
        <f>industrie!E22</f>
        <v>1267.8833328166352</v>
      </c>
      <c r="G43" s="640">
        <f>industrie!F22</f>
        <v>5396.8402616080857</v>
      </c>
      <c r="H43" s="640">
        <f>industrie!G22</f>
        <v>0</v>
      </c>
      <c r="I43" s="640">
        <f>industrie!H22</f>
        <v>0</v>
      </c>
      <c r="J43" s="640">
        <f>industrie!I22</f>
        <v>0</v>
      </c>
      <c r="K43" s="640">
        <f>industrie!J22</f>
        <v>8.2700249773183643</v>
      </c>
      <c r="L43" s="640">
        <f>industrie!K22</f>
        <v>0</v>
      </c>
      <c r="M43" s="640">
        <f>industrie!L22</f>
        <v>0</v>
      </c>
      <c r="N43" s="640">
        <f>industrie!M22</f>
        <v>0</v>
      </c>
      <c r="O43" s="640">
        <f>industrie!N22</f>
        <v>0</v>
      </c>
      <c r="P43" s="640">
        <f>industrie!O22</f>
        <v>0</v>
      </c>
      <c r="Q43" s="717">
        <f>industrie!P22</f>
        <v>0</v>
      </c>
      <c r="R43" s="794">
        <f t="shared" ca="1" si="4"/>
        <v>15001.814069015049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25704.307403104489</v>
      </c>
      <c r="D46" s="675">
        <f t="shared" ref="D46:Q46" ca="1" si="5">SUM(D39:D45)</f>
        <v>458.31932773109253</v>
      </c>
      <c r="E46" s="675">
        <f t="shared" ca="1" si="5"/>
        <v>26523.423392291468</v>
      </c>
      <c r="F46" s="675">
        <f t="shared" si="5"/>
        <v>2088.6488156638125</v>
      </c>
      <c r="G46" s="675">
        <f t="shared" ca="1" si="5"/>
        <v>34754.195441902884</v>
      </c>
      <c r="H46" s="675">
        <f t="shared" si="5"/>
        <v>0</v>
      </c>
      <c r="I46" s="675">
        <f t="shared" si="5"/>
        <v>0</v>
      </c>
      <c r="J46" s="675">
        <f t="shared" si="5"/>
        <v>0</v>
      </c>
      <c r="K46" s="675">
        <f t="shared" si="5"/>
        <v>849.64710342810554</v>
      </c>
      <c r="L46" s="675">
        <f t="shared" si="5"/>
        <v>0</v>
      </c>
      <c r="M46" s="675">
        <f t="shared" ca="1" si="5"/>
        <v>0</v>
      </c>
      <c r="N46" s="675">
        <f t="shared" si="5"/>
        <v>0</v>
      </c>
      <c r="O46" s="675">
        <f t="shared" ca="1" si="5"/>
        <v>0</v>
      </c>
      <c r="P46" s="675">
        <f t="shared" si="5"/>
        <v>0</v>
      </c>
      <c r="Q46" s="675">
        <f t="shared" si="5"/>
        <v>0</v>
      </c>
      <c r="R46" s="675">
        <f ca="1">SUM(R39:R45)</f>
        <v>90378.541484121844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2.3522326673238472</v>
      </c>
      <c r="D49" s="640">
        <f ca="1">transport!C58</f>
        <v>0</v>
      </c>
      <c r="E49" s="640">
        <f>transport!D58</f>
        <v>0</v>
      </c>
      <c r="F49" s="640">
        <f>transport!E58</f>
        <v>0</v>
      </c>
      <c r="G49" s="640">
        <f>transport!F58</f>
        <v>0</v>
      </c>
      <c r="H49" s="640">
        <f>transport!G58</f>
        <v>582.91264735296159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585.26488002028543</v>
      </c>
    </row>
    <row r="50" spans="1:18">
      <c r="A50" s="770" t="s">
        <v>296</v>
      </c>
      <c r="B50" s="780"/>
      <c r="C50" s="646">
        <f ca="1">transport!B18</f>
        <v>2.0937416289667827</v>
      </c>
      <c r="D50" s="646">
        <f>transport!C18</f>
        <v>0</v>
      </c>
      <c r="E50" s="646">
        <f>transport!D18</f>
        <v>2.0997582976699554</v>
      </c>
      <c r="F50" s="646">
        <f>transport!E18</f>
        <v>82.82186791759591</v>
      </c>
      <c r="G50" s="646">
        <f>transport!F18</f>
        <v>0</v>
      </c>
      <c r="H50" s="646">
        <f>transport!G18</f>
        <v>26221.251363663152</v>
      </c>
      <c r="I50" s="646">
        <f>transport!H18</f>
        <v>4681.7156154234199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30989.982346930803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4.4459742962906299</v>
      </c>
      <c r="D52" s="675">
        <f t="shared" ref="D52:Q52" ca="1" si="6">SUM(D48:D51)</f>
        <v>0</v>
      </c>
      <c r="E52" s="675">
        <f t="shared" si="6"/>
        <v>2.0997582976699554</v>
      </c>
      <c r="F52" s="675">
        <f t="shared" si="6"/>
        <v>82.82186791759591</v>
      </c>
      <c r="G52" s="675">
        <f t="shared" si="6"/>
        <v>0</v>
      </c>
      <c r="H52" s="675">
        <f t="shared" si="6"/>
        <v>26804.164011016113</v>
      </c>
      <c r="I52" s="675">
        <f t="shared" si="6"/>
        <v>4681.7156154234199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31575.247226951087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221.38816471339629</v>
      </c>
      <c r="D54" s="646">
        <f ca="1">+landbouw!C12</f>
        <v>0</v>
      </c>
      <c r="E54" s="646">
        <f>+landbouw!D12</f>
        <v>31.691191294278639</v>
      </c>
      <c r="F54" s="646">
        <f>+landbouw!E12</f>
        <v>4.9759532027724713</v>
      </c>
      <c r="G54" s="646">
        <f>+landbouw!F12</f>
        <v>996.10586920459787</v>
      </c>
      <c r="H54" s="646">
        <f>+landbouw!G12</f>
        <v>0</v>
      </c>
      <c r="I54" s="646">
        <f>+landbouw!H12</f>
        <v>0</v>
      </c>
      <c r="J54" s="646">
        <f>+landbouw!I12</f>
        <v>0</v>
      </c>
      <c r="K54" s="646">
        <f>+landbouw!J12</f>
        <v>42.861492322912369</v>
      </c>
      <c r="L54" s="646">
        <f>+landbouw!K12</f>
        <v>0</v>
      </c>
      <c r="M54" s="646">
        <f>+landbouw!L12</f>
        <v>0</v>
      </c>
      <c r="N54" s="646">
        <f>+landbouw!M12</f>
        <v>0</v>
      </c>
      <c r="O54" s="646">
        <f>+landbouw!N12</f>
        <v>0</v>
      </c>
      <c r="P54" s="646">
        <f>+landbouw!O12</f>
        <v>0</v>
      </c>
      <c r="Q54" s="647">
        <f>+landbouw!P12</f>
        <v>0</v>
      </c>
      <c r="R54" s="674">
        <f ca="1">SUM(C54:Q54)</f>
        <v>1297.0226707379577</v>
      </c>
    </row>
    <row r="55" spans="1:18" ht="15" thickBot="1">
      <c r="A55" s="770" t="s">
        <v>806</v>
      </c>
      <c r="B55" s="780"/>
      <c r="C55" s="646">
        <f ca="1">C25*'EF ele_warmte'!B12</f>
        <v>400.92633031133283</v>
      </c>
      <c r="D55" s="646"/>
      <c r="E55" s="646">
        <f>E25*EF_CO2_aardgas</f>
        <v>1223.5046101407911</v>
      </c>
      <c r="F55" s="646"/>
      <c r="G55" s="646"/>
      <c r="H55" s="646"/>
      <c r="I55" s="646"/>
      <c r="J55" s="646"/>
      <c r="K55" s="646"/>
      <c r="L55" s="646"/>
      <c r="M55" s="646"/>
      <c r="N55" s="646"/>
      <c r="O55" s="646"/>
      <c r="P55" s="646"/>
      <c r="Q55" s="647"/>
      <c r="R55" s="674">
        <f ca="1">SUM(C55:Q55)</f>
        <v>1624.4309404521239</v>
      </c>
    </row>
    <row r="56" spans="1:18" ht="15.75" thickBot="1">
      <c r="A56" s="768" t="s">
        <v>807</v>
      </c>
      <c r="B56" s="781"/>
      <c r="C56" s="675">
        <f ca="1">SUM(C54:C55)</f>
        <v>622.31449502472913</v>
      </c>
      <c r="D56" s="675">
        <f t="shared" ref="D56:Q56" ca="1" si="7">SUM(D54:D55)</f>
        <v>0</v>
      </c>
      <c r="E56" s="675">
        <f t="shared" si="7"/>
        <v>1255.1958014350698</v>
      </c>
      <c r="F56" s="675">
        <f t="shared" si="7"/>
        <v>4.9759532027724713</v>
      </c>
      <c r="G56" s="675">
        <f t="shared" si="7"/>
        <v>996.10586920459787</v>
      </c>
      <c r="H56" s="675">
        <f t="shared" si="7"/>
        <v>0</v>
      </c>
      <c r="I56" s="675">
        <f t="shared" si="7"/>
        <v>0</v>
      </c>
      <c r="J56" s="675">
        <f t="shared" si="7"/>
        <v>0</v>
      </c>
      <c r="K56" s="675">
        <f t="shared" si="7"/>
        <v>42.861492322912369</v>
      </c>
      <c r="L56" s="675">
        <f t="shared" si="7"/>
        <v>0</v>
      </c>
      <c r="M56" s="675">
        <f t="shared" si="7"/>
        <v>0</v>
      </c>
      <c r="N56" s="675">
        <f t="shared" si="7"/>
        <v>0</v>
      </c>
      <c r="O56" s="675">
        <f t="shared" si="7"/>
        <v>0</v>
      </c>
      <c r="P56" s="675">
        <f t="shared" si="7"/>
        <v>0</v>
      </c>
      <c r="Q56" s="676">
        <f t="shared" si="7"/>
        <v>0</v>
      </c>
      <c r="R56" s="677">
        <f ca="1">SUM(R54:R55)</f>
        <v>2921.4536111900816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26331.067872425509</v>
      </c>
      <c r="D61" s="683">
        <f t="shared" ref="D61:Q61" ca="1" si="8">D46+D52+D56</f>
        <v>458.31932773109253</v>
      </c>
      <c r="E61" s="683">
        <f t="shared" ca="1" si="8"/>
        <v>27780.71895202421</v>
      </c>
      <c r="F61" s="683">
        <f t="shared" si="8"/>
        <v>2176.446636784181</v>
      </c>
      <c r="G61" s="683">
        <f t="shared" ca="1" si="8"/>
        <v>35750.301311107483</v>
      </c>
      <c r="H61" s="683">
        <f t="shared" si="8"/>
        <v>26804.164011016113</v>
      </c>
      <c r="I61" s="683">
        <f t="shared" si="8"/>
        <v>4681.7156154234199</v>
      </c>
      <c r="J61" s="683">
        <f t="shared" si="8"/>
        <v>0</v>
      </c>
      <c r="K61" s="683">
        <f t="shared" si="8"/>
        <v>892.50859575101788</v>
      </c>
      <c r="L61" s="683">
        <f t="shared" si="8"/>
        <v>0</v>
      </c>
      <c r="M61" s="683">
        <f t="shared" ca="1" si="8"/>
        <v>0</v>
      </c>
      <c r="N61" s="683">
        <f t="shared" si="8"/>
        <v>0</v>
      </c>
      <c r="O61" s="683">
        <f t="shared" ca="1" si="8"/>
        <v>0</v>
      </c>
      <c r="P61" s="683">
        <f t="shared" si="8"/>
        <v>0</v>
      </c>
      <c r="Q61" s="683">
        <f t="shared" si="8"/>
        <v>0</v>
      </c>
      <c r="R61" s="683">
        <f ca="1">R46+R52+R56</f>
        <v>124875.24232226302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0.20971516830999595</v>
      </c>
      <c r="D63" s="726">
        <f t="shared" ca="1" si="9"/>
        <v>0.23764705882352943</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7.7452914798206276</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6505.176131907695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1350</v>
      </c>
      <c r="D76" s="956">
        <f>'lokale energieproductie'!C8</f>
        <v>1588.2352941176473</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320.82352941176475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6512.9214233875155</v>
      </c>
      <c r="C78" s="698">
        <f>SUM(C72:C77)</f>
        <v>1350</v>
      </c>
      <c r="D78" s="699">
        <f t="shared" ref="D78:H78" si="10">SUM(D76:D77)</f>
        <v>1588.2352941176473</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320.82352941176475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1928.5714285714287</v>
      </c>
      <c r="D87" s="720">
        <f>'lokale energieproductie'!C17</f>
        <v>2268.9075630252105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458.31932773109253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1928.5714285714287</v>
      </c>
      <c r="D90" s="698">
        <f t="shared" ref="D90:H90" si="12">SUM(D87:D89)</f>
        <v>2268.9075630252105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458.31932773109253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53076.17496328985</v>
      </c>
      <c r="C4" s="448">
        <f>huishoudens!C8</f>
        <v>0</v>
      </c>
      <c r="D4" s="448">
        <f>huishoudens!D8</f>
        <v>82680.76140965338</v>
      </c>
      <c r="E4" s="448">
        <f>huishoudens!E8</f>
        <v>3458.0460537138674</v>
      </c>
      <c r="F4" s="448">
        <f>huishoudens!F8</f>
        <v>105973.45613013039</v>
      </c>
      <c r="G4" s="448">
        <f>huishoudens!G8</f>
        <v>0</v>
      </c>
      <c r="H4" s="448">
        <f>huishoudens!H8</f>
        <v>0</v>
      </c>
      <c r="I4" s="448">
        <f>huishoudens!I8</f>
        <v>0</v>
      </c>
      <c r="J4" s="448">
        <f>huishoudens!J8</f>
        <v>2006.9262474731117</v>
      </c>
      <c r="K4" s="448">
        <f>huishoudens!K8</f>
        <v>0</v>
      </c>
      <c r="L4" s="448">
        <f>huishoudens!L8</f>
        <v>0</v>
      </c>
      <c r="M4" s="448">
        <f>huishoudens!M8</f>
        <v>0</v>
      </c>
      <c r="N4" s="448">
        <f>huishoudens!N8</f>
        <v>18230.797926553882</v>
      </c>
      <c r="O4" s="448">
        <f>huishoudens!O8</f>
        <v>267.33000000000004</v>
      </c>
      <c r="P4" s="449">
        <f>huishoudens!P8</f>
        <v>972.4</v>
      </c>
      <c r="Q4" s="450">
        <f>SUM(B4:P4)</f>
        <v>266665.89273081452</v>
      </c>
    </row>
    <row r="5" spans="1:17">
      <c r="A5" s="447" t="s">
        <v>149</v>
      </c>
      <c r="B5" s="448">
        <f ca="1">tertiair!B16</f>
        <v>36691.815724469947</v>
      </c>
      <c r="C5" s="448">
        <f ca="1">tertiair!C16</f>
        <v>1928.5714285714287</v>
      </c>
      <c r="D5" s="448">
        <f ca="1">tertiair!D16</f>
        <v>39535.313208872438</v>
      </c>
      <c r="E5" s="448">
        <f>tertiair!E16</f>
        <v>157.66091918118738</v>
      </c>
      <c r="F5" s="448">
        <f ca="1">tertiair!F16</f>
        <v>3979.1849945692229</v>
      </c>
      <c r="G5" s="448">
        <f>tertiair!G16</f>
        <v>0</v>
      </c>
      <c r="H5" s="448">
        <f>tertiair!H16</f>
        <v>0</v>
      </c>
      <c r="I5" s="448">
        <f>tertiair!I16</f>
        <v>0</v>
      </c>
      <c r="J5" s="448">
        <f>tertiair!J16</f>
        <v>369.84516057995955</v>
      </c>
      <c r="K5" s="448">
        <f>tertiair!K16</f>
        <v>0</v>
      </c>
      <c r="L5" s="448">
        <f ca="1">tertiair!L16</f>
        <v>0</v>
      </c>
      <c r="M5" s="448">
        <f>tertiair!M16</f>
        <v>0</v>
      </c>
      <c r="N5" s="448">
        <f ca="1">tertiair!N16</f>
        <v>1490.7283794908419</v>
      </c>
      <c r="O5" s="448">
        <f>tertiair!O16</f>
        <v>0</v>
      </c>
      <c r="P5" s="449">
        <f>tertiair!P16</f>
        <v>38.133333333333333</v>
      </c>
      <c r="Q5" s="447">
        <f t="shared" ref="Q5:Q14" ca="1" si="0">SUM(B5:P5)</f>
        <v>84191.253149068361</v>
      </c>
    </row>
    <row r="6" spans="1:17">
      <c r="A6" s="447" t="s">
        <v>187</v>
      </c>
      <c r="B6" s="448">
        <f>'openbare verlichting'!B8</f>
        <v>1838.4649999999999</v>
      </c>
      <c r="C6" s="448"/>
      <c r="D6" s="448"/>
      <c r="E6" s="448"/>
      <c r="F6" s="448"/>
      <c r="G6" s="448"/>
      <c r="H6" s="448"/>
      <c r="I6" s="448"/>
      <c r="J6" s="448"/>
      <c r="K6" s="448"/>
      <c r="L6" s="448"/>
      <c r="M6" s="448"/>
      <c r="N6" s="448"/>
      <c r="O6" s="448"/>
      <c r="P6" s="449"/>
      <c r="Q6" s="447">
        <f t="shared" si="0"/>
        <v>1838.4649999999999</v>
      </c>
    </row>
    <row r="7" spans="1:17">
      <c r="A7" s="447" t="s">
        <v>105</v>
      </c>
      <c r="B7" s="448">
        <f>landbouw!B8</f>
        <v>1055.6611927380741</v>
      </c>
      <c r="C7" s="448">
        <f>landbouw!C8</f>
        <v>0</v>
      </c>
      <c r="D7" s="448">
        <f>landbouw!D8</f>
        <v>156.88708561524078</v>
      </c>
      <c r="E7" s="448">
        <f>landbouw!E8</f>
        <v>21.920498690627625</v>
      </c>
      <c r="F7" s="448">
        <f>landbouw!F8</f>
        <v>3730.7335925265834</v>
      </c>
      <c r="G7" s="448">
        <f>landbouw!G8</f>
        <v>0</v>
      </c>
      <c r="H7" s="448">
        <f>landbouw!H8</f>
        <v>0</v>
      </c>
      <c r="I7" s="448">
        <f>landbouw!I8</f>
        <v>0</v>
      </c>
      <c r="J7" s="448">
        <f>landbouw!J8</f>
        <v>121.077661929131</v>
      </c>
      <c r="K7" s="448">
        <f>landbouw!K8</f>
        <v>0</v>
      </c>
      <c r="L7" s="448">
        <f>landbouw!L8</f>
        <v>0</v>
      </c>
      <c r="M7" s="448">
        <f>landbouw!M8</f>
        <v>0</v>
      </c>
      <c r="N7" s="448">
        <f>landbouw!N8</f>
        <v>0</v>
      </c>
      <c r="O7" s="448">
        <f>landbouw!O8</f>
        <v>0</v>
      </c>
      <c r="P7" s="449">
        <f>landbouw!P8</f>
        <v>0</v>
      </c>
      <c r="Q7" s="447">
        <f t="shared" si="0"/>
        <v>5086.2800314996566</v>
      </c>
    </row>
    <row r="8" spans="1:17">
      <c r="A8" s="447" t="s">
        <v>614</v>
      </c>
      <c r="B8" s="448">
        <f>industrie!B18</f>
        <v>30961.251790170438</v>
      </c>
      <c r="C8" s="448">
        <f>industrie!C18</f>
        <v>0</v>
      </c>
      <c r="D8" s="448">
        <f>industrie!D18</f>
        <v>9088.0015809368961</v>
      </c>
      <c r="E8" s="448">
        <f>industrie!E18</f>
        <v>5585.3891313508157</v>
      </c>
      <c r="F8" s="448">
        <f>industrie!F18</f>
        <v>20212.884874936648</v>
      </c>
      <c r="G8" s="448">
        <f>industrie!G18</f>
        <v>0</v>
      </c>
      <c r="H8" s="448">
        <f>industrie!H18</f>
        <v>0</v>
      </c>
      <c r="I8" s="448">
        <f>industrie!I18</f>
        <v>0</v>
      </c>
      <c r="J8" s="448">
        <f>industrie!J18</f>
        <v>23.361652478300467</v>
      </c>
      <c r="K8" s="448">
        <f>industrie!K18</f>
        <v>0</v>
      </c>
      <c r="L8" s="448">
        <f>industrie!L18</f>
        <v>0</v>
      </c>
      <c r="M8" s="448">
        <f>industrie!M18</f>
        <v>0</v>
      </c>
      <c r="N8" s="448">
        <f>industrie!N18</f>
        <v>3139.0005347676424</v>
      </c>
      <c r="O8" s="448">
        <f>industrie!O18</f>
        <v>0</v>
      </c>
      <c r="P8" s="449">
        <f>industrie!P18</f>
        <v>0</v>
      </c>
      <c r="Q8" s="447">
        <f t="shared" si="0"/>
        <v>69009.889564640747</v>
      </c>
    </row>
    <row r="9" spans="1:17" s="453" customFormat="1">
      <c r="A9" s="451" t="s">
        <v>555</v>
      </c>
      <c r="B9" s="452">
        <f>transport!B14</f>
        <v>9.983739592321065</v>
      </c>
      <c r="C9" s="452">
        <f>transport!C14</f>
        <v>0</v>
      </c>
      <c r="D9" s="452">
        <f>transport!D14</f>
        <v>10.394843057772055</v>
      </c>
      <c r="E9" s="452">
        <f>transport!E14</f>
        <v>364.85404368984979</v>
      </c>
      <c r="F9" s="452">
        <f>transport!F14</f>
        <v>0</v>
      </c>
      <c r="G9" s="452">
        <f>transport!G14</f>
        <v>98206.933946303936</v>
      </c>
      <c r="H9" s="452">
        <f>transport!H14</f>
        <v>18802.070744672368</v>
      </c>
      <c r="I9" s="452">
        <f>transport!I14</f>
        <v>0</v>
      </c>
      <c r="J9" s="452">
        <f>transport!J14</f>
        <v>0</v>
      </c>
      <c r="K9" s="452">
        <f>transport!K14</f>
        <v>0</v>
      </c>
      <c r="L9" s="452">
        <f>transport!L14</f>
        <v>0</v>
      </c>
      <c r="M9" s="452">
        <f>transport!M14</f>
        <v>5291.2339962504166</v>
      </c>
      <c r="N9" s="452">
        <f>transport!N14</f>
        <v>0</v>
      </c>
      <c r="O9" s="452">
        <f>transport!O14</f>
        <v>0</v>
      </c>
      <c r="P9" s="452">
        <f>transport!P14</f>
        <v>0</v>
      </c>
      <c r="Q9" s="451">
        <f>SUM(B9:P9)</f>
        <v>122685.47131356667</v>
      </c>
    </row>
    <row r="10" spans="1:17">
      <c r="A10" s="447" t="s">
        <v>545</v>
      </c>
      <c r="B10" s="448">
        <f>transport!B54</f>
        <v>11.216321100087683</v>
      </c>
      <c r="C10" s="448">
        <f>transport!C54</f>
        <v>0</v>
      </c>
      <c r="D10" s="448">
        <f>transport!D54</f>
        <v>0</v>
      </c>
      <c r="E10" s="448">
        <f>transport!E54</f>
        <v>0</v>
      </c>
      <c r="F10" s="448">
        <f>transport!F54</f>
        <v>0</v>
      </c>
      <c r="G10" s="448">
        <f>transport!G54</f>
        <v>2183.1934357788823</v>
      </c>
      <c r="H10" s="448">
        <f>transport!H54</f>
        <v>0</v>
      </c>
      <c r="I10" s="448">
        <f>transport!I54</f>
        <v>0</v>
      </c>
      <c r="J10" s="448">
        <f>transport!J54</f>
        <v>0</v>
      </c>
      <c r="K10" s="448">
        <f>transport!K54</f>
        <v>0</v>
      </c>
      <c r="L10" s="448">
        <f>transport!L54</f>
        <v>0</v>
      </c>
      <c r="M10" s="448">
        <f>transport!M54</f>
        <v>97.896228122060535</v>
      </c>
      <c r="N10" s="448">
        <f>transport!N54</f>
        <v>0</v>
      </c>
      <c r="O10" s="448">
        <f>transport!O54</f>
        <v>0</v>
      </c>
      <c r="P10" s="449">
        <f>transport!P54</f>
        <v>0</v>
      </c>
      <c r="Q10" s="447">
        <f t="shared" si="0"/>
        <v>2292.3059850010304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1911.7660088310499</v>
      </c>
      <c r="C14" s="455"/>
      <c r="D14" s="455">
        <f>'SEAP template'!E25</f>
        <v>6056.95351554847</v>
      </c>
      <c r="E14" s="455"/>
      <c r="F14" s="455"/>
      <c r="G14" s="455"/>
      <c r="H14" s="455"/>
      <c r="I14" s="455"/>
      <c r="J14" s="455"/>
      <c r="K14" s="455"/>
      <c r="L14" s="455"/>
      <c r="M14" s="455"/>
      <c r="N14" s="455"/>
      <c r="O14" s="455"/>
      <c r="P14" s="456"/>
      <c r="Q14" s="447">
        <f t="shared" si="0"/>
        <v>7968.7195243795195</v>
      </c>
    </row>
    <row r="15" spans="1:17" s="460" customFormat="1">
      <c r="A15" s="457" t="s">
        <v>549</v>
      </c>
      <c r="B15" s="458">
        <f ca="1">SUM(B4:B14)</f>
        <v>125556.33474019177</v>
      </c>
      <c r="C15" s="458">
        <f t="shared" ref="C15:Q15" ca="1" si="1">SUM(C4:C14)</f>
        <v>1928.5714285714287</v>
      </c>
      <c r="D15" s="458">
        <f t="shared" ca="1" si="1"/>
        <v>137528.31164368417</v>
      </c>
      <c r="E15" s="458">
        <f t="shared" si="1"/>
        <v>9587.8706466263466</v>
      </c>
      <c r="F15" s="458">
        <f t="shared" ca="1" si="1"/>
        <v>133896.25959216285</v>
      </c>
      <c r="G15" s="458">
        <f t="shared" si="1"/>
        <v>100390.12738208282</v>
      </c>
      <c r="H15" s="458">
        <f t="shared" si="1"/>
        <v>18802.070744672368</v>
      </c>
      <c r="I15" s="458">
        <f t="shared" si="1"/>
        <v>0</v>
      </c>
      <c r="J15" s="458">
        <f t="shared" si="1"/>
        <v>2521.2107224605029</v>
      </c>
      <c r="K15" s="458">
        <f t="shared" si="1"/>
        <v>0</v>
      </c>
      <c r="L15" s="458">
        <f t="shared" ca="1" si="1"/>
        <v>0</v>
      </c>
      <c r="M15" s="458">
        <f t="shared" si="1"/>
        <v>5389.1302243724767</v>
      </c>
      <c r="N15" s="458">
        <f t="shared" ca="1" si="1"/>
        <v>22860.526840812367</v>
      </c>
      <c r="O15" s="458">
        <f t="shared" si="1"/>
        <v>267.33000000000004</v>
      </c>
      <c r="P15" s="458">
        <f t="shared" si="1"/>
        <v>1010.5333333333333</v>
      </c>
      <c r="Q15" s="458">
        <f t="shared" ca="1" si="1"/>
        <v>559738.27729897038</v>
      </c>
    </row>
    <row r="17" spans="1:17">
      <c r="A17" s="461" t="s">
        <v>550</v>
      </c>
      <c r="B17" s="731">
        <f ca="1">huishoudens!B10</f>
        <v>0.20971516830999595</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11130.878965677124</v>
      </c>
      <c r="C22" s="448">
        <f t="shared" ref="C22:C32" ca="1" si="3">C4*$C$17</f>
        <v>0</v>
      </c>
      <c r="D22" s="448">
        <f t="shared" ref="D22:D32" si="4">D4*$D$17</f>
        <v>16701.513804749982</v>
      </c>
      <c r="E22" s="448">
        <f t="shared" ref="E22:E32" si="5">E4*$E$17</f>
        <v>784.97645419304797</v>
      </c>
      <c r="F22" s="448">
        <f t="shared" ref="F22:F32" si="6">F4*$F$17</f>
        <v>28294.912786744815</v>
      </c>
      <c r="G22" s="448">
        <f t="shared" ref="G22:G32" si="7">G4*$G$17</f>
        <v>0</v>
      </c>
      <c r="H22" s="448">
        <f t="shared" ref="H22:H32" si="8">H4*$H$17</f>
        <v>0</v>
      </c>
      <c r="I22" s="448">
        <f t="shared" ref="I22:I32" si="9">I4*$I$17</f>
        <v>0</v>
      </c>
      <c r="J22" s="448">
        <f t="shared" ref="J22:J32" si="10">J4*$J$17</f>
        <v>710.45189160548148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57622.733902970445</v>
      </c>
    </row>
    <row r="23" spans="1:17">
      <c r="A23" s="447" t="s">
        <v>149</v>
      </c>
      <c r="B23" s="448">
        <f t="shared" ca="1" si="2"/>
        <v>7694.8303102565706</v>
      </c>
      <c r="C23" s="448">
        <f t="shared" ca="1" si="3"/>
        <v>458.31932773109253</v>
      </c>
      <c r="D23" s="448">
        <f t="shared" ca="1" si="4"/>
        <v>7986.1332681922331</v>
      </c>
      <c r="E23" s="448">
        <f t="shared" si="5"/>
        <v>35.789028654129538</v>
      </c>
      <c r="F23" s="448">
        <f t="shared" ca="1" si="6"/>
        <v>1062.4423935499826</v>
      </c>
      <c r="G23" s="448">
        <f t="shared" si="7"/>
        <v>0</v>
      </c>
      <c r="H23" s="448">
        <f t="shared" si="8"/>
        <v>0</v>
      </c>
      <c r="I23" s="448">
        <f t="shared" si="9"/>
        <v>0</v>
      </c>
      <c r="J23" s="448">
        <f t="shared" si="10"/>
        <v>130.92518684530569</v>
      </c>
      <c r="K23" s="448">
        <f t="shared" si="11"/>
        <v>0</v>
      </c>
      <c r="L23" s="448">
        <f t="shared" ca="1" si="12"/>
        <v>0</v>
      </c>
      <c r="M23" s="448">
        <f t="shared" si="13"/>
        <v>0</v>
      </c>
      <c r="N23" s="448">
        <f t="shared" ca="1" si="14"/>
        <v>0</v>
      </c>
      <c r="O23" s="448">
        <f t="shared" si="15"/>
        <v>0</v>
      </c>
      <c r="P23" s="449">
        <f t="shared" si="16"/>
        <v>0</v>
      </c>
      <c r="Q23" s="447">
        <f t="shared" ref="Q23:Q32" ca="1" si="17">SUM(B23:P23)</f>
        <v>17368.439515229315</v>
      </c>
    </row>
    <row r="24" spans="1:17">
      <c r="A24" s="447" t="s">
        <v>187</v>
      </c>
      <c r="B24" s="448">
        <f t="shared" ca="1" si="2"/>
        <v>385.55399690703672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385.55399690703672</v>
      </c>
    </row>
    <row r="25" spans="1:17">
      <c r="A25" s="447" t="s">
        <v>105</v>
      </c>
      <c r="B25" s="448">
        <f t="shared" ca="1" si="2"/>
        <v>221.38816471339629</v>
      </c>
      <c r="C25" s="448">
        <f t="shared" ca="1" si="3"/>
        <v>0</v>
      </c>
      <c r="D25" s="448">
        <f t="shared" si="4"/>
        <v>31.691191294278639</v>
      </c>
      <c r="E25" s="448">
        <f t="shared" si="5"/>
        <v>4.9759532027724713</v>
      </c>
      <c r="F25" s="448">
        <f t="shared" si="6"/>
        <v>996.10586920459787</v>
      </c>
      <c r="G25" s="448">
        <f t="shared" si="7"/>
        <v>0</v>
      </c>
      <c r="H25" s="448">
        <f t="shared" si="8"/>
        <v>0</v>
      </c>
      <c r="I25" s="448">
        <f t="shared" si="9"/>
        <v>0</v>
      </c>
      <c r="J25" s="448">
        <f t="shared" si="10"/>
        <v>42.861492322912369</v>
      </c>
      <c r="K25" s="448">
        <f t="shared" si="11"/>
        <v>0</v>
      </c>
      <c r="L25" s="448">
        <f t="shared" si="12"/>
        <v>0</v>
      </c>
      <c r="M25" s="448">
        <f t="shared" si="13"/>
        <v>0</v>
      </c>
      <c r="N25" s="448">
        <f t="shared" si="14"/>
        <v>0</v>
      </c>
      <c r="O25" s="448">
        <f t="shared" si="15"/>
        <v>0</v>
      </c>
      <c r="P25" s="449">
        <f t="shared" si="16"/>
        <v>0</v>
      </c>
      <c r="Q25" s="447">
        <f t="shared" ca="1" si="17"/>
        <v>1297.0226707379577</v>
      </c>
    </row>
    <row r="26" spans="1:17">
      <c r="A26" s="447" t="s">
        <v>614</v>
      </c>
      <c r="B26" s="448">
        <f t="shared" ca="1" si="2"/>
        <v>6493.0441302637564</v>
      </c>
      <c r="C26" s="448">
        <f t="shared" ca="1" si="3"/>
        <v>0</v>
      </c>
      <c r="D26" s="448">
        <f t="shared" si="4"/>
        <v>1835.7763193492531</v>
      </c>
      <c r="E26" s="448">
        <f t="shared" si="5"/>
        <v>1267.8833328166352</v>
      </c>
      <c r="F26" s="448">
        <f t="shared" si="6"/>
        <v>5396.8402616080857</v>
      </c>
      <c r="G26" s="448">
        <f t="shared" si="7"/>
        <v>0</v>
      </c>
      <c r="H26" s="448">
        <f t="shared" si="8"/>
        <v>0</v>
      </c>
      <c r="I26" s="448">
        <f t="shared" si="9"/>
        <v>0</v>
      </c>
      <c r="J26" s="448">
        <f t="shared" si="10"/>
        <v>8.2700249773183643</v>
      </c>
      <c r="K26" s="448">
        <f t="shared" si="11"/>
        <v>0</v>
      </c>
      <c r="L26" s="448">
        <f t="shared" si="12"/>
        <v>0</v>
      </c>
      <c r="M26" s="448">
        <f t="shared" si="13"/>
        <v>0</v>
      </c>
      <c r="N26" s="448">
        <f t="shared" si="14"/>
        <v>0</v>
      </c>
      <c r="O26" s="448">
        <f t="shared" si="15"/>
        <v>0</v>
      </c>
      <c r="P26" s="449">
        <f t="shared" si="16"/>
        <v>0</v>
      </c>
      <c r="Q26" s="447">
        <f t="shared" ca="1" si="17"/>
        <v>15001.814069015049</v>
      </c>
    </row>
    <row r="27" spans="1:17" s="453" customFormat="1">
      <c r="A27" s="451" t="s">
        <v>555</v>
      </c>
      <c r="B27" s="725">
        <f t="shared" ca="1" si="2"/>
        <v>2.0937416289667827</v>
      </c>
      <c r="C27" s="452">
        <f t="shared" ca="1" si="3"/>
        <v>0</v>
      </c>
      <c r="D27" s="452">
        <f t="shared" si="4"/>
        <v>2.0997582976699554</v>
      </c>
      <c r="E27" s="452">
        <f t="shared" si="5"/>
        <v>82.82186791759591</v>
      </c>
      <c r="F27" s="452">
        <f t="shared" si="6"/>
        <v>0</v>
      </c>
      <c r="G27" s="452">
        <f t="shared" si="7"/>
        <v>26221.251363663152</v>
      </c>
      <c r="H27" s="452">
        <f t="shared" si="8"/>
        <v>4681.7156154234199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30989.982346930803</v>
      </c>
    </row>
    <row r="28" spans="1:17">
      <c r="A28" s="447" t="s">
        <v>545</v>
      </c>
      <c r="B28" s="448">
        <f t="shared" ca="1" si="2"/>
        <v>2.3522326673238472</v>
      </c>
      <c r="C28" s="448">
        <f t="shared" ca="1" si="3"/>
        <v>0</v>
      </c>
      <c r="D28" s="448">
        <f t="shared" si="4"/>
        <v>0</v>
      </c>
      <c r="E28" s="448">
        <f t="shared" si="5"/>
        <v>0</v>
      </c>
      <c r="F28" s="448">
        <f t="shared" si="6"/>
        <v>0</v>
      </c>
      <c r="G28" s="448">
        <f t="shared" si="7"/>
        <v>582.91264735296159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585.26488002028543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400.92633031133283</v>
      </c>
      <c r="C32" s="448">
        <f t="shared" ca="1" si="3"/>
        <v>0</v>
      </c>
      <c r="D32" s="448">
        <f t="shared" si="4"/>
        <v>1223.5046101407911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1624.4309404521239</v>
      </c>
    </row>
    <row r="33" spans="1:17" s="460" customFormat="1">
      <c r="A33" s="457" t="s">
        <v>549</v>
      </c>
      <c r="B33" s="458">
        <f ca="1">SUM(B22:B32)</f>
        <v>26331.067872425509</v>
      </c>
      <c r="C33" s="458">
        <f t="shared" ref="C33:Q33" ca="1" si="18">SUM(C22:C32)</f>
        <v>458.31932773109253</v>
      </c>
      <c r="D33" s="458">
        <f t="shared" ca="1" si="18"/>
        <v>27780.718952024206</v>
      </c>
      <c r="E33" s="458">
        <f t="shared" si="18"/>
        <v>2176.4466367841815</v>
      </c>
      <c r="F33" s="458">
        <f t="shared" ca="1" si="18"/>
        <v>35750.301311107483</v>
      </c>
      <c r="G33" s="458">
        <f t="shared" si="18"/>
        <v>26804.164011016113</v>
      </c>
      <c r="H33" s="458">
        <f t="shared" si="18"/>
        <v>4681.7156154234199</v>
      </c>
      <c r="I33" s="458">
        <f t="shared" si="18"/>
        <v>0</v>
      </c>
      <c r="J33" s="458">
        <f t="shared" si="18"/>
        <v>892.50859575101788</v>
      </c>
      <c r="K33" s="458">
        <f t="shared" si="18"/>
        <v>0</v>
      </c>
      <c r="L33" s="458">
        <f t="shared" ca="1" si="18"/>
        <v>0</v>
      </c>
      <c r="M33" s="458">
        <f t="shared" si="18"/>
        <v>0</v>
      </c>
      <c r="N33" s="458">
        <f t="shared" ca="1" si="18"/>
        <v>0</v>
      </c>
      <c r="O33" s="458">
        <f t="shared" si="18"/>
        <v>0</v>
      </c>
      <c r="P33" s="458">
        <f t="shared" si="18"/>
        <v>0</v>
      </c>
      <c r="Q33" s="458">
        <f t="shared" ca="1" si="18"/>
        <v>124875.24232226302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7.7452914798206276</v>
      </c>
      <c r="C5" s="982"/>
      <c r="D5" s="982"/>
      <c r="E5" s="982"/>
      <c r="F5" s="982"/>
      <c r="G5" s="982"/>
      <c r="H5" s="982"/>
      <c r="I5" s="982"/>
      <c r="J5" s="982"/>
      <c r="K5" s="982"/>
      <c r="L5" s="982"/>
      <c r="M5" s="982"/>
      <c r="N5" s="982"/>
      <c r="O5" s="982"/>
      <c r="P5" s="983">
        <f>'SEAP template'!Q73</f>
        <v>0</v>
      </c>
    </row>
    <row r="6" spans="1:16">
      <c r="A6" s="984" t="s">
        <v>240</v>
      </c>
      <c r="B6" s="982">
        <f>'SEAP template'!B74</f>
        <v>6505.176131907695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1350</v>
      </c>
      <c r="D8" s="982">
        <f>'SEAP template'!D76</f>
        <v>1588.2352941176473</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320.82352941176475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6512.9214233875155</v>
      </c>
      <c r="C10" s="986">
        <f>SUM(C4:C9)</f>
        <v>1350</v>
      </c>
      <c r="D10" s="986">
        <f t="shared" ref="D10:H10" si="0">SUM(D8:D9)</f>
        <v>1588.2352941176473</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320.82352941176475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0.20971516830999595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1928.5714285714287</v>
      </c>
      <c r="D17" s="983">
        <f>'SEAP template'!D87</f>
        <v>2268.9075630252105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458.31932773109253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1928.5714285714287</v>
      </c>
      <c r="D20" s="986">
        <f t="shared" ref="D20:H20" si="2">SUM(D17:D19)</f>
        <v>2268.9075630252105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458.31932773109253</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0.20971516830999595</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2022-07-26T12:07:26Z</dcterms:modified>
</cp:coreProperties>
</file>