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48F84B6-CEC9-4238-BC26-9B73D18E28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<sst xmlns="http://schemas.openxmlformats.org/spreadsheetml/2006/main" count="2451" uniqueCount="911">
  <si>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</si>
  <si>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</si>
  <si>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</si>
  <si>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</si>
  <si>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</si>
  <si>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</si>
  <si>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</si>
  <si>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</si>
  <si>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</si>
  <si>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</si>
  <si>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</si>
  <si>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</si>
  <si>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</si>
  <si>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</si>
  <si>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</si>
  <si>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</si>
  <si>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</si>
  <si>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</si>
  <si>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</si>
  <si>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</si>
  <si>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</si>
  <si>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</si>
  <si>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</si>
  <si>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</si>
  <si>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</si>
  <si>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</si>
  <si>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</si>
  <si>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</si>
  <si>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</si>
  <si>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</si>
  <si>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</si>
  <si>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</si>
  <si>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</si>
  <si>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</si>
  <si>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</si>
  <si>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</si>
  <si>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</si>
  <si>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</si>
  <si>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</si>
  <si>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</si>
  <si>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</si>
  <si>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</si>
  <si>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</si>
  <si>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</si>
  <si>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</si>
  <si>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</si>
  <si>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</si>
  <si>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</si>
  <si>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</si>
  <si>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</si>
  <si>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</si>
  <si>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</si>
  <si>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</si>
  <si>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</si>
  <si>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</si>
  <si>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</si>
  <si>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</si>
  <si>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</si>
  <si>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</si>
  <si>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</si>
  <si>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</si>
  <si>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</si>
  <si>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</si>
  <si>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</si>
  <si>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</si>
  <si>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</si>
  <si>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</si>
  <si>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</si>
  <si>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</si>
  <si>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</si>
  <si>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</si>
  <si>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</si>
  <si>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</si>
  <si>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</si>
  <si>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</si>
  <si>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</si>
  <si>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</si>
  <si>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</si>
  <si>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</si>
  <si>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</si>
  <si>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</si>
  <si>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</si>
  <si>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</si>
  <si>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</si>
  <si>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</si>
  <si>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</si>
  <si>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</si>
  <si>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</si>
  <si>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</si>
  <si>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</si>
  <si>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</si>
  <si>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</si>
  <si>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</si>
  <si>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</si>
  <si>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</si>
  <si>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</si>
  <si>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</si>
  <si>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</si>
  <si>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</si>
  <si>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</si>
  <si>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</si>
  <si>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</si>
  <si>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</si>
  <si>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</si>
  <si>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</si>
  <si>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</si>
  <si>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</si>
  <si>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</si>
  <si>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</si>
  <si>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</si>
  <si>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</si>
  <si>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</si>
  <si>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</si>
  <si>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</si>
  <si>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</si>
  <si>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</si>
  <si>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</si>
  <si>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</si>
  <si>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</si>
  <si>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</si>
  <si>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</si>
  <si>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</si>
  <si>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</si>
  <si>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</si>
  <si>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</si>
  <si>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</si>
  <si>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</si>
  <si>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</si>
  <si>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</si>
  <si>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</si>
  <si>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</si>
  <si>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</si>
  <si>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</si>
  <si>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</si>
  <si>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</si>
  <si>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</si>
  <si>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</si>
  <si>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</si>
  <si>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</si>
  <si>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</si>
  <si>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</si>
  <si>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</si>
  <si>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</si>
  <si>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</si>
  <si>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</si>
  <si>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</si>
  <si>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</si>
  <si>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</si>
  <si>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</si>
  <si>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</si>
  <si>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</si>
  <si>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</si>
  <si>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</si>
  <si>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</si>
  <si>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</si>
  <si>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</si>
  <si>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</si>
  <si>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</si>
  <si>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</si>
  <si>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</si>
  <si>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</si>
  <si>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</si>
  <si>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</si>
  <si>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</si>
  <si>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</si>
  <si>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</si>
  <si>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</si>
  <si>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</si>
  <si>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</si>
  <si>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</si>
  <si>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</si>
  <si>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</si>
  <si>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</si>
  <si>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</si>
  <si>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</si>
  <si>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</si>
  <si>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</si>
  <si>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</si>
  <si>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</si>
  <si>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</si>
  <si>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</si>
  <si>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</si>
  <si>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</si>
  <si>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</si>
  <si>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</si>
  <si>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</si>
  <si>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</si>
  <si>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</si>
  <si>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</si>
  <si>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</si>
  <si>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</si>
  <si>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</si>
  <si>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</si>
  <si>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</si>
  <si>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</si>
  <si>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</si>
  <si>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</si>
  <si>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</si>
  <si>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</si>
  <si>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</si>
  <si>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</si>
  <si>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</si>
  <si>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</si>
  <si>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</si>
  <si>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</si>
  <si>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</si>
  <si>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</si>
  <si>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</si>
  <si>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</si>
  <si>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</si>
  <si>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</si>
  <si>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</si>
  <si>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</si>
  <si>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</si>
  <si>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</si>
  <si>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</si>
  <si>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</si>
  <si>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</si>
  <si>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</si>
  <si>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</si>
  <si>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</si>
  <si>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</si>
  <si>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</si>
  <si>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</si>
  <si>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</si>
  <si>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</si>
  <si>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</si>
  <si>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</si>
  <si>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</si>
  <si>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</si>
  <si>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</si>
  <si>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</si>
  <si>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</si>
  <si>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</si>
  <si>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</si>
  <si>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</si>
  <si>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</si>
  <si>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</si>
  <si>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</si>
  <si>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</si>
  <si>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</si>
  <si>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</si>
  <si>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</si>
  <si>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</si>
  <si>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</si>
  <si>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</si>
  <si>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</si>
  <si>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</si>
  <si>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</si>
  <si>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</si>
  <si>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</si>
  <si>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</si>
  <si>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</si>
  <si>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</si>
  <si>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</si>
  <si>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</si>
  <si>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</si>
  <si>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</si>
  <si>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</si>
  <si>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</si>
  <si>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</si>
  <si>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</si>
  <si>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</si>
  <si>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</si>
  <si>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</si>
  <si>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</si>
  <si>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</si>
  <si>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</si>
  <si>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</si>
  <si>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</si>
  <si>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</si>
  <si>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</si>
  <si>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</si>
  <si>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</si>
  <si>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</si>
  <si>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</si>
  <si>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</si>
  <si>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</si>
  <si>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</si>
  <si>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</si>
  <si>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</si>
  <si>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</si>
  <si>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</si>
  <si>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</si>
  <si>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</si>
  <si>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</si>
  <si>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</si>
  <si>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</si>
  <si>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</si>
  <si>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</si>
  <si>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</si>
  <si>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</si>
  <si>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</si>
  <si>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</si>
  <si>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</si>
  <si>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</si>
  <si>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</si>
  <si>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</si>
  <si>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</si>
  <si>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</si>
  <si>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</si>
  <si>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</si>
  <si>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</si>
  <si>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</si>
  <si>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</si>
  <si>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</si>
  <si>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</si>
  <si>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</si>
  <si>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</si>
  <si>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</si>
  <si>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</si>
  <si>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</si>
  <si>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</si>
  <si>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</si>
  <si>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</si>
  <si>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</si>
  <si>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</si>
  <si>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</si>
  <si>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</si>
  <si>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</si>
  <si>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</si>
  <si>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</si>
  <si>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</si>
  <si>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</si>
  <si>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</si>
  <si>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</si>
  <si>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</si>
  <si>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</si>
  <si>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</si>
  <si>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</si>
  <si>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</si>
  <si>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</si>
  <si>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</si>
  <si>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</si>
  <si>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</si>
  <si>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</si>
  <si>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</si>
  <si>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</si>
  <si>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</si>
  <si>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</si>
  <si>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</si>
  <si>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</si>
  <si>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</si>
  <si>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</si>
  <si>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</si>
  <si>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</si>
  <si>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</si>
  <si>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</si>
  <si>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</si>
  <si>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</si>
  <si>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</si>
  <si>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</si>
  <si>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</si>
  <si>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</si>
  <si>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</si>
  <si>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</si>
  <si>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</si>
  <si>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</si>
  <si>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</si>
  <si>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</si>
  <si>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</si>
  <si>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</si>
  <si>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</si>
  <si>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</si>
  <si>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</si>
  <si>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</si>
  <si>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</si>
  <si>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</si>
  <si>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</si>
  <si>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</si>
  <si>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</si>
  <si>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</si>
  <si>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</si>
  <si>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</si>
  <si>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</si>
  <si>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</si>
  <si>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</si>
  <si>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</si>
  <si>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</si>
  <si>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</si>
  <si>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</si>
  <si>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</si>
  <si>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</si>
  <si>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</si>
  <si>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</si>
  <si>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</si>
  <si>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</si>
  <si>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</si>
  <si>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</si>
  <si>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</si>
  <si>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</si>
  <si>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</si>
  <si>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</si>
  <si>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</si>
  <si>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</si>
  <si>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</si>
  <si>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</si>
  <si>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</si>
  <si>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</si>
  <si>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</si>
  <si>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</si>
  <si>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</si>
  <si>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</si>
  <si>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</si>
  <si>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</si>
  <si>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</si>
  <si>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</si>
  <si>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</si>
  <si>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</si>
  <si>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</si>
  <si>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</si>
  <si>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</si>
  <si>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</si>
  <si>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</si>
  <si>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</si>
  <si>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</si>
  <si>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</si>
  <si>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</si>
  <si>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</si>
  <si>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</si>
  <si>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</si>
  <si>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</si>
  <si>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</si>
  <si>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</si>
  <si>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</si>
  <si>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</si>
  <si>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</si>
  <si>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</si>
  <si>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</si>
  <si>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</si>
  <si>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</si>
  <si>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</si>
  <si>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</si>
  <si>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</si>
  <si>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</si>
  <si>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</si>
  <si>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</si>
  <si>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</si>
  <si>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</si>
  <si>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</si>
  <si>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</si>
  <si>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</si>
  <si>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</si>
  <si>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</si>
  <si>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</si>
  <si>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</si>
  <si>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</si>
  <si>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</si>
  <si>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</si>
  <si>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</si>
  <si>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</si>
  <si>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</si>
  <si>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</si>
  <si>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</si>
  <si>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</si>
  <si>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</si>
  <si>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</si>
  <si>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</si>
  <si>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</si>
  <si>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</si>
  <si>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</si>
  <si>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</si>
  <si>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</si>
  <si>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</si>
  <si>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</si>
  <si>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</si>
  <si>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</si>
  <si>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</si>
  <si>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</si>
  <si>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</si>
  <si>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</si>
  <si>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</si>
  <si>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</si>
  <si>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</si>
  <si>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</si>
  <si>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</si>
  <si>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</si>
  <si>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</si>
  <si>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</si>
  <si>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</si>
  <si>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</si>
  <si>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</si>
  <si>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</si>
  <si>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</si>
  <si>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</si>
  <si>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</si>
  <si>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</si>
  <si>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</si>
  <si>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</si>
  <si>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</si>
  <si>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</si>
  <si>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</si>
  <si>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</si>
  <si>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</si>
  <si>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</si>
  <si>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</si>
  <si>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</si>
  <si>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</si>
  <si>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</si>
  <si>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</si>
  <si>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</si>
  <si>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</si>
  <si>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</si>
  <si>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</si>
  <si>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</si>
  <si>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</si>
  <si>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</si>
  <si>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</si>
  <si>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</si>
  <si>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</si>
  <si>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</si>
  <si>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</si>
  <si>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</si>
  <si>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</si>
  <si>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</si>
  <si>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</si>
  <si>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</si>
  <si>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</si>
  <si>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</si>
  <si>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</si>
  <si>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</si>
  <si>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</si>
  <si>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</si>
  <si>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</si>
  <si>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</si>
  <si>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</si>
  <si>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</si>
  <si>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</si>
  <si>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</si>
  <si>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</si>
  <si>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</si>
  <si>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</si>
  <si>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</si>
  <si>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</si>
  <si>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</si>
  <si>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</si>
  <si>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</si>
  <si>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</si>
  <si>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</si>
  <si>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</si>
  <si>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</si>
  <si>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</si>
  <si>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</si>
  <si>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</si>
  <si>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</si>
  <si>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</si>
  <si>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</si>
  <si>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</si>
  <si>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</si>
  <si>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</si>
  <si>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</si>
  <si>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</si>
  <si>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</si>
  <si>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</si>
  <si>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</si>
  <si>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</si>
  <si>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</si>
  <si>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</si>
  <si>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</si>
  <si>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</si>
  <si>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</si>
  <si>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</si>
  <si>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</si>
  <si>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</si>
  <si>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</si>
  <si>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</si>
  <si>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</si>
  <si>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</si>
  <si>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</si>
  <si>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</si>
  <si>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</si>
  <si>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</si>
  <si>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</si>
  <si>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</si>
  <si>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</si>
  <si>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</si>
  <si>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</si>
  <si>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</si>
  <si>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</si>
  <si>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</si>
  <si>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</si>
  <si>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</si>
  <si>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</si>
  <si>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</si>
  <si>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</si>
  <si>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</si>
  <si>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</si>
  <si>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</si>
  <si>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</si>
  <si>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</si>
  <si>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</si>
  <si>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</si>
  <si>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</si>
  <si>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</si>
  <si>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</si>
  <si>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</si>
  <si>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</si>
  <si>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</si>
  <si>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</si>
  <si>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</si>
  <si>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</si>
  <si>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</si>
  <si>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</si>
  <si>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</si>
  <si>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</si>
  <si>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</si>
  <si>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</si>
  <si>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</si>
  <si>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</si>
  <si>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</si>
  <si>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</si>
  <si>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</si>
  <si>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</si>
  <si>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</si>
  <si>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</si>
  <si>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</si>
  <si>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</si>
  <si>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</si>
  <si>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</si>
  <si>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</si>
  <si>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</si>
  <si>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</si>
  <si>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</si>
  <si>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</si>
  <si>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</si>
  <si>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</si>
  <si>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</si>
  <si>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</si>
  <si>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</si>
  <si>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</si>
  <si>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</si>
  <si>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</si>
  <si>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</si>
  <si>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</si>
  <si>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</si>
  <si>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</si>
  <si>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</si>
  <si>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</si>
  <si>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</si>
  <si>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</si>
  <si>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</si>
  <si>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</si>
  <si>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</si>
  <si>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</si>
  <si>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</si>
  <si>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</si>
  <si>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</si>
  <si>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</si>
  <si>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</si>
  <si>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</si>
  <si>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</si>
  <si>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</si>
  <si>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</si>
  <si>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</si>
  <si>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</si>
  <si>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</si>
  <si>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</si>
  <si>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</si>
  <si>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</si>
  <si>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</si>
  <si>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</si>
  <si>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</si>
  <si>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</si>
  <si>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</si>
  <si>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</si>
  <si>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</si>
  <si>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</si>
  <si>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</si>
  <si>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</si>
  <si>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</si>
  <si>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</si>
  <si>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</si>
  <si>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</si>
  <si>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</si>
  <si>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</si>
  <si>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</si>
  <si>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</si>
  <si>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</si>
  <si>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</si>
  <si>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</si>
  <si>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</si>
  <si>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</si>
  <si>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</si>
  <si>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</si>
  <si>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</si>
  <si>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</si>
  <si>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</si>
  <si>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</si>
  <si>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</si>
  <si>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</si>
  <si>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</si>
  <si>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</si>
  <si>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</si>
  <si>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</si>
  <si>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</si>
  <si>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</si>
  <si>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</si>
  <si>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</si>
  <si>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</si>
  <si>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</si>
  <si>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</si>
  <si>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</si>
  <si>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</si>
  <si>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</si>
  <si>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</si>
  <si>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</si>
  <si>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</si>
  <si>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</si>
  <si>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</si>
  <si>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</si>
  <si>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</si>
  <si>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</si>
  <si>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</si>
  <si>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</si>
  <si>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</si>
  <si>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</si>
  <si>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</si>
  <si>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</si>
  <si>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</si>
  <si>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</si>
  <si>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</si>
  <si>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</si>
  <si>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</si>
  <si>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</si>
  <si>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</si>
  <si>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</si>
  <si>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</si>
  <si>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</si>
  <si>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</si>
  <si>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</si>
  <si>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</si>
  <si>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</si>
  <si>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</si>
  <si>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</si>
  <si>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</si>
  <si>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</si>
  <si>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</si>
  <si>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</si>
  <si>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</si>
  <si>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</si>
  <si>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</si>
  <si>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</si>
  <si>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</si>
  <si>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</si>
  <si>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</si>
  <si>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</si>
  <si>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</si>
  <si>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</si>
  <si>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</si>
  <si>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</si>
  <si>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</si>
  <si>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</si>
  <si>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</si>
  <si>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</si>
  <si>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</si>
  <si>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</si>
  <si>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</si>
  <si>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</si>
  <si>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</si>
  <si>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</si>
  <si>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</si>
  <si>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</si>
  <si>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</si>
  <si>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</si>
  <si>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</si>
  <si>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</si>
  <si>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</si>
  <si>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</si>
  <si>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</si>
  <si>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</si>
  <si>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</si>
  <si>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</si>
  <si>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</si>
  <si>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</si>
  <si>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</si>
  <si>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</si>
  <si>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</si>
  <si>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</si>
  <si>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</si>
  <si>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</si>
  <si>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</si>
  <si>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</si>
  <si>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</si>
  <si>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</si>
  <si>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</si>
  <si>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</si>
  <si>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</si>
  <si>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</si>
  <si>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</si>
  <si>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</si>
  <si>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</si>
  <si>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</si>
  <si>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</si>
  <si>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</si>
  <si>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</si>
  <si>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</si>
  <si>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</si>
  <si>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</si>
  <si>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</si>
  <si>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</si>
  <si>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</si>
  <si>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</si>
  <si>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</si>
  <si>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</si>
  <si>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</si>
  <si>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</si>
  <si>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</si>
  <si>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</si>
  <si>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</si>
  <si>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</si>
  <si>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</si>
  <si>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</si>
  <si>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</si>
  <si>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</si>
  <si>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</si>
  <si>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</si>
  <si>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</si>
  <si>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</si>
  <si>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</si>
  <si>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</si>
  <si>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</si>
  <si>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</si>
  <si>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</si>
  <si>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</si>
  <si>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</si>
  <si>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</si>
  <si>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</si>
  <si>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</si>
  <si>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</si>
  <si>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</si>
  <si>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</si>
  <si>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</si>
  <si>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</si>
  <si>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</si>
  <si>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</si>
  <si>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</si>
  <si>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</si>
  <si>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</si>
  <si>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</si>
  <si>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</si>
  <si>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</si>
  <si>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</si>
  <si>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</si>
  <si>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</si>
  <si>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</si>
  <si>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</si>
  <si>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</si>
  <si>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</si>
  <si>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</si>
  <si>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</si>
  <si>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</si>
  <si>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</si>
  <si>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</si>
  <si>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</si>
  <si>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</si>
  <si>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</si>
  <si>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</si>
  <si>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</si>
  <si>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</si>
  <si>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</si>
  <si>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</si>
  <si>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</si>
  <si>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</si>
  <si>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</si>
  <si>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</si>
  <si>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</si>
  <si>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</si>
  <si>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</si>
  <si>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</si>
  <si>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</si>
  <si>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</si>
  <si>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</si>
  <si>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</si>
  <si>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</si>
  <si>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</si>
  <si>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</si>
  <si>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</si>
  <si>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</si>
  <si>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</si>
  <si>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</si>
  <si>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</si>
  <si>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</si>
  <si>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</si>
  <si>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</si>
  <si>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</si>
  <si>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</si>
  <si>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</si>
  <si>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</si>
  <si>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</si>
  <si>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</si>
  <si>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</si>
  <si>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</si>
  <si>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</si>
  <si>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</si>
  <si>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</si>
  <si>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</si>
  <si>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</si>
  <si>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</si>
  <si>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</si>
  <si>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</si>
  <si>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</si>
  <si>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</si>
  <si>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38025</t>
  </si>
  <si>
    <t>VEURNE</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</si>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</sst>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D40714F-1C7D-4AE0-BB46-6096B255C08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107762.55943384685</c:v>
                </c:pt>
                <c:pt idx="1">
                  <c:v>65328.411265869647</c:v>
                </c:pt>
                <c:pt idx="2">
                  <c:v>936.04600000000005</c:v>
                </c:pt>
                <c:pt idx="3">
                  <c:v>25282.587837538933</c:v>
                </c:pt>
                <c:pt idx="4">
                  <c:v>270067.68172423547</c:v>
                </c:pt>
                <c:pt idx="5">
                  <c:v>189153.11150726245</c:v>
                </c:pt>
                <c:pt idx="6">
                  <c:v>1201.1639567306624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107762.55943384685</c:v>
                </c:pt>
                <c:pt idx="1">
                  <c:v>65328.411265869647</c:v>
                </c:pt>
                <c:pt idx="2">
                  <c:v>936.04600000000005</c:v>
                </c:pt>
                <c:pt idx="3">
                  <c:v>25282.587837538933</c:v>
                </c:pt>
                <c:pt idx="4">
                  <c:v>270067.68172423547</c:v>
                </c:pt>
                <c:pt idx="5">
                  <c:v>189153.11150726245</c:v>
                </c:pt>
                <c:pt idx="6">
                  <c:v>1201.1639567306624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22018.054493213946</c:v>
                </c:pt>
                <c:pt idx="2">
                  <c:v>13187.044335419247</c:v>
                </c:pt>
                <c:pt idx="3">
                  <c:v>187.84752392725539</c:v>
                </c:pt>
                <c:pt idx="4">
                  <c:v>6425.6691053228551</c:v>
                </c:pt>
                <c:pt idx="5">
                  <c:v>55762.643340262126</c:v>
                </c:pt>
                <c:pt idx="6">
                  <c:v>47956.32732082771</c:v>
                </c:pt>
                <c:pt idx="7">
                  <c:v>306.62458770064075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22018.054493213946</c:v>
                </c:pt>
                <c:pt idx="2">
                  <c:v>13187.044335419247</c:v>
                </c:pt>
                <c:pt idx="3">
                  <c:v>187.84752392725539</c:v>
                </c:pt>
                <c:pt idx="4">
                  <c:v>6425.6691053228551</c:v>
                </c:pt>
                <c:pt idx="5">
                  <c:v>55762.643340262126</c:v>
                </c:pt>
                <c:pt idx="6">
                  <c:v>47956.32732082771</c:v>
                </c:pt>
                <c:pt idx="7">
                  <c:v>306.62458770064075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38025</v>
      </c>
      <c r="B6" s="385"/>
      <c r="C6" s="386"/>
    </row>
    <row r="7" spans="1:7" s="383" customFormat="1" ht="15.75" customHeight="1">
      <c r="A7" s="387" t="str">
        <f>txtMunicipality</f>
        <v>VEURNE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0.2006819364937785</v>
      </c>
      <c r="C17" s="498">
        <f ca="1">'EF ele_warmte'!B22</f>
        <v>0.22998102466793169</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0.2006819364937785</v>
      </c>
      <c r="C29" s="499">
        <f ca="1">'EF ele_warmte'!B22</f>
        <v>0.22998102466793169</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4814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8098</v>
      </c>
      <c r="C14" s="327"/>
      <c r="D14" s="327"/>
      <c r="E14" s="327"/>
      <c r="F14" s="327"/>
    </row>
    <row r="15" spans="1:6">
      <c r="A15" s="1258" t="s">
        <v>177</v>
      </c>
      <c r="B15" s="1259">
        <v>1341</v>
      </c>
      <c r="C15" s="327"/>
      <c r="D15" s="327"/>
      <c r="E15" s="327"/>
      <c r="F15" s="327"/>
    </row>
    <row r="16" spans="1:6">
      <c r="A16" s="1258" t="s">
        <v>6</v>
      </c>
      <c r="B16" s="1259">
        <v>2103</v>
      </c>
      <c r="C16" s="327"/>
      <c r="D16" s="327"/>
      <c r="E16" s="327"/>
      <c r="F16" s="327"/>
    </row>
    <row r="17" spans="1:6">
      <c r="A17" s="1258" t="s">
        <v>7</v>
      </c>
      <c r="B17" s="1259">
        <v>1938</v>
      </c>
      <c r="C17" s="327"/>
      <c r="D17" s="327"/>
      <c r="E17" s="327"/>
      <c r="F17" s="327"/>
    </row>
    <row r="18" spans="1:6">
      <c r="A18" s="1258" t="s">
        <v>8</v>
      </c>
      <c r="B18" s="1259">
        <v>2821</v>
      </c>
      <c r="C18" s="327"/>
      <c r="D18" s="327"/>
      <c r="E18" s="327"/>
      <c r="F18" s="327"/>
    </row>
    <row r="19" spans="1:6">
      <c r="A19" s="1258" t="s">
        <v>9</v>
      </c>
      <c r="B19" s="1259">
        <v>2788</v>
      </c>
      <c r="C19" s="327"/>
      <c r="D19" s="327"/>
      <c r="E19" s="327"/>
      <c r="F19" s="327"/>
    </row>
    <row r="20" spans="1:6">
      <c r="A20" s="1258" t="s">
        <v>10</v>
      </c>
      <c r="B20" s="1259">
        <v>1622</v>
      </c>
      <c r="C20" s="327"/>
      <c r="D20" s="327"/>
      <c r="E20" s="327"/>
      <c r="F20" s="327"/>
    </row>
    <row r="21" spans="1:6">
      <c r="A21" s="1258" t="s">
        <v>11</v>
      </c>
      <c r="B21" s="1259">
        <v>21748</v>
      </c>
      <c r="C21" s="327"/>
      <c r="D21" s="327"/>
      <c r="E21" s="327"/>
      <c r="F21" s="327"/>
    </row>
    <row r="22" spans="1:6">
      <c r="A22" s="1258" t="s">
        <v>12</v>
      </c>
      <c r="B22" s="1259">
        <v>45712</v>
      </c>
      <c r="C22" s="327"/>
      <c r="D22" s="327"/>
      <c r="E22" s="327"/>
      <c r="F22" s="327"/>
    </row>
    <row r="23" spans="1:6">
      <c r="A23" s="1258" t="s">
        <v>13</v>
      </c>
      <c r="B23" s="1259">
        <v>1019</v>
      </c>
      <c r="C23" s="327"/>
      <c r="D23" s="327"/>
      <c r="E23" s="327"/>
      <c r="F23" s="327"/>
    </row>
    <row r="24" spans="1:6">
      <c r="A24" s="1258" t="s">
        <v>14</v>
      </c>
      <c r="B24" s="1259">
        <v>66</v>
      </c>
      <c r="C24" s="327"/>
      <c r="D24" s="327"/>
      <c r="E24" s="327"/>
      <c r="F24" s="327"/>
    </row>
    <row r="25" spans="1:6">
      <c r="A25" s="1258" t="s">
        <v>15</v>
      </c>
      <c r="B25" s="1259">
        <v>6118</v>
      </c>
      <c r="C25" s="327"/>
      <c r="D25" s="327"/>
      <c r="E25" s="327"/>
      <c r="F25" s="327"/>
    </row>
    <row r="26" spans="1:6">
      <c r="A26" s="1258" t="s">
        <v>16</v>
      </c>
      <c r="B26" s="1259">
        <v>427</v>
      </c>
      <c r="C26" s="327"/>
      <c r="D26" s="327"/>
      <c r="E26" s="327"/>
      <c r="F26" s="327"/>
    </row>
    <row r="27" spans="1:6">
      <c r="A27" s="1258" t="s">
        <v>17</v>
      </c>
      <c r="B27" s="1259">
        <v>6</v>
      </c>
      <c r="C27" s="327"/>
      <c r="D27" s="327"/>
      <c r="E27" s="327"/>
      <c r="F27" s="327"/>
    </row>
    <row r="28" spans="1:6">
      <c r="A28" s="1258" t="s">
        <v>18</v>
      </c>
      <c r="B28" s="1260">
        <v>769757</v>
      </c>
      <c r="C28" s="327"/>
      <c r="D28" s="327"/>
      <c r="E28" s="327"/>
      <c r="F28" s="327"/>
    </row>
    <row r="29" spans="1:6">
      <c r="A29" s="1258" t="s">
        <v>905</v>
      </c>
      <c r="B29" s="1260">
        <v>111</v>
      </c>
      <c r="C29" s="327"/>
      <c r="D29" s="327"/>
      <c r="E29" s="327"/>
      <c r="F29" s="327"/>
    </row>
    <row r="30" spans="1:6">
      <c r="A30" s="1253" t="s">
        <v>906</v>
      </c>
      <c r="B30" s="1261">
        <v>42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11</v>
      </c>
      <c r="F36" s="1259">
        <v>135420.762066842</v>
      </c>
    </row>
    <row r="37" spans="1:6">
      <c r="A37" s="1258" t="s">
        <v>24</v>
      </c>
      <c r="B37" s="1258" t="s">
        <v>27</v>
      </c>
      <c r="C37" s="1259">
        <v>0</v>
      </c>
      <c r="D37" s="1259">
        <v>0</v>
      </c>
      <c r="E37" s="1259">
        <v>0</v>
      </c>
      <c r="F37" s="1259">
        <v>0</v>
      </c>
    </row>
    <row r="38" spans="1:6">
      <c r="A38" s="1258" t="s">
        <v>24</v>
      </c>
      <c r="B38" s="1258" t="s">
        <v>28</v>
      </c>
      <c r="C38" s="1259">
        <v>5</v>
      </c>
      <c r="D38" s="1259">
        <v>472172.69257779798</v>
      </c>
      <c r="E38" s="1259">
        <v>2</v>
      </c>
      <c r="F38" s="1259">
        <v>20941.653917440399</v>
      </c>
    </row>
    <row r="39" spans="1:6">
      <c r="A39" s="1258" t="s">
        <v>29</v>
      </c>
      <c r="B39" s="1258" t="s">
        <v>30</v>
      </c>
      <c r="C39" s="1259">
        <v>3419</v>
      </c>
      <c r="D39" s="1259">
        <v>56853141.373558402</v>
      </c>
      <c r="E39" s="1259">
        <v>4599</v>
      </c>
      <c r="F39" s="1259">
        <v>17349209.5266762</v>
      </c>
    </row>
    <row r="40" spans="1:6">
      <c r="A40" s="1258" t="s">
        <v>29</v>
      </c>
      <c r="B40" s="1258" t="s">
        <v>28</v>
      </c>
      <c r="C40" s="1259">
        <v>0</v>
      </c>
      <c r="D40" s="1259">
        <v>0</v>
      </c>
      <c r="E40" s="1259">
        <v>0</v>
      </c>
      <c r="F40" s="1259">
        <v>0</v>
      </c>
    </row>
    <row r="41" spans="1:6">
      <c r="A41" s="1258" t="s">
        <v>31</v>
      </c>
      <c r="B41" s="1258" t="s">
        <v>32</v>
      </c>
      <c r="C41" s="1259">
        <v>54</v>
      </c>
      <c r="D41" s="1259">
        <v>1788433.1375354901</v>
      </c>
      <c r="E41" s="1259">
        <v>128</v>
      </c>
      <c r="F41" s="1259">
        <v>6961445.3827399798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205782.807078649</v>
      </c>
      <c r="E44" s="1259">
        <v>23</v>
      </c>
      <c r="F44" s="1259">
        <v>984216.53613239795</v>
      </c>
    </row>
    <row r="45" spans="1:6">
      <c r="A45" s="1258" t="s">
        <v>31</v>
      </c>
      <c r="B45" s="1258" t="s">
        <v>36</v>
      </c>
      <c r="C45" s="1259">
        <v>0</v>
      </c>
      <c r="D45" s="1259">
        <v>0</v>
      </c>
      <c r="E45" s="1259">
        <v>3</v>
      </c>
      <c r="F45" s="1259">
        <v>65762.068069148503</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34</v>
      </c>
      <c r="D48" s="1259">
        <v>171309038.24939501</v>
      </c>
      <c r="E48" s="1259">
        <v>34</v>
      </c>
      <c r="F48" s="1259">
        <v>23977443.055553801</v>
      </c>
    </row>
    <row r="49" spans="1:6">
      <c r="A49" s="1258" t="s">
        <v>31</v>
      </c>
      <c r="B49" s="1258" t="s">
        <v>39</v>
      </c>
      <c r="C49" s="1259">
        <v>0</v>
      </c>
      <c r="D49" s="1259">
        <v>0</v>
      </c>
      <c r="E49" s="1259">
        <v>0</v>
      </c>
      <c r="F49" s="1259">
        <v>0</v>
      </c>
    </row>
    <row r="50" spans="1:6">
      <c r="A50" s="1258" t="s">
        <v>31</v>
      </c>
      <c r="B50" s="1258" t="s">
        <v>40</v>
      </c>
      <c r="C50" s="1259">
        <v>13</v>
      </c>
      <c r="D50" s="1259">
        <v>5015671.8373813201</v>
      </c>
      <c r="E50" s="1259">
        <v>29</v>
      </c>
      <c r="F50" s="1259">
        <v>21505362.199297201</v>
      </c>
    </row>
    <row r="51" spans="1:6">
      <c r="A51" s="1258" t="s">
        <v>41</v>
      </c>
      <c r="B51" s="1258" t="s">
        <v>42</v>
      </c>
      <c r="C51" s="1259">
        <v>11</v>
      </c>
      <c r="D51" s="1259">
        <v>233665.615056287</v>
      </c>
      <c r="E51" s="1259">
        <v>194</v>
      </c>
      <c r="F51" s="1259">
        <v>5181128.9810281796</v>
      </c>
    </row>
    <row r="52" spans="1:6">
      <c r="A52" s="1258" t="s">
        <v>41</v>
      </c>
      <c r="B52" s="1258" t="s">
        <v>28</v>
      </c>
      <c r="C52" s="1259">
        <v>2</v>
      </c>
      <c r="D52" s="1259">
        <v>54071.361645474397</v>
      </c>
      <c r="E52" s="1259">
        <v>8</v>
      </c>
      <c r="F52" s="1259">
        <v>164363.68227006801</v>
      </c>
    </row>
    <row r="53" spans="1:6">
      <c r="A53" s="1258" t="s">
        <v>43</v>
      </c>
      <c r="B53" s="1258" t="s">
        <v>44</v>
      </c>
      <c r="C53" s="1259">
        <v>130</v>
      </c>
      <c r="D53" s="1259">
        <v>3013010.1791675198</v>
      </c>
      <c r="E53" s="1259">
        <v>237</v>
      </c>
      <c r="F53" s="1259">
        <v>896576.40640646603</v>
      </c>
    </row>
    <row r="54" spans="1:6">
      <c r="A54" s="1258" t="s">
        <v>45</v>
      </c>
      <c r="B54" s="1258" t="s">
        <v>46</v>
      </c>
      <c r="C54" s="1259">
        <v>0</v>
      </c>
      <c r="D54" s="1259">
        <v>0</v>
      </c>
      <c r="E54" s="1259">
        <v>1</v>
      </c>
      <c r="F54" s="1259">
        <v>936046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45</v>
      </c>
      <c r="D57" s="1259">
        <v>1941564.7574904501</v>
      </c>
      <c r="E57" s="1259">
        <v>76</v>
      </c>
      <c r="F57" s="1259">
        <v>1108688.54784588</v>
      </c>
    </row>
    <row r="58" spans="1:6">
      <c r="A58" s="1258" t="s">
        <v>48</v>
      </c>
      <c r="B58" s="1258" t="s">
        <v>50</v>
      </c>
      <c r="C58" s="1259">
        <v>23</v>
      </c>
      <c r="D58" s="1259">
        <v>1180434.4252995399</v>
      </c>
      <c r="E58" s="1259">
        <v>26</v>
      </c>
      <c r="F58" s="1259">
        <v>940892.50658742595</v>
      </c>
    </row>
    <row r="59" spans="1:6">
      <c r="A59" s="1258" t="s">
        <v>48</v>
      </c>
      <c r="B59" s="1258" t="s">
        <v>51</v>
      </c>
      <c r="C59" s="1259">
        <v>141</v>
      </c>
      <c r="D59" s="1259">
        <v>7025201.1041094204</v>
      </c>
      <c r="E59" s="1259">
        <v>223</v>
      </c>
      <c r="F59" s="1259">
        <v>8541301.6952797491</v>
      </c>
    </row>
    <row r="60" spans="1:6">
      <c r="A60" s="1258" t="s">
        <v>48</v>
      </c>
      <c r="B60" s="1258" t="s">
        <v>52</v>
      </c>
      <c r="C60" s="1259">
        <v>75</v>
      </c>
      <c r="D60" s="1259">
        <v>3897528.4316368601</v>
      </c>
      <c r="E60" s="1259">
        <v>97</v>
      </c>
      <c r="F60" s="1259">
        <v>2422854.02628267</v>
      </c>
    </row>
    <row r="61" spans="1:6">
      <c r="A61" s="1258" t="s">
        <v>48</v>
      </c>
      <c r="B61" s="1258" t="s">
        <v>53</v>
      </c>
      <c r="C61" s="1259">
        <v>184</v>
      </c>
      <c r="D61" s="1259">
        <v>10562977.595914699</v>
      </c>
      <c r="E61" s="1259">
        <v>414</v>
      </c>
      <c r="F61" s="1259">
        <v>5356180.0441974197</v>
      </c>
    </row>
    <row r="62" spans="1:6">
      <c r="A62" s="1258" t="s">
        <v>48</v>
      </c>
      <c r="B62" s="1258" t="s">
        <v>54</v>
      </c>
      <c r="C62" s="1259">
        <v>14</v>
      </c>
      <c r="D62" s="1259">
        <v>2255812.8374992702</v>
      </c>
      <c r="E62" s="1259">
        <v>14</v>
      </c>
      <c r="F62" s="1259">
        <v>673977.97819410497</v>
      </c>
    </row>
    <row r="63" spans="1:6">
      <c r="A63" s="1258" t="s">
        <v>48</v>
      </c>
      <c r="B63" s="1258" t="s">
        <v>28</v>
      </c>
      <c r="C63" s="1259">
        <v>83</v>
      </c>
      <c r="D63" s="1259">
        <v>12318635.8804169</v>
      </c>
      <c r="E63" s="1259">
        <v>90</v>
      </c>
      <c r="F63" s="1259">
        <v>6734737.6999581102</v>
      </c>
    </row>
    <row r="64" spans="1:6">
      <c r="A64" s="1258" t="s">
        <v>55</v>
      </c>
      <c r="B64" s="1258" t="s">
        <v>56</v>
      </c>
      <c r="C64" s="1259">
        <v>0</v>
      </c>
      <c r="D64" s="1259">
        <v>0</v>
      </c>
      <c r="E64" s="1259">
        <v>0</v>
      </c>
      <c r="F64" s="1259">
        <v>0</v>
      </c>
    </row>
    <row r="65" spans="1:6">
      <c r="A65" s="1258" t="s">
        <v>55</v>
      </c>
      <c r="B65" s="1258" t="s">
        <v>28</v>
      </c>
      <c r="C65" s="1259">
        <v>3</v>
      </c>
      <c r="D65" s="1259">
        <v>805208.75116987806</v>
      </c>
      <c r="E65" s="1259">
        <v>3</v>
      </c>
      <c r="F65" s="1259">
        <v>229629.52169466999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205708.209414668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72134731</v>
      </c>
      <c r="E73" s="446"/>
      <c r="F73" s="327"/>
    </row>
    <row r="74" spans="1:6">
      <c r="A74" s="1258" t="s">
        <v>63</v>
      </c>
      <c r="B74" s="1258" t="s">
        <v>681</v>
      </c>
      <c r="C74" s="1271" t="s">
        <v>682</v>
      </c>
      <c r="D74" s="1259">
        <v>6997732.7192818876</v>
      </c>
      <c r="E74" s="446"/>
      <c r="F74" s="327"/>
    </row>
    <row r="75" spans="1:6">
      <c r="A75" s="1258" t="s">
        <v>64</v>
      </c>
      <c r="B75" s="1258" t="s">
        <v>679</v>
      </c>
      <c r="C75" s="1271" t="s">
        <v>683</v>
      </c>
      <c r="D75" s="1259">
        <v>17507504</v>
      </c>
      <c r="E75" s="446"/>
      <c r="F75" s="327"/>
    </row>
    <row r="76" spans="1:6">
      <c r="A76" s="1258" t="s">
        <v>64</v>
      </c>
      <c r="B76" s="1258" t="s">
        <v>681</v>
      </c>
      <c r="C76" s="1271" t="s">
        <v>684</v>
      </c>
      <c r="D76" s="1259">
        <v>2112966.7192818876</v>
      </c>
      <c r="E76" s="446"/>
      <c r="F76" s="327"/>
    </row>
    <row r="77" spans="1:6">
      <c r="A77" s="1258" t="s">
        <v>65</v>
      </c>
      <c r="B77" s="1258" t="s">
        <v>679</v>
      </c>
      <c r="C77" s="1271" t="s">
        <v>685</v>
      </c>
      <c r="D77" s="1259">
        <v>61029245</v>
      </c>
      <c r="E77" s="446"/>
      <c r="F77" s="327"/>
    </row>
    <row r="78" spans="1:6">
      <c r="A78" s="1253" t="s">
        <v>65</v>
      </c>
      <c r="B78" s="1253" t="s">
        <v>681</v>
      </c>
      <c r="C78" s="1253" t="s">
        <v>686</v>
      </c>
      <c r="D78" s="1261">
        <v>23409124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317912.56143622461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2541.5140580104853</v>
      </c>
      <c r="C91" s="327"/>
      <c r="D91" s="327"/>
      <c r="E91" s="327"/>
      <c r="F91" s="327"/>
    </row>
    <row r="92" spans="1:6">
      <c r="A92" s="1253" t="s">
        <v>68</v>
      </c>
      <c r="B92" s="1254">
        <v>7412.2269932348554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2583</v>
      </c>
      <c r="C97" s="327"/>
      <c r="D97" s="327"/>
      <c r="E97" s="327"/>
      <c r="F97" s="327"/>
    </row>
    <row r="98" spans="1:6">
      <c r="A98" s="1258" t="s">
        <v>71</v>
      </c>
      <c r="B98" s="1259">
        <v>0</v>
      </c>
      <c r="C98" s="327"/>
      <c r="D98" s="327"/>
      <c r="E98" s="327"/>
      <c r="F98" s="327"/>
    </row>
    <row r="99" spans="1:6">
      <c r="A99" s="1258" t="s">
        <v>72</v>
      </c>
      <c r="B99" s="1259">
        <v>141</v>
      </c>
      <c r="C99" s="327"/>
      <c r="D99" s="327"/>
      <c r="E99" s="327"/>
      <c r="F99" s="327"/>
    </row>
    <row r="100" spans="1:6">
      <c r="A100" s="1258" t="s">
        <v>73</v>
      </c>
      <c r="B100" s="1259">
        <v>366</v>
      </c>
      <c r="C100" s="327"/>
      <c r="D100" s="327"/>
      <c r="E100" s="327"/>
      <c r="F100" s="327"/>
    </row>
    <row r="101" spans="1:6">
      <c r="A101" s="1258" t="s">
        <v>74</v>
      </c>
      <c r="B101" s="1259">
        <v>85</v>
      </c>
      <c r="C101" s="327"/>
      <c r="D101" s="327"/>
      <c r="E101" s="327"/>
      <c r="F101" s="327"/>
    </row>
    <row r="102" spans="1:6">
      <c r="A102" s="1258" t="s">
        <v>75</v>
      </c>
      <c r="B102" s="1259">
        <v>65</v>
      </c>
      <c r="C102" s="327"/>
      <c r="D102" s="327"/>
      <c r="E102" s="327"/>
      <c r="F102" s="327"/>
    </row>
    <row r="103" spans="1:6">
      <c r="A103" s="1258" t="s">
        <v>76</v>
      </c>
      <c r="B103" s="1259">
        <v>106</v>
      </c>
      <c r="C103" s="327"/>
      <c r="D103" s="327"/>
      <c r="E103" s="327"/>
      <c r="F103" s="327"/>
    </row>
    <row r="104" spans="1:6">
      <c r="A104" s="1258" t="s">
        <v>77</v>
      </c>
      <c r="B104" s="1259">
        <v>1077</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5</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146</v>
      </c>
      <c r="C129" s="327"/>
      <c r="D129" s="327"/>
      <c r="E129" s="327"/>
      <c r="F129" s="327"/>
    </row>
    <row r="130" spans="1:6">
      <c r="A130" s="1258" t="s">
        <v>284</v>
      </c>
      <c r="B130" s="1259">
        <v>5</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107668.92711630453</v>
      </c>
      <c r="C3" s="43" t="s">
        <v>163</v>
      </c>
      <c r="D3" s="43"/>
      <c r="E3" s="156"/>
      <c r="F3" s="43"/>
      <c r="G3" s="43"/>
      <c r="H3" s="43"/>
      <c r="I3" s="43"/>
      <c r="J3" s="43"/>
      <c r="K3" s="96"/>
    </row>
    <row r="4" spans="1:11">
      <c r="A4" s="353" t="s">
        <v>164</v>
      </c>
      <c r="B4" s="49">
        <f>IF(ISERROR('SEAP template'!B78+'SEAP template'!C78),0,'SEAP template'!B78+'SEAP template'!C78)</f>
        <v>11306.89105124534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311.19882352941175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0.2006819364937785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444.56974789915967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1933.0714285714287</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0.22998102466793169</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936.04600000000005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936.04600000000005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0.2006819364937785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187.84752392725539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17349.209526676201</v>
      </c>
      <c r="C5" s="17">
        <f>IF(ISERROR('Eigen informatie GS &amp; warmtenet'!B57),0,'Eigen informatie GS &amp; warmtenet'!B57)</f>
        <v>0</v>
      </c>
      <c r="D5" s="30">
        <f>(SUM(HH_hh_gas_kWh,HH_rest_gas_kWh)/1000)*0.902</f>
        <v>51281.533518949676</v>
      </c>
      <c r="E5" s="17">
        <f>B32*B41</f>
        <v>890.03628046393362</v>
      </c>
      <c r="F5" s="17">
        <f>B36*B45</f>
        <v>27275.58258533636</v>
      </c>
      <c r="G5" s="18"/>
      <c r="H5" s="17"/>
      <c r="I5" s="17"/>
      <c r="J5" s="17">
        <f>B35*B44+C35*C44</f>
        <v>516.5452237248337</v>
      </c>
      <c r="K5" s="17"/>
      <c r="L5" s="17"/>
      <c r="M5" s="17"/>
      <c r="N5" s="17">
        <f>B34*B43+C34*C43</f>
        <v>7365.4449073520273</v>
      </c>
      <c r="O5" s="17">
        <f>B52*B53*B54</f>
        <v>237.62666666666667</v>
      </c>
      <c r="P5" s="17">
        <f>B60*B61*B62/1000-B60*B61*B62/1000/B63</f>
        <v>305.06666666666666</v>
      </c>
    </row>
    <row r="6" spans="1:16">
      <c r="A6" s="16" t="s">
        <v>592</v>
      </c>
      <c r="B6" s="733">
        <f>kWh_PV_kleiner_dan_10kW</f>
        <v>2541.5140580104853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19890.723584686686</v>
      </c>
      <c r="C8" s="21">
        <f>C5</f>
        <v>0</v>
      </c>
      <c r="D8" s="21">
        <f>D5</f>
        <v>51281.533518949676</v>
      </c>
      <c r="E8" s="21">
        <f>E5</f>
        <v>890.03628046393362</v>
      </c>
      <c r="F8" s="21">
        <f>F5</f>
        <v>27275.58258533636</v>
      </c>
      <c r="G8" s="21"/>
      <c r="H8" s="21"/>
      <c r="I8" s="21"/>
      <c r="J8" s="21">
        <f>J5</f>
        <v>516.5452237248337</v>
      </c>
      <c r="K8" s="21"/>
      <c r="L8" s="21">
        <f>L5</f>
        <v>0</v>
      </c>
      <c r="M8" s="21">
        <f>M5</f>
        <v>0</v>
      </c>
      <c r="N8" s="21">
        <f>N5</f>
        <v>7365.4449073520273</v>
      </c>
      <c r="O8" s="21">
        <f>O5</f>
        <v>237.62666666666667</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0.2006819364937785</v>
      </c>
      <c r="C10" s="25">
        <f ca="1">'EF ele_warmte'!B22</f>
        <v>0.22998102466793169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3991.7089272373955</v>
      </c>
      <c r="C12" s="23">
        <f ca="1">C10*C8</f>
        <v>0</v>
      </c>
      <c r="D12" s="23">
        <f>D8*D10</f>
        <v>10358.869770827836</v>
      </c>
      <c r="E12" s="23">
        <f>E10*E8</f>
        <v>202.03823566531292</v>
      </c>
      <c r="F12" s="23">
        <f>F10*F8</f>
        <v>7282.5805502848089</v>
      </c>
      <c r="G12" s="23"/>
      <c r="H12" s="23"/>
      <c r="I12" s="23"/>
      <c r="J12" s="23">
        <f>J10*J8</f>
        <v>182.85700919859113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4814</v>
      </c>
      <c r="C26" s="36"/>
      <c r="D26" s="227"/>
    </row>
    <row r="27" spans="1:5" s="15" customFormat="1">
      <c r="A27" s="229" t="s">
        <v>697</v>
      </c>
      <c r="B27" s="37">
        <f>SUM(HH_hh_gas_aantal,HH_rest_gas_aantal)</f>
        <v>3419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3248.05</v>
      </c>
      <c r="C31" s="34" t="s">
        <v>104</v>
      </c>
      <c r="D31" s="173"/>
    </row>
    <row r="32" spans="1:5">
      <c r="A32" s="170" t="s">
        <v>72</v>
      </c>
      <c r="B32" s="33">
        <f>IF((B21*($B$26-($B$27-0.05*$B$27)-$B$60))&lt;0,0,B21*($B$26-($B$27-0.05*$B$27)-$B$60))</f>
        <v>38.813169109638025</v>
      </c>
      <c r="C32" s="34" t="s">
        <v>104</v>
      </c>
      <c r="D32" s="173"/>
    </row>
    <row r="33" spans="1:6">
      <c r="A33" s="170" t="s">
        <v>73</v>
      </c>
      <c r="B33" s="33">
        <f>IF((B22*($B$26-($B$27-0.05*$B$27)-$B$60))&lt;0,0,B22*($B$26-($B$27-0.05*$B$27)-$B$60))</f>
        <v>261.25814972595555</v>
      </c>
      <c r="C33" s="34" t="s">
        <v>104</v>
      </c>
      <c r="D33" s="173"/>
    </row>
    <row r="34" spans="1:6">
      <c r="A34" s="170" t="s">
        <v>74</v>
      </c>
      <c r="B34" s="33">
        <f>IF((B24*($B$26-($B$27-0.05*$B$27)-$B$60))&lt;0,0,B24*($B$26-($B$27-0.05*$B$27)-$B$60))</f>
        <v>66.28473381372406</v>
      </c>
      <c r="C34" s="33">
        <f>B26*C24</f>
        <v>984.75216556494149</v>
      </c>
      <c r="D34" s="232"/>
    </row>
    <row r="35" spans="1:6">
      <c r="A35" s="170" t="s">
        <v>76</v>
      </c>
      <c r="B35" s="33">
        <f>IF((B19*($B$26-($B$27-0.05*$B$27)-$B$60))&lt;0,0,B19*($B$26-($B$27-0.05*$B$27)-$B$60))</f>
        <v>24.63358438655936</v>
      </c>
      <c r="C35" s="33">
        <f>B35/2</f>
        <v>12.31679219327968</v>
      </c>
      <c r="D35" s="232"/>
    </row>
    <row r="36" spans="1:6">
      <c r="A36" s="170" t="s">
        <v>77</v>
      </c>
      <c r="B36" s="33">
        <f>IF((B18*($B$26-($B$27-0.05*$B$27)-$B$60))&lt;0,0,B18*($B$26-($B$27-0.05*$B$27)-$B$60))</f>
        <v>1158.9603629641229</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152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25778.632498345356</v>
      </c>
      <c r="C5" s="17">
        <f>IF(ISERROR('Eigen informatie GS &amp; warmtenet'!B58),0,'Eigen informatie GS &amp; warmtenet'!B58)</f>
        <v>0</v>
      </c>
      <c r="D5" s="30">
        <f>SUM(D6:D12)</f>
        <v>35342.303839195156</v>
      </c>
      <c r="E5" s="17">
        <f>SUM(E6:E12)</f>
        <v>156.7042254767905</v>
      </c>
      <c r="F5" s="17">
        <f>SUM(F6:F12)</f>
        <v>3298.4702571088051</v>
      </c>
      <c r="G5" s="18"/>
      <c r="H5" s="17"/>
      <c r="I5" s="17"/>
      <c r="J5" s="17">
        <f>SUM(J6:J12)</f>
        <v>59.537964524303206</v>
      </c>
      <c r="K5" s="17"/>
      <c r="L5" s="17"/>
      <c r="M5" s="17"/>
      <c r="N5" s="17">
        <f>SUM(N6:N12)</f>
        <v>1227.0934336001935</v>
      </c>
      <c r="O5" s="17">
        <f>B38*B39*B40</f>
        <v>7.8166666666666664</v>
      </c>
      <c r="P5" s="17">
        <f>B46*B47*B48/1000-B46*B47*B48/1000/B49</f>
        <v>19.066666666666666</v>
      </c>
      <c r="R5" s="32"/>
    </row>
    <row r="6" spans="1:18">
      <c r="A6" s="32" t="s">
        <v>53</v>
      </c>
      <c r="B6" s="37">
        <f>B26</f>
        <v>5356.1800441974201</v>
      </c>
      <c r="C6" s="33"/>
      <c r="D6" s="37">
        <f>IF(ISERROR(TER_kantoor_gas_kWh/1000),0,TER_kantoor_gas_kWh/1000)*0.902</f>
        <v>9527.8057915150584</v>
      </c>
      <c r="E6" s="33">
        <f>$C$26*'E Balans VL '!I12/100/3.6*1000000</f>
        <v>45.210831184345203</v>
      </c>
      <c r="F6" s="33">
        <f>$C$26*('E Balans VL '!L12+'E Balans VL '!N12)/100/3.6*1000000</f>
        <v>718.20443984248573</v>
      </c>
      <c r="G6" s="34"/>
      <c r="H6" s="33"/>
      <c r="I6" s="33"/>
      <c r="J6" s="33">
        <f>$C$26*('E Balans VL '!D12+'E Balans VL '!E12)/100/3.6*1000000</f>
        <v>0</v>
      </c>
      <c r="K6" s="33"/>
      <c r="L6" s="33"/>
      <c r="M6" s="33"/>
      <c r="N6" s="33">
        <f>$C$26*'E Balans VL '!Y12/100/3.6*1000000</f>
        <v>47.105946927514935</v>
      </c>
      <c r="O6" s="33"/>
      <c r="P6" s="33"/>
      <c r="R6" s="32"/>
    </row>
    <row r="7" spans="1:18">
      <c r="A7" s="32" t="s">
        <v>52</v>
      </c>
      <c r="B7" s="37">
        <f t="shared" ref="B7:B12" si="0">B27</f>
        <v>2422.85402628267</v>
      </c>
      <c r="C7" s="33"/>
      <c r="D7" s="37">
        <f>IF(ISERROR(TER_horeca_gas_kWh/1000),0,TER_horeca_gas_kWh/1000)*0.902</f>
        <v>3515.5706453364478</v>
      </c>
      <c r="E7" s="33">
        <f>$C$27*'E Balans VL '!I9/100/3.6*1000000</f>
        <v>31.855693396717321</v>
      </c>
      <c r="F7" s="33">
        <f>$C$27*('E Balans VL '!L9+'E Balans VL '!N9)/100/3.6*1000000</f>
        <v>608.46913407954639</v>
      </c>
      <c r="G7" s="34"/>
      <c r="H7" s="33"/>
      <c r="I7" s="33"/>
      <c r="J7" s="33">
        <f>$C$27*('E Balans VL '!D9+'E Balans VL '!E9)/100/3.6*1000000</f>
        <v>0</v>
      </c>
      <c r="K7" s="33"/>
      <c r="L7" s="33"/>
      <c r="M7" s="33"/>
      <c r="N7" s="33">
        <f>$C$27*'E Balans VL '!Y9/100/3.6*1000000</f>
        <v>0.65959226842128948</v>
      </c>
      <c r="O7" s="33"/>
      <c r="P7" s="33"/>
      <c r="R7" s="32"/>
    </row>
    <row r="8" spans="1:18">
      <c r="A8" s="6" t="s">
        <v>51</v>
      </c>
      <c r="B8" s="37">
        <f t="shared" si="0"/>
        <v>8541.3016952797498</v>
      </c>
      <c r="C8" s="33"/>
      <c r="D8" s="37">
        <f>IF(ISERROR(TER_handel_gas_kWh/1000),0,TER_handel_gas_kWh/1000)*0.902</f>
        <v>6336.7313959066969</v>
      </c>
      <c r="E8" s="33">
        <f>$C$28*'E Balans VL '!I13/100/3.6*1000000</f>
        <v>37.405502204123138</v>
      </c>
      <c r="F8" s="33">
        <f>$C$28*('E Balans VL '!L13+'E Balans VL '!N13)/100/3.6*1000000</f>
        <v>574.10036261559515</v>
      </c>
      <c r="G8" s="34"/>
      <c r="H8" s="33"/>
      <c r="I8" s="33"/>
      <c r="J8" s="33">
        <f>$C$28*('E Balans VL '!D13+'E Balans VL '!E13)/100/3.6*1000000</f>
        <v>0</v>
      </c>
      <c r="K8" s="33"/>
      <c r="L8" s="33"/>
      <c r="M8" s="33"/>
      <c r="N8" s="33">
        <f>$C$28*'E Balans VL '!Y13/100/3.6*1000000</f>
        <v>25.233185617260002</v>
      </c>
      <c r="O8" s="33"/>
      <c r="P8" s="33"/>
      <c r="R8" s="32"/>
    </row>
    <row r="9" spans="1:18">
      <c r="A9" s="32" t="s">
        <v>50</v>
      </c>
      <c r="B9" s="37">
        <f t="shared" si="0"/>
        <v>940.89250658742594</v>
      </c>
      <c r="C9" s="33"/>
      <c r="D9" s="37">
        <f>IF(ISERROR(TER_gezond_gas_kWh/1000),0,TER_gezond_gas_kWh/1000)*0.902</f>
        <v>1064.7518516201851</v>
      </c>
      <c r="E9" s="33">
        <f>$C$29*'E Balans VL '!I10/100/3.6*1000000</f>
        <v>0.32357708708855787</v>
      </c>
      <c r="F9" s="33">
        <f>$C$29*('E Balans VL '!L10+'E Balans VL '!N10)/100/3.6*1000000</f>
        <v>82.237711066277527</v>
      </c>
      <c r="G9" s="34"/>
      <c r="H9" s="33"/>
      <c r="I9" s="33"/>
      <c r="J9" s="33">
        <f>$C$29*('E Balans VL '!D10+'E Balans VL '!E10)/100/3.6*1000000</f>
        <v>39.029028070084728</v>
      </c>
      <c r="K9" s="33"/>
      <c r="L9" s="33"/>
      <c r="M9" s="33"/>
      <c r="N9" s="33">
        <f>$C$29*'E Balans VL '!Y10/100/3.6*1000000</f>
        <v>9.8649102365468053</v>
      </c>
      <c r="O9" s="33"/>
      <c r="P9" s="33"/>
      <c r="R9" s="32"/>
    </row>
    <row r="10" spans="1:18">
      <c r="A10" s="32" t="s">
        <v>49</v>
      </c>
      <c r="B10" s="37">
        <f t="shared" si="0"/>
        <v>1108.6885478458801</v>
      </c>
      <c r="C10" s="33"/>
      <c r="D10" s="37">
        <f>IF(ISERROR(TER_ander_gas_kWh/1000),0,TER_ander_gas_kWh/1000)*0.902</f>
        <v>1751.291411256386</v>
      </c>
      <c r="E10" s="33">
        <f>$C$30*'E Balans VL '!I14/100/3.6*1000000</f>
        <v>0.65937753308835523</v>
      </c>
      <c r="F10" s="33">
        <f>$C$30*('E Balans VL '!L14+'E Balans VL '!N14)/100/3.6*1000000</f>
        <v>196.29678753266248</v>
      </c>
      <c r="G10" s="34"/>
      <c r="H10" s="33"/>
      <c r="I10" s="33"/>
      <c r="J10" s="33">
        <f>$C$30*('E Balans VL '!D14+'E Balans VL '!E14)/100/3.6*1000000</f>
        <v>0</v>
      </c>
      <c r="K10" s="33"/>
      <c r="L10" s="33"/>
      <c r="M10" s="33"/>
      <c r="N10" s="33">
        <f>$C$30*'E Balans VL '!Y14/100/3.6*1000000</f>
        <v>658.30146380537917</v>
      </c>
      <c r="O10" s="33"/>
      <c r="P10" s="33"/>
      <c r="R10" s="32"/>
    </row>
    <row r="11" spans="1:18">
      <c r="A11" s="32" t="s">
        <v>54</v>
      </c>
      <c r="B11" s="37">
        <f t="shared" si="0"/>
        <v>673.97797819410494</v>
      </c>
      <c r="C11" s="33"/>
      <c r="D11" s="37">
        <f>IF(ISERROR(TER_onderwijs_gas_kWh/1000),0,TER_onderwijs_gas_kWh/1000)*0.902</f>
        <v>2034.7431794243419</v>
      </c>
      <c r="E11" s="33">
        <f>$C$31*'E Balans VL '!I11/100/3.6*1000000</f>
        <v>0.44829714175500007</v>
      </c>
      <c r="F11" s="33">
        <f>$C$31*('E Balans VL '!L11+'E Balans VL '!N11)/100/3.6*1000000</f>
        <v>215.92941187829308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6734.7376999581102</v>
      </c>
      <c r="C12" s="33"/>
      <c r="D12" s="37">
        <f>IF(ISERROR(TER_rest_gas_kWh/1000),0,TER_rest_gas_kWh/1000)*0.902</f>
        <v>11111.409564136044</v>
      </c>
      <c r="E12" s="33">
        <f>$C$32*'E Balans VL '!I8/100/3.6*1000000</f>
        <v>40.800946929672918</v>
      </c>
      <c r="F12" s="33">
        <f>$C$32*('E Balans VL '!L8+'E Balans VL '!N8)/100/3.6*1000000</f>
        <v>903.23241009394451</v>
      </c>
      <c r="G12" s="34"/>
      <c r="H12" s="33"/>
      <c r="I12" s="33"/>
      <c r="J12" s="33">
        <f>$C$32*('E Balans VL '!D8+'E Balans VL '!E8)/100/3.6*1000000</f>
        <v>20.508936454218478</v>
      </c>
      <c r="K12" s="33"/>
      <c r="L12" s="33"/>
      <c r="M12" s="33"/>
      <c r="N12" s="33">
        <f>$C$32*'E Balans VL '!Y8/100/3.6*1000000</f>
        <v>485.92833474507131</v>
      </c>
      <c r="O12" s="33"/>
      <c r="P12" s="33"/>
      <c r="R12" s="32"/>
    </row>
    <row r="13" spans="1:18">
      <c r="A13" s="16" t="s">
        <v>483</v>
      </c>
      <c r="B13" s="245">
        <f ca="1">'lokale energieproductie'!N39+'lokale energieproductie'!N32</f>
        <v>1309.5</v>
      </c>
      <c r="C13" s="245">
        <f ca="1">'lokale energieproductie'!O39+'lokale energieproductie'!O32</f>
        <v>1870.7142857142858</v>
      </c>
      <c r="D13" s="305">
        <f ca="1">('lokale energieproductie'!P32+'lokale energieproductie'!P39)*(-1)</f>
        <v>-3741.4285714285716</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27088.132498345356</v>
      </c>
      <c r="C16" s="21">
        <f t="shared" ca="1" si="1"/>
        <v>1870.7142857142858</v>
      </c>
      <c r="D16" s="21">
        <f t="shared" ca="1" si="1"/>
        <v>31600.875267766583</v>
      </c>
      <c r="E16" s="21">
        <f t="shared" si="1"/>
        <v>156.7042254767905</v>
      </c>
      <c r="F16" s="21">
        <f t="shared" ca="1" si="1"/>
        <v>3298.4702571088051</v>
      </c>
      <c r="G16" s="21">
        <f t="shared" si="1"/>
        <v>0</v>
      </c>
      <c r="H16" s="21">
        <f t="shared" si="1"/>
        <v>0</v>
      </c>
      <c r="I16" s="21">
        <f t="shared" si="1"/>
        <v>0</v>
      </c>
      <c r="J16" s="21">
        <f t="shared" si="1"/>
        <v>59.537964524303206</v>
      </c>
      <c r="K16" s="21">
        <f t="shared" si="1"/>
        <v>0</v>
      </c>
      <c r="L16" s="21">
        <f t="shared" ca="1" si="1"/>
        <v>0</v>
      </c>
      <c r="M16" s="21">
        <f t="shared" si="1"/>
        <v>0</v>
      </c>
      <c r="N16" s="21">
        <f t="shared" ca="1" si="1"/>
        <v>1227.0934336001935</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0.2006819364937785</v>
      </c>
      <c r="C18" s="25">
        <f ca="1">'EF ele_warmte'!B22</f>
        <v>0.22998102466793169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5436.0988857680004</v>
      </c>
      <c r="C20" s="23">
        <f t="shared" ref="C20:P20" ca="1" si="2">C16*C18</f>
        <v>430.22878828950934</v>
      </c>
      <c r="D20" s="23">
        <f t="shared" ca="1" si="2"/>
        <v>6383.3768040888499</v>
      </c>
      <c r="E20" s="23">
        <f t="shared" si="2"/>
        <v>35.571859183231446</v>
      </c>
      <c r="F20" s="23">
        <f t="shared" ca="1" si="2"/>
        <v>880.691558648051</v>
      </c>
      <c r="G20" s="23">
        <f t="shared" si="2"/>
        <v>0</v>
      </c>
      <c r="H20" s="23">
        <f t="shared" si="2"/>
        <v>0</v>
      </c>
      <c r="I20" s="23">
        <f t="shared" si="2"/>
        <v>0</v>
      </c>
      <c r="J20" s="23">
        <f t="shared" si="2"/>
        <v>21.076439441603334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5356.1800441974201</v>
      </c>
      <c r="C26" s="39">
        <f>IF(ISERROR(B26*3.6/1000000/'E Balans VL '!Z12*100),0,B26*3.6/1000000/'E Balans VL '!Z12*100)</f>
        <v>0.11225888424927835</v>
      </c>
      <c r="D26" s="235" t="s">
        <v>647</v>
      </c>
      <c r="F26" s="6"/>
    </row>
    <row r="27" spans="1:18">
      <c r="A27" s="230" t="s">
        <v>52</v>
      </c>
      <c r="B27" s="33">
        <f>IF(ISERROR(TER_horeca_ele_kWh/1000),0,TER_horeca_ele_kWh/1000)</f>
        <v>2422.85402628267</v>
      </c>
      <c r="C27" s="39">
        <f>IF(ISERROR(B27*3.6/1000000/'E Balans VL '!Z9*100),0,B27*3.6/1000000/'E Balans VL '!Z9*100)</f>
        <v>0.18575980129323708</v>
      </c>
      <c r="D27" s="235" t="s">
        <v>647</v>
      </c>
      <c r="F27" s="6"/>
    </row>
    <row r="28" spans="1:18">
      <c r="A28" s="170" t="s">
        <v>51</v>
      </c>
      <c r="B28" s="33">
        <f>IF(ISERROR(TER_handel_ele_kWh/1000),0,TER_handel_ele_kWh/1000)</f>
        <v>8541.3016952797498</v>
      </c>
      <c r="C28" s="39">
        <f>IF(ISERROR(B28*3.6/1000000/'E Balans VL '!Z13*100),0,B28*3.6/1000000/'E Balans VL '!Z13*100)</f>
        <v>0.24096272112012193</v>
      </c>
      <c r="D28" s="235" t="s">
        <v>647</v>
      </c>
      <c r="F28" s="6"/>
    </row>
    <row r="29" spans="1:18">
      <c r="A29" s="230" t="s">
        <v>50</v>
      </c>
      <c r="B29" s="33">
        <f>IF(ISERROR(TER_gezond_ele_kWh/1000),0,TER_gezond_ele_kWh/1000)</f>
        <v>940.89250658742594</v>
      </c>
      <c r="C29" s="39">
        <f>IF(ISERROR(B29*3.6/1000000/'E Balans VL '!Z10*100),0,B29*3.6/1000000/'E Balans VL '!Z10*100)</f>
        <v>0.10447441094849688</v>
      </c>
      <c r="D29" s="235" t="s">
        <v>647</v>
      </c>
      <c r="F29" s="6"/>
    </row>
    <row r="30" spans="1:18">
      <c r="A30" s="230" t="s">
        <v>49</v>
      </c>
      <c r="B30" s="33">
        <f>IF(ISERROR(TER_ander_ele_kWh/1000),0,TER_ander_ele_kWh/1000)</f>
        <v>1108.6885478458801</v>
      </c>
      <c r="C30" s="39">
        <f>IF(ISERROR(B30*3.6/1000000/'E Balans VL '!Z14*100),0,B30*3.6/1000000/'E Balans VL '!Z14*100)</f>
        <v>7.9997898503466197E-2</v>
      </c>
      <c r="D30" s="235" t="s">
        <v>647</v>
      </c>
      <c r="F30" s="6"/>
    </row>
    <row r="31" spans="1:18">
      <c r="A31" s="230" t="s">
        <v>54</v>
      </c>
      <c r="B31" s="33">
        <f>IF(ISERROR(TER_onderwijs_ele_kWh/1000),0,TER_onderwijs_ele_kWh/1000)</f>
        <v>673.97797819410494</v>
      </c>
      <c r="C31" s="39">
        <f>IF(ISERROR(B31*3.6/1000000/'E Balans VL '!Z11*100),0,B31*3.6/1000000/'E Balans VL '!Z11*100)</f>
        <v>0.18682135690567453</v>
      </c>
      <c r="D31" s="235" t="s">
        <v>647</v>
      </c>
    </row>
    <row r="32" spans="1:18">
      <c r="A32" s="230" t="s">
        <v>249</v>
      </c>
      <c r="B32" s="33">
        <f>IF(ISERROR(TER_rest_ele_kWh/1000),0,TER_rest_ele_kWh/1000)</f>
        <v>6734.7376999581102</v>
      </c>
      <c r="C32" s="39">
        <f>IF(ISERROR(B32*3.6/1000000/'E Balans VL '!Z8*100),0,B32*3.6/1000000/'E Balans VL '!Z8*100)</f>
        <v>5.4899113843855929E-2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5</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53494.229241792527</v>
      </c>
      <c r="C5" s="17">
        <f>IF(ISERROR('Eigen informatie GS &amp; warmtenet'!B59),0,'Eigen informatie GS &amp; warmtenet'!B59)</f>
        <v>0</v>
      </c>
      <c r="D5" s="30">
        <f>SUM(D6:D15)</f>
        <v>160843.67128031419</v>
      </c>
      <c r="E5" s="17">
        <f>SUM(E6:E15)</f>
        <v>5004.7590691439018</v>
      </c>
      <c r="F5" s="17">
        <f>SUM(F6:F15)</f>
        <v>42617.347773504858</v>
      </c>
      <c r="G5" s="18"/>
      <c r="H5" s="17"/>
      <c r="I5" s="17"/>
      <c r="J5" s="17">
        <f>SUM(J6:J15)</f>
        <v>62.10186986484478</v>
      </c>
      <c r="K5" s="17"/>
      <c r="L5" s="17"/>
      <c r="M5" s="17"/>
      <c r="N5" s="17">
        <f>SUM(N6:N15)</f>
        <v>8045.5724896151632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984.21653613239789</v>
      </c>
      <c r="C8" s="33"/>
      <c r="D8" s="37">
        <f>IF( ISERROR(IND_metaal_Gas_kWH/1000),0,IND_metaal_Gas_kWH/1000)*0.902</f>
        <v>185.61609198494139</v>
      </c>
      <c r="E8" s="33">
        <f>C30*'E Balans VL '!I18/100/3.6*1000000</f>
        <v>28.270393213388243</v>
      </c>
      <c r="F8" s="33">
        <f>C30*'E Balans VL '!L18/100/3.6*1000000+C30*'E Balans VL '!N18/100/3.6*1000000</f>
        <v>252.43261231362999</v>
      </c>
      <c r="G8" s="34"/>
      <c r="H8" s="33"/>
      <c r="I8" s="33"/>
      <c r="J8" s="40">
        <f>C30*'E Balans VL '!D18/100/3.6*1000000+C30*'E Balans VL '!E18/100/3.6*1000000</f>
        <v>0</v>
      </c>
      <c r="K8" s="33"/>
      <c r="L8" s="33"/>
      <c r="M8" s="33"/>
      <c r="N8" s="33">
        <f>C30*'E Balans VL '!Y18/100/3.6*1000000</f>
        <v>26.723488026585393</v>
      </c>
      <c r="O8" s="33"/>
      <c r="P8" s="33"/>
      <c r="R8" s="32"/>
    </row>
    <row r="9" spans="1:18">
      <c r="A9" s="6" t="s">
        <v>32</v>
      </c>
      <c r="B9" s="37">
        <f t="shared" si="0"/>
        <v>6961.4453827399793</v>
      </c>
      <c r="C9" s="33"/>
      <c r="D9" s="37">
        <f>IF( ISERROR(IND_andere_gas_kWh/1000),0,IND_andere_gas_kWh/1000)*0.902</f>
        <v>1613.1666900570119</v>
      </c>
      <c r="E9" s="33">
        <f>C31*'E Balans VL '!I19/100/3.6*1000000</f>
        <v>1884.2921037685262</v>
      </c>
      <c r="F9" s="33">
        <f>C31*'E Balans VL '!L19/100/3.6*1000000+C31*'E Balans VL '!N19/100/3.6*1000000</f>
        <v>4637.0592997105059</v>
      </c>
      <c r="G9" s="34"/>
      <c r="H9" s="33"/>
      <c r="I9" s="33"/>
      <c r="J9" s="40">
        <f>C31*'E Balans VL '!D19/100/3.6*1000000+C31*'E Balans VL '!E19/100/3.6*1000000</f>
        <v>0</v>
      </c>
      <c r="K9" s="33"/>
      <c r="L9" s="33"/>
      <c r="M9" s="33"/>
      <c r="N9" s="33">
        <f>C31*'E Balans VL '!Y19/100/3.6*1000000</f>
        <v>588.54409280097173</v>
      </c>
      <c r="O9" s="33"/>
      <c r="P9" s="33"/>
      <c r="R9" s="32"/>
    </row>
    <row r="10" spans="1:18">
      <c r="A10" s="6" t="s">
        <v>40</v>
      </c>
      <c r="B10" s="37">
        <f t="shared" si="0"/>
        <v>21505.3621992972</v>
      </c>
      <c r="C10" s="33"/>
      <c r="D10" s="37">
        <f>IF( ISERROR(IND_voed_gas_kWh/1000),0,IND_voed_gas_kWh/1000)*0.902</f>
        <v>4524.1359973179506</v>
      </c>
      <c r="E10" s="33">
        <f>C32*'E Balans VL '!I20/100/3.6*1000000</f>
        <v>1754.0267482586883</v>
      </c>
      <c r="F10" s="33">
        <f>C32*'E Balans VL '!L20/100/3.6*1000000+C32*'E Balans VL '!N20/100/3.6*1000000</f>
        <v>32066.446176572023</v>
      </c>
      <c r="G10" s="34"/>
      <c r="H10" s="33"/>
      <c r="I10" s="33"/>
      <c r="J10" s="40">
        <f>C32*'E Balans VL '!D20/100/3.6*1000000+C32*'E Balans VL '!E20/100/3.6*1000000</f>
        <v>0.28448983788886067</v>
      </c>
      <c r="K10" s="33"/>
      <c r="L10" s="33"/>
      <c r="M10" s="33"/>
      <c r="N10" s="33">
        <f>C32*'E Balans VL '!Y20/100/3.6*1000000</f>
        <v>6317.5165717458576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65.762068069148498</v>
      </c>
      <c r="C12" s="33"/>
      <c r="D12" s="37">
        <f>IF( ISERROR(IND_min_gas_kWh/1000),0,IND_min_gas_kWh/1000)*0.902</f>
        <v>0</v>
      </c>
      <c r="E12" s="33">
        <f>C34*'E Balans VL '!I22/100/3.6*1000000</f>
        <v>0.51227218131395391</v>
      </c>
      <c r="F12" s="33">
        <f>C34*'E Balans VL '!L22/100/3.6*1000000+C34*'E Balans VL '!N22/100/3.6*1000000</f>
        <v>24.801410873172571</v>
      </c>
      <c r="G12" s="34"/>
      <c r="H12" s="33"/>
      <c r="I12" s="33"/>
      <c r="J12" s="40">
        <f>C34*'E Balans VL '!D22/100/3.6*1000000+C34*'E Balans VL '!E22/100/3.6*1000000</f>
        <v>0.36168562461019127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23977.443055553802</v>
      </c>
      <c r="C15" s="33"/>
      <c r="D15" s="37">
        <f>IF( ISERROR(IND_rest_gas_kWh/1000),0,IND_rest_gas_kWh/1000)*0.902</f>
        <v>154520.75250095429</v>
      </c>
      <c r="E15" s="33">
        <f>C37*'E Balans VL '!I15/100/3.6*1000000</f>
        <v>1337.6575517219856</v>
      </c>
      <c r="F15" s="33">
        <f>C37*'E Balans VL '!L15/100/3.6*1000000+C37*'E Balans VL '!N15/100/3.6*1000000</f>
        <v>5636.6082740355287</v>
      </c>
      <c r="G15" s="34"/>
      <c r="H15" s="33"/>
      <c r="I15" s="33"/>
      <c r="J15" s="40">
        <f>C37*'E Balans VL '!D15/100/3.6*1000000+C37*'E Balans VL '!E15/100/3.6*1000000</f>
        <v>61.455694402345728</v>
      </c>
      <c r="K15" s="33"/>
      <c r="L15" s="33"/>
      <c r="M15" s="33"/>
      <c r="N15" s="33">
        <f>C37*'E Balans VL '!Y15/100/3.6*1000000</f>
        <v>1112.7883370417483</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53494.229241792527</v>
      </c>
      <c r="C18" s="21">
        <f>C5+C16</f>
        <v>0</v>
      </c>
      <c r="D18" s="21">
        <f>MAX((D5+D16),0)</f>
        <v>160843.67128031419</v>
      </c>
      <c r="E18" s="21">
        <f>MAX((E5+E16),0)</f>
        <v>5004.7590691439018</v>
      </c>
      <c r="F18" s="21">
        <f>MAX((F5+F16),0)</f>
        <v>42617.347773504858</v>
      </c>
      <c r="G18" s="21"/>
      <c r="H18" s="21"/>
      <c r="I18" s="21"/>
      <c r="J18" s="21">
        <f>MAX((J5+J16),0)</f>
        <v>62.10186986484478</v>
      </c>
      <c r="K18" s="21"/>
      <c r="L18" s="21">
        <f>MAX((L5+L16),0)</f>
        <v>0</v>
      </c>
      <c r="M18" s="21"/>
      <c r="N18" s="21">
        <f>MAX((N5+N16),0)</f>
        <v>8045.5724896151632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0.2006819364937785</v>
      </c>
      <c r="C20" s="25">
        <f ca="1">'EF ele_warmte'!B22</f>
        <v>0.22998102466793169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10735.325515485036</v>
      </c>
      <c r="C22" s="23">
        <f ca="1">C18*C20</f>
        <v>0</v>
      </c>
      <c r="D22" s="23">
        <f>D18*D20</f>
        <v>32490.421598623467</v>
      </c>
      <c r="E22" s="23">
        <f>E18*E20</f>
        <v>1136.0803086956657</v>
      </c>
      <c r="F22" s="23">
        <f>F18*F20</f>
        <v>11378.831855525797</v>
      </c>
      <c r="G22" s="23"/>
      <c r="H22" s="23"/>
      <c r="I22" s="23"/>
      <c r="J22" s="23">
        <f>J18*J20</f>
        <v>21.984061932155051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984.21653613239789</v>
      </c>
      <c r="C30" s="39">
        <f>IF(ISERROR(B30*3.6/1000000/'E Balans VL '!Z18*100),0,B30*3.6/1000000/'E Balans VL '!Z18*100)</f>
        <v>9.6844394718248725E-2</v>
      </c>
      <c r="D30" s="235" t="s">
        <v>647</v>
      </c>
    </row>
    <row r="31" spans="1:18">
      <c r="A31" s="6" t="s">
        <v>32</v>
      </c>
      <c r="B31" s="37">
        <f>IF( ISERROR(IND_ander_ele_kWh/1000),0,IND_ander_ele_kWh/1000)</f>
        <v>6961.4453827399793</v>
      </c>
      <c r="C31" s="39">
        <f>IF(ISERROR(B31*3.6/1000000/'E Balans VL '!Z19*100),0,B31*3.6/1000000/'E Balans VL '!Z19*100)</f>
        <v>0.30316539332804587</v>
      </c>
      <c r="D31" s="235" t="s">
        <v>647</v>
      </c>
    </row>
    <row r="32" spans="1:18">
      <c r="A32" s="170" t="s">
        <v>40</v>
      </c>
      <c r="B32" s="37">
        <f>IF( ISERROR(IND_voed_ele_kWh/1000),0,IND_voed_ele_kWh/1000)</f>
        <v>21505.3621992972</v>
      </c>
      <c r="C32" s="39">
        <f>IF(ISERROR(B32*3.6/1000000/'E Balans VL '!Z20*100),0,B32*3.6/1000000/'E Balans VL '!Z20*100)</f>
        <v>4.0803323362544139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65.762068069148498</v>
      </c>
      <c r="C34" s="39">
        <f>IF(ISERROR(B34*3.6/1000000/'E Balans VL '!Z22*100),0,B34*3.6/1000000/'E Balans VL '!Z22*100)</f>
        <v>9.246807132626586E-3</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23977.443055553802</v>
      </c>
      <c r="C37" s="39">
        <f>IF(ISERROR(B37*3.6/1000000/'E Balans VL '!Z15*100),0,B37*3.6/1000000/'E Balans VL '!Z15*100)</f>
        <v>0.18477564911367636</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5345.492663298247</v>
      </c>
      <c r="C5" s="17">
        <f>'Eigen informatie GS &amp; warmtenet'!B60</f>
        <v>0</v>
      </c>
      <c r="D5" s="30">
        <f>IF(ISERROR(SUM(LB_lb_gas_kWh,LB_rest_gas_kWh)/1000),0,SUM(LB_lb_gas_kWh,LB_rest_gas_kWh)/1000)*0.902</f>
        <v>259.53875298498883</v>
      </c>
      <c r="E5" s="17">
        <f>B17*'E Balans VL '!I25/3.6*1000000/100</f>
        <v>110.99760579686476</v>
      </c>
      <c r="F5" s="17">
        <f>B17*('E Balans VL '!L25/3.6*1000000+'E Balans VL '!N25/3.6*1000000)/100</f>
        <v>18891.107473455486</v>
      </c>
      <c r="G5" s="18"/>
      <c r="H5" s="17"/>
      <c r="I5" s="17"/>
      <c r="J5" s="17">
        <f>('E Balans VL '!D25+'E Balans VL '!E25)/3.6*1000000*landbouw!B17/100</f>
        <v>613.09419914620321</v>
      </c>
      <c r="K5" s="17"/>
      <c r="L5" s="17">
        <f>L6*(-1)</f>
        <v>0</v>
      </c>
      <c r="M5" s="17"/>
      <c r="N5" s="17">
        <f>N6*(-1)</f>
        <v>124.71428571428569</v>
      </c>
      <c r="O5" s="17"/>
      <c r="P5" s="17"/>
      <c r="R5" s="32"/>
    </row>
    <row r="6" spans="1:18">
      <c r="A6" s="16" t="s">
        <v>483</v>
      </c>
      <c r="B6" s="17" t="s">
        <v>204</v>
      </c>
      <c r="C6" s="17">
        <f>'lokale energieproductie'!O40+'lokale energieproductie'!O33</f>
        <v>62.357142857142847</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-124.71428571428569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5345.492663298247</v>
      </c>
      <c r="C8" s="21">
        <f>C5+C6</f>
        <v>62.357142857142847</v>
      </c>
      <c r="D8" s="21">
        <f>MAX((D5+D6),0)</f>
        <v>259.53875298498883</v>
      </c>
      <c r="E8" s="21">
        <f>MAX((E5+E6),0)</f>
        <v>110.99760579686476</v>
      </c>
      <c r="F8" s="21">
        <f>MAX((F5+F6),0)</f>
        <v>18891.107473455486</v>
      </c>
      <c r="G8" s="21"/>
      <c r="H8" s="21"/>
      <c r="I8" s="21"/>
      <c r="J8" s="21">
        <f>MAX((J5+J6),0)</f>
        <v>613.09419914620321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0.2006819364937785</v>
      </c>
      <c r="C10" s="31">
        <f ca="1">'EF ele_warmte'!B22</f>
        <v>0.22998102466793169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1072.7438191839776</v>
      </c>
      <c r="C12" s="23">
        <f ca="1">C8*C10</f>
        <v>14.340959609650309</v>
      </c>
      <c r="D12" s="23">
        <f>D8*D10</f>
        <v>52.426828102967747</v>
      </c>
      <c r="E12" s="23">
        <f>E8*E10</f>
        <v>25.1964565158883</v>
      </c>
      <c r="F12" s="23">
        <f>F8*F10</f>
        <v>5043.9256954126149</v>
      </c>
      <c r="G12" s="23"/>
      <c r="H12" s="23"/>
      <c r="I12" s="23"/>
      <c r="J12" s="23">
        <f>J8*J10</f>
        <v>217.03534649775594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0.74552774638100761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804.87330939920196</v>
      </c>
      <c r="C26" s="245">
        <f>B26*'GWP N2O_CH4'!B5</f>
        <v>16902.33949738324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451.7790904009513</v>
      </c>
      <c r="C27" s="245">
        <f>B27*'GWP N2O_CH4'!B5</f>
        <v>9487.3608984199782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14.788473844585257</v>
      </c>
      <c r="C28" s="245">
        <f>B28*'GWP N2O_CH4'!B4</f>
        <v>4584.4268918214293</v>
      </c>
      <c r="D28" s="50"/>
    </row>
    <row r="29" spans="1:4">
      <c r="A29" s="41" t="s">
        <v>266</v>
      </c>
      <c r="B29" s="245">
        <f>B34*'ha_N2O bodem landbouw'!B4</f>
        <v>48.2367424126844</v>
      </c>
      <c r="C29" s="245">
        <f>B29*'GWP N2O_CH4'!B4</f>
        <v>14953.390147932165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1.2044232585464524E-2</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4.2657807410633722E-5</v>
      </c>
      <c r="C5" s="434" t="s">
        <v>204</v>
      </c>
      <c r="D5" s="419">
        <f>SUM(D6:D11)</f>
        <v>3.7617639191922931E-5</v>
      </c>
      <c r="E5" s="419">
        <f>SUM(E6:E11)</f>
        <v>1.4584327783021783E-3</v>
      </c>
      <c r="F5" s="432" t="s">
        <v>204</v>
      </c>
      <c r="G5" s="419">
        <f>SUM(G6:G11)</f>
        <v>0.57985867451382844</v>
      </c>
      <c r="H5" s="419">
        <f>SUM(H6:H11)</f>
        <v>7.017384981766446E-2</v>
      </c>
      <c r="I5" s="434" t="s">
        <v>204</v>
      </c>
      <c r="J5" s="434" t="s">
        <v>204</v>
      </c>
      <c r="K5" s="434" t="s">
        <v>204</v>
      </c>
      <c r="L5" s="434" t="s">
        <v>204</v>
      </c>
      <c r="M5" s="419">
        <f>SUM(M6:M11)</f>
        <v>2.9379968869747222E-2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1.8806689389470561E-5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1.6681682882702468E-5</v>
      </c>
      <c r="E6" s="836">
        <f>vkm_GW_PW*SUMIFS(TableVerdeelsleutelVkm[LPG],TableVerdeelsleutelVkm[Voertuigtype],"Lichte voertuigen")*SUMIFS(TableECFTransport[EnergieConsumptieFactor (PJ per km)],TableECFTransport[Index],CONCATENATE($A6,"_LPG_LPG"))</f>
        <v>5.9902546445740731E-4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0.11908292644014802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3.0740532794938959E-2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6.7780416044813732E-3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4.2324225038928775E-7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6.62311191651338E-2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1.7422486210712985E-6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2.9904476815882596E-3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4.9363639765746937E-6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6.8888184775277939E-6</v>
      </c>
      <c r="E8" s="422">
        <f>vkm_NGW_PW*SUMIFS(TableVerdeelsleutelVkm[LPG],TableVerdeelsleutelVkm[Voertuigtype],"Lichte voertuigen")*SUMIFS(TableECFTransport[EnergieConsumptieFactor (PJ per km)],TableECFTransport[Index],CONCATENATE($A8,"_LPG_LPG"))</f>
        <v>2.3485015745051659E-4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4.4045792478535468E-2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1.2167890873120308E-2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2.5433948152342061E-3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1.2779807762625006E-7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2.5688423392150109E-2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6.3498268354689628E-7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1.1598741506739414E-3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1.6947865081185406E-5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1.4047137831692672E-5</v>
      </c>
      <c r="E10" s="422">
        <f>vkm_SW_PW*SUMIFS(TableVerdeelsleutelVkm[LPG],TableVerdeelsleutelVkm[Voertuigtype],"Lichte voertuigen")*SUMIFS(TableECFTransport[EnergieConsumptieFactor (PJ per km)],TableECFTransport[Index],CONCATENATE($A10,"_LPG_LPG"))</f>
        <v>6.2455715639425451E-4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0.11371081741262649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2.7257050063080969E-2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6.3766844989492878E-3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1.4158486353875237E-6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0.21109959562523459</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5.9988552196118506E-6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9.5315261188201536E-3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11.849390947398255</v>
      </c>
      <c r="C14" s="21"/>
      <c r="D14" s="21">
        <f t="shared" ref="D14:M14" si="0">((D5)*10^9/3600)+D12</f>
        <v>10.449344219978592</v>
      </c>
      <c r="E14" s="21">
        <f t="shared" si="0"/>
        <v>405.12021619504952</v>
      </c>
      <c r="F14" s="21"/>
      <c r="G14" s="21">
        <f t="shared" si="0"/>
        <v>161071.854031619</v>
      </c>
      <c r="H14" s="21">
        <f t="shared" si="0"/>
        <v>19492.73606046235</v>
      </c>
      <c r="I14" s="21"/>
      <c r="J14" s="21"/>
      <c r="K14" s="21"/>
      <c r="L14" s="21"/>
      <c r="M14" s="21">
        <f t="shared" si="0"/>
        <v>8161.1024638186727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0.2006819364937785</v>
      </c>
      <c r="C16" s="56">
        <f ca="1">'EF ele_warmte'!B22</f>
        <v>0.22998102466793169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2.3779587215957303</v>
      </c>
      <c r="C18" s="23"/>
      <c r="D18" s="23">
        <f t="shared" ref="D18:M18" si="1">D14*D16</f>
        <v>2.1107675324356756</v>
      </c>
      <c r="E18" s="23">
        <f t="shared" si="1"/>
        <v>91.962289076276249</v>
      </c>
      <c r="F18" s="23"/>
      <c r="G18" s="23">
        <f t="shared" si="1"/>
        <v>43006.185026442276</v>
      </c>
      <c r="H18" s="23">
        <f t="shared" si="1"/>
        <v>4853.6912790551251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2.1158390980309184E-5</v>
      </c>
      <c r="C50" s="316">
        <f t="shared" ref="C50:P50" si="2">SUM(C51:C52)</f>
        <v>0</v>
      </c>
      <c r="D50" s="316">
        <f t="shared" si="2"/>
        <v>0</v>
      </c>
      <c r="E50" s="316">
        <f t="shared" si="2"/>
        <v>0</v>
      </c>
      <c r="F50" s="316">
        <f t="shared" si="2"/>
        <v>0</v>
      </c>
      <c r="G50" s="316">
        <f t="shared" si="2"/>
        <v>4.1183610818250399E-3</v>
      </c>
      <c r="H50" s="316">
        <f t="shared" si="2"/>
        <v>0</v>
      </c>
      <c r="I50" s="316">
        <f t="shared" si="2"/>
        <v>0</v>
      </c>
      <c r="J50" s="316">
        <f t="shared" si="2"/>
        <v>0</v>
      </c>
      <c r="K50" s="316">
        <f t="shared" si="2"/>
        <v>0</v>
      </c>
      <c r="L50" s="316">
        <f t="shared" si="2"/>
        <v>0</v>
      </c>
      <c r="M50" s="316">
        <f t="shared" si="2"/>
        <v>1.8467077142503556E-4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2.1158390980309184E-5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4.1183610818250399E-3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1.8467077142503556E-4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5.8773308278636627</v>
      </c>
      <c r="C54" s="21">
        <f t="shared" ref="C54:P54" si="3">(C50)*10^9/3600</f>
        <v>0</v>
      </c>
      <c r="D54" s="21">
        <f t="shared" si="3"/>
        <v>0</v>
      </c>
      <c r="E54" s="21">
        <f t="shared" si="3"/>
        <v>0</v>
      </c>
      <c r="F54" s="21">
        <f t="shared" si="3"/>
        <v>0</v>
      </c>
      <c r="G54" s="21">
        <f t="shared" si="3"/>
        <v>1143.9891893958445</v>
      </c>
      <c r="H54" s="21">
        <f t="shared" si="3"/>
        <v>0</v>
      </c>
      <c r="I54" s="21">
        <f t="shared" si="3"/>
        <v>0</v>
      </c>
      <c r="J54" s="21">
        <f t="shared" si="3"/>
        <v>0</v>
      </c>
      <c r="K54" s="21">
        <f t="shared" si="3"/>
        <v>0</v>
      </c>
      <c r="L54" s="21">
        <f t="shared" si="3"/>
        <v>0</v>
      </c>
      <c r="M54" s="21">
        <f t="shared" si="3"/>
        <v>51.297436506954327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0.2006819364937785</v>
      </c>
      <c r="C56" s="56">
        <f ca="1">'EF ele_warmte'!B22</f>
        <v>0.22998102466793169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1.1794741319502622</v>
      </c>
      <c r="C58" s="23">
        <f t="shared" ref="C58:P58" ca="1" si="4">C54*C56</f>
        <v>0</v>
      </c>
      <c r="D58" s="23">
        <f t="shared" si="4"/>
        <v>0</v>
      </c>
      <c r="E58" s="23">
        <f t="shared" si="4"/>
        <v>0</v>
      </c>
      <c r="F58" s="23">
        <f t="shared" si="4"/>
        <v>0</v>
      </c>
      <c r="G58" s="23">
        <f t="shared" si="4"/>
        <v>305.44511356869049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9953.7410512453407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1353.15</v>
      </c>
      <c r="C8" s="546">
        <f>B49</f>
        <v>1540.5882352941176</v>
      </c>
      <c r="D8" s="963"/>
      <c r="E8" s="963">
        <f>E49</f>
        <v>0</v>
      </c>
      <c r="F8" s="964"/>
      <c r="G8" s="547"/>
      <c r="H8" s="963">
        <f>I49</f>
        <v>0</v>
      </c>
      <c r="I8" s="963">
        <f>G49+F49</f>
        <v>0</v>
      </c>
      <c r="J8" s="963">
        <f>H49+D49+C49</f>
        <v>51.35294117647058</v>
      </c>
      <c r="K8" s="963"/>
      <c r="L8" s="963"/>
      <c r="M8" s="963"/>
      <c r="N8" s="548"/>
      <c r="O8" s="549">
        <f>C8*$C$12+D8*$D$12+E8*$E$12+F8*$F$12+G8*$G$12+H8*$H$12+I8*$I$12+J8*$J$12</f>
        <v>311.19882352941175</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11306.89105124534</v>
      </c>
      <c r="C10" s="559">
        <f t="shared" ref="C10:L10" si="0">SUM(C8:C9)</f>
        <v>1540.5882352941176</v>
      </c>
      <c r="D10" s="559">
        <f t="shared" si="0"/>
        <v>0</v>
      </c>
      <c r="E10" s="559">
        <f t="shared" si="0"/>
        <v>0</v>
      </c>
      <c r="F10" s="559">
        <f t="shared" si="0"/>
        <v>0</v>
      </c>
      <c r="G10" s="559">
        <f t="shared" si="0"/>
        <v>0</v>
      </c>
      <c r="H10" s="559">
        <f t="shared" si="0"/>
        <v>0</v>
      </c>
      <c r="I10" s="559">
        <f t="shared" si="0"/>
        <v>0</v>
      </c>
      <c r="J10" s="559">
        <f t="shared" si="0"/>
        <v>51.35294117647058</v>
      </c>
      <c r="K10" s="559">
        <f t="shared" si="0"/>
        <v>0</v>
      </c>
      <c r="L10" s="559">
        <f t="shared" si="0"/>
        <v>0</v>
      </c>
      <c r="M10" s="966"/>
      <c r="N10" s="966"/>
      <c r="O10" s="560">
        <f>SUM(O4:O9)</f>
        <v>311.19882352941175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1933.0714285714287</v>
      </c>
      <c r="C17" s="571">
        <f>B50</f>
        <v>2200.8403361344535</v>
      </c>
      <c r="D17" s="572"/>
      <c r="E17" s="572">
        <f>E50</f>
        <v>0</v>
      </c>
      <c r="F17" s="969"/>
      <c r="G17" s="573"/>
      <c r="H17" s="571">
        <f>I50</f>
        <v>0</v>
      </c>
      <c r="I17" s="572">
        <f>G50+F50</f>
        <v>0</v>
      </c>
      <c r="J17" s="572">
        <f>H50+D50+C50</f>
        <v>73.3613445378151</v>
      </c>
      <c r="K17" s="572"/>
      <c r="L17" s="572"/>
      <c r="M17" s="572"/>
      <c r="N17" s="970"/>
      <c r="O17" s="574">
        <f>C17*$C$22+E17*$E$22+H17*$H$22+I17*$I$22+J17*$J$22+D17*$D$22+F17*$F$22+G17*$G$22+K17*$K$22+L17*$L$22</f>
        <v>444.56974789915967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1933.0714285714287</v>
      </c>
      <c r="C20" s="558">
        <f>SUM(C17:C19)</f>
        <v>2200.8403361344535</v>
      </c>
      <c r="D20" s="558">
        <f t="shared" ref="D20:L20" si="1">SUM(D17:D19)</f>
        <v>0</v>
      </c>
      <c r="E20" s="558">
        <f t="shared" si="1"/>
        <v>0</v>
      </c>
      <c r="F20" s="558">
        <f t="shared" si="1"/>
        <v>0</v>
      </c>
      <c r="G20" s="558">
        <f t="shared" si="1"/>
        <v>0</v>
      </c>
      <c r="H20" s="558">
        <f t="shared" si="1"/>
        <v>0</v>
      </c>
      <c r="I20" s="558">
        <f t="shared" si="1"/>
        <v>0</v>
      </c>
      <c r="J20" s="558">
        <f t="shared" si="1"/>
        <v>73.3613445378151</v>
      </c>
      <c r="K20" s="558">
        <f t="shared" si="1"/>
        <v>0</v>
      </c>
      <c r="L20" s="558">
        <f t="shared" si="1"/>
        <v>0</v>
      </c>
      <c r="M20" s="558"/>
      <c r="N20" s="558"/>
      <c r="O20" s="578">
        <f>SUM(O17:O19)</f>
        <v>444.56974789915967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51" hidden="1">
      <c r="A28" s="582"/>
      <c r="B28" s="741">
        <v>38025</v>
      </c>
      <c r="C28" s="741">
        <v>8630</v>
      </c>
      <c r="D28" s="630"/>
      <c r="E28" s="629"/>
      <c r="F28" s="629"/>
      <c r="G28" s="629" t="s">
        <v>908</v>
      </c>
      <c r="H28" s="629" t="s">
        <v>909</v>
      </c>
      <c r="I28" s="629"/>
      <c r="J28" s="740"/>
      <c r="K28" s="740"/>
      <c r="L28" s="629" t="s">
        <v>910</v>
      </c>
      <c r="M28" s="629">
        <v>291</v>
      </c>
      <c r="N28" s="629">
        <v>1309.5</v>
      </c>
      <c r="O28" s="629">
        <v>1870.7142857142858</v>
      </c>
      <c r="P28" s="629">
        <v>3741.4285714285716</v>
      </c>
      <c r="Q28" s="629">
        <v>0</v>
      </c>
      <c r="R28" s="629">
        <v>0</v>
      </c>
      <c r="S28" s="629">
        <v>0</v>
      </c>
      <c r="T28" s="629">
        <v>0</v>
      </c>
      <c r="U28" s="629">
        <v>0</v>
      </c>
      <c r="V28" s="629">
        <v>0</v>
      </c>
      <c r="W28" s="629">
        <v>0</v>
      </c>
      <c r="X28" s="629"/>
      <c r="Y28" s="629">
        <v>1500</v>
      </c>
      <c r="Z28" s="629" t="s">
        <v>50</v>
      </c>
      <c r="AA28" s="631" t="s">
        <v>149</v>
      </c>
    </row>
    <row r="29" spans="1:27" s="583" customFormat="1" ht="25.5" hidden="1">
      <c r="A29" s="582"/>
      <c r="B29" s="741">
        <v>38025</v>
      </c>
      <c r="C29" s="741">
        <v>8630</v>
      </c>
      <c r="D29" s="630"/>
      <c r="E29" s="629"/>
      <c r="F29" s="629"/>
      <c r="G29" s="629" t="s">
        <v>908</v>
      </c>
      <c r="H29" s="629" t="s">
        <v>909</v>
      </c>
      <c r="I29" s="629"/>
      <c r="J29" s="740"/>
      <c r="K29" s="740"/>
      <c r="L29" s="629" t="s">
        <v>910</v>
      </c>
      <c r="M29" s="629">
        <v>9.6999999999999993</v>
      </c>
      <c r="N29" s="629">
        <v>43.649999999999991</v>
      </c>
      <c r="O29" s="629">
        <v>62.357142857142847</v>
      </c>
      <c r="P29" s="629">
        <v>0</v>
      </c>
      <c r="Q29" s="629">
        <v>124.71428571428569</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300.7</v>
      </c>
      <c r="N30" s="587">
        <f>SUM(N28:N29)</f>
        <v>1353.15</v>
      </c>
      <c r="O30" s="587">
        <f>SUM(O28:O29)</f>
        <v>1933.0714285714287</v>
      </c>
      <c r="P30" s="587">
        <f>SUM(P28:P29)</f>
        <v>3741.4285714285716</v>
      </c>
      <c r="Q30" s="587">
        <f>SUM(Q28:Q29)</f>
        <v>124.71428571428569</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291</v>
      </c>
      <c r="N32" s="587">
        <f ca="1">SUMIF($AA$28:AE29,"tertiair",N28:N29)</f>
        <v>1309.5</v>
      </c>
      <c r="O32" s="587">
        <f ca="1">SUMIF($AA$28:AF29,"tertiair",O28:O29)</f>
        <v>1870.7142857142858</v>
      </c>
      <c r="P32" s="587">
        <f ca="1">SUMIF($AA$28:AG29,"tertiair",P28:P29)</f>
        <v>3741.4285714285716</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9.6999999999999993</v>
      </c>
      <c r="N33" s="592">
        <f>SUMIF($AA$28:$AA$29,"landbouw",N28:N29)</f>
        <v>43.649999999999991</v>
      </c>
      <c r="O33" s="592">
        <f>SUMIF($AA$28:$AA$29,"landbouw",O28:O29)</f>
        <v>62.357142857142847</v>
      </c>
      <c r="P33" s="592">
        <f>SUMIF($AA$28:$AA$29,"landbouw",P28:P29)</f>
        <v>0</v>
      </c>
      <c r="Q33" s="592">
        <f>SUMIF($AA$28:$AA$29,"landbouw",Q28:Q29)</f>
        <v>124.71428571428569</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0.58823529411764697</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1540.5882352941176</v>
      </c>
      <c r="C49" s="621">
        <f t="shared" si="2"/>
        <v>51.35294117647058</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2200.8403361344535</v>
      </c>
      <c r="C50" s="624">
        <f t="shared" si="3"/>
        <v>73.3613445378151</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28024.178498345354</v>
      </c>
      <c r="D10" s="640">
        <f ca="1">tertiair!C16</f>
        <v>1870.7142857142858</v>
      </c>
      <c r="E10" s="640">
        <f ca="1">tertiair!D16</f>
        <v>31600.875267766583</v>
      </c>
      <c r="F10" s="640">
        <f>tertiair!E16</f>
        <v>156.7042254767905</v>
      </c>
      <c r="G10" s="640">
        <f ca="1">tertiair!F16</f>
        <v>3298.4702571088051</v>
      </c>
      <c r="H10" s="640">
        <f>tertiair!G16</f>
        <v>0</v>
      </c>
      <c r="I10" s="640">
        <f>tertiair!H16</f>
        <v>0</v>
      </c>
      <c r="J10" s="640">
        <f>tertiair!I16</f>
        <v>0</v>
      </c>
      <c r="K10" s="640">
        <f>tertiair!J16</f>
        <v>59.537964524303206</v>
      </c>
      <c r="L10" s="640">
        <f>tertiair!K16</f>
        <v>0</v>
      </c>
      <c r="M10" s="640">
        <f ca="1">tertiair!L16</f>
        <v>0</v>
      </c>
      <c r="N10" s="640">
        <f>tertiair!M16</f>
        <v>0</v>
      </c>
      <c r="O10" s="640">
        <f ca="1">tertiair!N16</f>
        <v>1227.0934336001935</v>
      </c>
      <c r="P10" s="640">
        <f>tertiair!O16</f>
        <v>7.8166666666666664</v>
      </c>
      <c r="Q10" s="641">
        <f>tertiair!P16</f>
        <v>19.066666666666666</v>
      </c>
      <c r="R10" s="643">
        <f ca="1">SUM(C10:Q10)</f>
        <v>66264.457265869642</v>
      </c>
      <c r="S10" s="67"/>
    </row>
    <row r="11" spans="1:19" s="444" customFormat="1">
      <c r="A11" s="754" t="s">
        <v>214</v>
      </c>
      <c r="B11" s="759"/>
      <c r="C11" s="640">
        <f>huishoudens!B8</f>
        <v>19890.723584686686</v>
      </c>
      <c r="D11" s="640">
        <f>huishoudens!C8</f>
        <v>0</v>
      </c>
      <c r="E11" s="640">
        <f>huishoudens!D8</f>
        <v>51281.533518949676</v>
      </c>
      <c r="F11" s="640">
        <f>huishoudens!E8</f>
        <v>890.03628046393362</v>
      </c>
      <c r="G11" s="640">
        <f>huishoudens!F8</f>
        <v>27275.58258533636</v>
      </c>
      <c r="H11" s="640">
        <f>huishoudens!G8</f>
        <v>0</v>
      </c>
      <c r="I11" s="640">
        <f>huishoudens!H8</f>
        <v>0</v>
      </c>
      <c r="J11" s="640">
        <f>huishoudens!I8</f>
        <v>0</v>
      </c>
      <c r="K11" s="640">
        <f>huishoudens!J8</f>
        <v>516.5452237248337</v>
      </c>
      <c r="L11" s="640">
        <f>huishoudens!K8</f>
        <v>0</v>
      </c>
      <c r="M11" s="640">
        <f>huishoudens!L8</f>
        <v>0</v>
      </c>
      <c r="N11" s="640">
        <f>huishoudens!M8</f>
        <v>0</v>
      </c>
      <c r="O11" s="640">
        <f>huishoudens!N8</f>
        <v>7365.4449073520273</v>
      </c>
      <c r="P11" s="640">
        <f>huishoudens!O8</f>
        <v>237.62666666666667</v>
      </c>
      <c r="Q11" s="641">
        <f>huishoudens!P8</f>
        <v>305.06666666666666</v>
      </c>
      <c r="R11" s="643">
        <f>SUM(C11:Q11)</f>
        <v>107762.55943384685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53494.229241792527</v>
      </c>
      <c r="D13" s="640">
        <f>industrie!C18</f>
        <v>0</v>
      </c>
      <c r="E13" s="640">
        <f>industrie!D18</f>
        <v>160843.67128031419</v>
      </c>
      <c r="F13" s="640">
        <f>industrie!E18</f>
        <v>5004.7590691439018</v>
      </c>
      <c r="G13" s="640">
        <f>industrie!F18</f>
        <v>42617.347773504858</v>
      </c>
      <c r="H13" s="640">
        <f>industrie!G18</f>
        <v>0</v>
      </c>
      <c r="I13" s="640">
        <f>industrie!H18</f>
        <v>0</v>
      </c>
      <c r="J13" s="640">
        <f>industrie!I18</f>
        <v>0</v>
      </c>
      <c r="K13" s="640">
        <f>industrie!J18</f>
        <v>62.10186986484478</v>
      </c>
      <c r="L13" s="640">
        <f>industrie!K18</f>
        <v>0</v>
      </c>
      <c r="M13" s="640">
        <f>industrie!L18</f>
        <v>0</v>
      </c>
      <c r="N13" s="640">
        <f>industrie!M18</f>
        <v>0</v>
      </c>
      <c r="O13" s="640">
        <f>industrie!N18</f>
        <v>8045.5724896151632</v>
      </c>
      <c r="P13" s="640">
        <f>industrie!O18</f>
        <v>0</v>
      </c>
      <c r="Q13" s="641">
        <f>industrie!P18</f>
        <v>0</v>
      </c>
      <c r="R13" s="643">
        <f>SUM(C13:Q13)</f>
        <v>270067.68172423547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101409.13132482456</v>
      </c>
      <c r="D16" s="675">
        <f t="shared" ref="D16:R16" ca="1" si="0">SUM(D9:D15)</f>
        <v>1870.7142857142858</v>
      </c>
      <c r="E16" s="675">
        <f t="shared" ca="1" si="0"/>
        <v>243726.08006703045</v>
      </c>
      <c r="F16" s="675">
        <f t="shared" si="0"/>
        <v>6051.4995750846265</v>
      </c>
      <c r="G16" s="675">
        <f t="shared" ca="1" si="0"/>
        <v>73191.400615950028</v>
      </c>
      <c r="H16" s="675">
        <f t="shared" si="0"/>
        <v>0</v>
      </c>
      <c r="I16" s="675">
        <f t="shared" si="0"/>
        <v>0</v>
      </c>
      <c r="J16" s="675">
        <f t="shared" si="0"/>
        <v>0</v>
      </c>
      <c r="K16" s="675">
        <f t="shared" si="0"/>
        <v>638.18505811398165</v>
      </c>
      <c r="L16" s="675">
        <f t="shared" si="0"/>
        <v>0</v>
      </c>
      <c r="M16" s="675">
        <f t="shared" ca="1" si="0"/>
        <v>0</v>
      </c>
      <c r="N16" s="675">
        <f t="shared" si="0"/>
        <v>0</v>
      </c>
      <c r="O16" s="675">
        <f t="shared" ca="1" si="0"/>
        <v>16638.110830567384</v>
      </c>
      <c r="P16" s="675">
        <f t="shared" si="0"/>
        <v>245.44333333333333</v>
      </c>
      <c r="Q16" s="675">
        <f t="shared" si="0"/>
        <v>324.13333333333333</v>
      </c>
      <c r="R16" s="675">
        <f t="shared" ca="1" si="0"/>
        <v>444094.69842395198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5.8773308278636627</v>
      </c>
      <c r="D19" s="640">
        <f>transport!C54</f>
        <v>0</v>
      </c>
      <c r="E19" s="640">
        <f>transport!D54</f>
        <v>0</v>
      </c>
      <c r="F19" s="640">
        <f>transport!E54</f>
        <v>0</v>
      </c>
      <c r="G19" s="640">
        <f>transport!F54</f>
        <v>0</v>
      </c>
      <c r="H19" s="640">
        <f>transport!G54</f>
        <v>1143.9891893958445</v>
      </c>
      <c r="I19" s="640">
        <f>transport!H54</f>
        <v>0</v>
      </c>
      <c r="J19" s="640">
        <f>transport!I54</f>
        <v>0</v>
      </c>
      <c r="K19" s="640">
        <f>transport!J54</f>
        <v>0</v>
      </c>
      <c r="L19" s="640">
        <f>transport!K54</f>
        <v>0</v>
      </c>
      <c r="M19" s="640">
        <f>transport!L54</f>
        <v>0</v>
      </c>
      <c r="N19" s="640">
        <f>transport!M54</f>
        <v>51.297436506954327</v>
      </c>
      <c r="O19" s="640">
        <f>transport!N54</f>
        <v>0</v>
      </c>
      <c r="P19" s="640">
        <f>transport!O54</f>
        <v>0</v>
      </c>
      <c r="Q19" s="641">
        <f>transport!P54</f>
        <v>0</v>
      </c>
      <c r="R19" s="643">
        <f>SUM(C19:Q19)</f>
        <v>1201.1639567306624</v>
      </c>
      <c r="S19" s="67"/>
    </row>
    <row r="20" spans="1:19" s="444" customFormat="1">
      <c r="A20" s="754" t="s">
        <v>296</v>
      </c>
      <c r="B20" s="759"/>
      <c r="C20" s="640">
        <f>transport!B14</f>
        <v>11.849390947398255</v>
      </c>
      <c r="D20" s="640">
        <f>transport!C14</f>
        <v>0</v>
      </c>
      <c r="E20" s="640">
        <f>transport!D14</f>
        <v>10.449344219978592</v>
      </c>
      <c r="F20" s="640">
        <f>transport!E14</f>
        <v>405.12021619504952</v>
      </c>
      <c r="G20" s="640">
        <f>transport!F14</f>
        <v>0</v>
      </c>
      <c r="H20" s="640">
        <f>transport!G14</f>
        <v>161071.854031619</v>
      </c>
      <c r="I20" s="640">
        <f>transport!H14</f>
        <v>19492.73606046235</v>
      </c>
      <c r="J20" s="640">
        <f>transport!I14</f>
        <v>0</v>
      </c>
      <c r="K20" s="640">
        <f>transport!J14</f>
        <v>0</v>
      </c>
      <c r="L20" s="640">
        <f>transport!K14</f>
        <v>0</v>
      </c>
      <c r="M20" s="640">
        <f>transport!L14</f>
        <v>0</v>
      </c>
      <c r="N20" s="640">
        <f>transport!M14</f>
        <v>8161.1024638186727</v>
      </c>
      <c r="O20" s="640">
        <f>transport!N14</f>
        <v>0</v>
      </c>
      <c r="P20" s="640">
        <f>transport!O14</f>
        <v>0</v>
      </c>
      <c r="Q20" s="641">
        <f>transport!P14</f>
        <v>0</v>
      </c>
      <c r="R20" s="643">
        <f>SUM(C20:Q20)</f>
        <v>189153.11150726245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17.726721775261918</v>
      </c>
      <c r="D22" s="757">
        <f t="shared" ref="D22:R22" si="1">SUM(D18:D21)</f>
        <v>0</v>
      </c>
      <c r="E22" s="757">
        <f t="shared" si="1"/>
        <v>10.449344219978592</v>
      </c>
      <c r="F22" s="757">
        <f t="shared" si="1"/>
        <v>405.12021619504952</v>
      </c>
      <c r="G22" s="757">
        <f t="shared" si="1"/>
        <v>0</v>
      </c>
      <c r="H22" s="757">
        <f t="shared" si="1"/>
        <v>162215.84322101486</v>
      </c>
      <c r="I22" s="757">
        <f t="shared" si="1"/>
        <v>19492.73606046235</v>
      </c>
      <c r="J22" s="757">
        <f t="shared" si="1"/>
        <v>0</v>
      </c>
      <c r="K22" s="757">
        <f t="shared" si="1"/>
        <v>0</v>
      </c>
      <c r="L22" s="757">
        <f t="shared" si="1"/>
        <v>0</v>
      </c>
      <c r="M22" s="757">
        <f t="shared" si="1"/>
        <v>0</v>
      </c>
      <c r="N22" s="757">
        <f t="shared" si="1"/>
        <v>8212.3999003256267</v>
      </c>
      <c r="O22" s="757">
        <f t="shared" si="1"/>
        <v>0</v>
      </c>
      <c r="P22" s="757">
        <f t="shared" si="1"/>
        <v>0</v>
      </c>
      <c r="Q22" s="757">
        <f t="shared" si="1"/>
        <v>0</v>
      </c>
      <c r="R22" s="757">
        <f t="shared" si="1"/>
        <v>190354.27546399311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5345.492663298247</v>
      </c>
      <c r="D24" s="640">
        <f>+landbouw!C8</f>
        <v>62.357142857142847</v>
      </c>
      <c r="E24" s="640">
        <f>+landbouw!D8</f>
        <v>259.53875298498883</v>
      </c>
      <c r="F24" s="640">
        <f>+landbouw!E8</f>
        <v>110.99760579686476</v>
      </c>
      <c r="G24" s="640">
        <f>+landbouw!F8</f>
        <v>18891.107473455486</v>
      </c>
      <c r="H24" s="640">
        <f>+landbouw!G8</f>
        <v>0</v>
      </c>
      <c r="I24" s="640">
        <f>+landbouw!H8</f>
        <v>0</v>
      </c>
      <c r="J24" s="640">
        <f>+landbouw!I8</f>
        <v>0</v>
      </c>
      <c r="K24" s="640">
        <f>+landbouw!J8</f>
        <v>613.09419914620321</v>
      </c>
      <c r="L24" s="640">
        <f>+landbouw!K8</f>
        <v>0</v>
      </c>
      <c r="M24" s="640">
        <f>+landbouw!L8</f>
        <v>0</v>
      </c>
      <c r="N24" s="640">
        <f>+landbouw!M8</f>
        <v>0</v>
      </c>
      <c r="O24" s="640">
        <f>+landbouw!N8</f>
        <v>0</v>
      </c>
      <c r="P24" s="640">
        <f>+landbouw!O8</f>
        <v>0</v>
      </c>
      <c r="Q24" s="641">
        <f>+landbouw!P8</f>
        <v>0</v>
      </c>
      <c r="R24" s="643">
        <f>SUM(C24:Q24)</f>
        <v>25282.587837538933</v>
      </c>
      <c r="S24" s="67"/>
    </row>
    <row r="25" spans="1:19" s="444" customFormat="1" ht="15" thickBot="1">
      <c r="A25" s="776" t="s">
        <v>806</v>
      </c>
      <c r="B25" s="939"/>
      <c r="C25" s="940">
        <f>IF(Onbekend_ele_kWh="---",0,Onbekend_ele_kWh)/1000+IF(REST_rest_ele_kWh="---",0,REST_rest_ele_kWh)/1000</f>
        <v>896.57640640646605</v>
      </c>
      <c r="D25" s="940"/>
      <c r="E25" s="940">
        <f>IF(onbekend_gas_kWh="---",0,onbekend_gas_kWh)/1000+IF(REST_rest_gas_kWh="---",0,REST_rest_gas_kWh)/1000</f>
        <v>3013.0101791675197</v>
      </c>
      <c r="F25" s="940"/>
      <c r="G25" s="940"/>
      <c r="H25" s="940"/>
      <c r="I25" s="940"/>
      <c r="J25" s="940"/>
      <c r="K25" s="940"/>
      <c r="L25" s="940"/>
      <c r="M25" s="940"/>
      <c r="N25" s="940"/>
      <c r="O25" s="940"/>
      <c r="P25" s="940"/>
      <c r="Q25" s="941"/>
      <c r="R25" s="643">
        <f>SUM(C25:Q25)</f>
        <v>3909.5865855739858</v>
      </c>
      <c r="S25" s="67"/>
    </row>
    <row r="26" spans="1:19" s="444" customFormat="1" ht="15.75" thickBot="1">
      <c r="A26" s="648" t="s">
        <v>807</v>
      </c>
      <c r="B26" s="762"/>
      <c r="C26" s="757">
        <f>SUM(C24:C25)</f>
        <v>6242.069069704713</v>
      </c>
      <c r="D26" s="757">
        <f t="shared" ref="D26:R26" si="2">SUM(D24:D25)</f>
        <v>62.357142857142847</v>
      </c>
      <c r="E26" s="757">
        <f t="shared" si="2"/>
        <v>3272.5489321525083</v>
      </c>
      <c r="F26" s="757">
        <f t="shared" si="2"/>
        <v>110.99760579686476</v>
      </c>
      <c r="G26" s="757">
        <f t="shared" si="2"/>
        <v>18891.107473455486</v>
      </c>
      <c r="H26" s="757">
        <f t="shared" si="2"/>
        <v>0</v>
      </c>
      <c r="I26" s="757">
        <f t="shared" si="2"/>
        <v>0</v>
      </c>
      <c r="J26" s="757">
        <f t="shared" si="2"/>
        <v>0</v>
      </c>
      <c r="K26" s="757">
        <f t="shared" si="2"/>
        <v>613.09419914620321</v>
      </c>
      <c r="L26" s="757">
        <f t="shared" si="2"/>
        <v>0</v>
      </c>
      <c r="M26" s="757">
        <f t="shared" si="2"/>
        <v>0</v>
      </c>
      <c r="N26" s="757">
        <f t="shared" si="2"/>
        <v>0</v>
      </c>
      <c r="O26" s="757">
        <f t="shared" si="2"/>
        <v>0</v>
      </c>
      <c r="P26" s="757">
        <f t="shared" si="2"/>
        <v>0</v>
      </c>
      <c r="Q26" s="757">
        <f t="shared" si="2"/>
        <v>0</v>
      </c>
      <c r="R26" s="757">
        <f t="shared" si="2"/>
        <v>29192.17442311292</v>
      </c>
      <c r="S26" s="67"/>
    </row>
    <row r="27" spans="1:19" s="444" customFormat="1" ht="17.25" thickTop="1" thickBot="1">
      <c r="A27" s="649" t="s">
        <v>109</v>
      </c>
      <c r="B27" s="749"/>
      <c r="C27" s="650">
        <f ca="1">C22+C16+C26</f>
        <v>107668.92711630453</v>
      </c>
      <c r="D27" s="650">
        <f t="shared" ref="D27:R27" ca="1" si="3">D22+D16+D26</f>
        <v>1933.0714285714287</v>
      </c>
      <c r="E27" s="650">
        <f t="shared" ca="1" si="3"/>
        <v>247009.07834340294</v>
      </c>
      <c r="F27" s="650">
        <f t="shared" si="3"/>
        <v>6567.6173970765412</v>
      </c>
      <c r="G27" s="650">
        <f t="shared" ca="1" si="3"/>
        <v>92082.508089405514</v>
      </c>
      <c r="H27" s="650">
        <f t="shared" si="3"/>
        <v>162215.84322101486</v>
      </c>
      <c r="I27" s="650">
        <f t="shared" si="3"/>
        <v>19492.73606046235</v>
      </c>
      <c r="J27" s="650">
        <f t="shared" si="3"/>
        <v>0</v>
      </c>
      <c r="K27" s="650">
        <f t="shared" si="3"/>
        <v>1251.2792572601847</v>
      </c>
      <c r="L27" s="650">
        <f t="shared" si="3"/>
        <v>0</v>
      </c>
      <c r="M27" s="650">
        <f t="shared" ca="1" si="3"/>
        <v>0</v>
      </c>
      <c r="N27" s="650">
        <f t="shared" si="3"/>
        <v>8212.3999003256267</v>
      </c>
      <c r="O27" s="650">
        <f t="shared" ca="1" si="3"/>
        <v>16638.110830567384</v>
      </c>
      <c r="P27" s="650">
        <f t="shared" si="3"/>
        <v>245.44333333333333</v>
      </c>
      <c r="Q27" s="650">
        <f t="shared" si="3"/>
        <v>324.13333333333333</v>
      </c>
      <c r="R27" s="650">
        <f t="shared" ca="1" si="3"/>
        <v>663641.14831105794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5623.9464096952561</v>
      </c>
      <c r="D40" s="640">
        <f ca="1">tertiair!C20</f>
        <v>430.22878828950934</v>
      </c>
      <c r="E40" s="640">
        <f ca="1">tertiair!D20</f>
        <v>6383.3768040888499</v>
      </c>
      <c r="F40" s="640">
        <f>tertiair!E20</f>
        <v>35.571859183231446</v>
      </c>
      <c r="G40" s="640">
        <f ca="1">tertiair!F20</f>
        <v>880.691558648051</v>
      </c>
      <c r="H40" s="640">
        <f>tertiair!G20</f>
        <v>0</v>
      </c>
      <c r="I40" s="640">
        <f>tertiair!H20</f>
        <v>0</v>
      </c>
      <c r="J40" s="640">
        <f>tertiair!I20</f>
        <v>0</v>
      </c>
      <c r="K40" s="640">
        <f>tertiair!J20</f>
        <v>21.076439441603334</v>
      </c>
      <c r="L40" s="640">
        <f>tertiair!K20</f>
        <v>0</v>
      </c>
      <c r="M40" s="640">
        <f ca="1">tertiair!L20</f>
        <v>0</v>
      </c>
      <c r="N40" s="640">
        <f>tertiair!M20</f>
        <v>0</v>
      </c>
      <c r="O40" s="640">
        <f ca="1">tertiair!N20</f>
        <v>0</v>
      </c>
      <c r="P40" s="640">
        <f>tertiair!O20</f>
        <v>0</v>
      </c>
      <c r="Q40" s="717">
        <f>tertiair!P20</f>
        <v>0</v>
      </c>
      <c r="R40" s="795">
        <f t="shared" ca="1" si="4"/>
        <v>13374.891859346502</v>
      </c>
    </row>
    <row r="41" spans="1:18">
      <c r="A41" s="767" t="s">
        <v>214</v>
      </c>
      <c r="B41" s="774"/>
      <c r="C41" s="640">
        <f ca="1">huishoudens!B12</f>
        <v>3991.7089272373955</v>
      </c>
      <c r="D41" s="640">
        <f ca="1">huishoudens!C12</f>
        <v>0</v>
      </c>
      <c r="E41" s="640">
        <f>huishoudens!D12</f>
        <v>10358.869770827836</v>
      </c>
      <c r="F41" s="640">
        <f>huishoudens!E12</f>
        <v>202.03823566531292</v>
      </c>
      <c r="G41" s="640">
        <f>huishoudens!F12</f>
        <v>7282.5805502848089</v>
      </c>
      <c r="H41" s="640">
        <f>huishoudens!G12</f>
        <v>0</v>
      </c>
      <c r="I41" s="640">
        <f>huishoudens!H12</f>
        <v>0</v>
      </c>
      <c r="J41" s="640">
        <f>huishoudens!I12</f>
        <v>0</v>
      </c>
      <c r="K41" s="640">
        <f>huishoudens!J12</f>
        <v>182.85700919859113</v>
      </c>
      <c r="L41" s="640">
        <f>huishoudens!K12</f>
        <v>0</v>
      </c>
      <c r="M41" s="640">
        <f>huishoudens!L12</f>
        <v>0</v>
      </c>
      <c r="N41" s="640">
        <f>huishoudens!M12</f>
        <v>0</v>
      </c>
      <c r="O41" s="640">
        <f>huishoudens!N12</f>
        <v>0</v>
      </c>
      <c r="P41" s="640">
        <f>huishoudens!O12</f>
        <v>0</v>
      </c>
      <c r="Q41" s="717">
        <f>huishoudens!P12</f>
        <v>0</v>
      </c>
      <c r="R41" s="795">
        <f t="shared" ca="1" si="4"/>
        <v>22018.054493213946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10735.325515485036</v>
      </c>
      <c r="D43" s="640">
        <f ca="1">industrie!C22</f>
        <v>0</v>
      </c>
      <c r="E43" s="640">
        <f>industrie!D22</f>
        <v>32490.421598623467</v>
      </c>
      <c r="F43" s="640">
        <f>industrie!E22</f>
        <v>1136.0803086956657</v>
      </c>
      <c r="G43" s="640">
        <f>industrie!F22</f>
        <v>11378.831855525797</v>
      </c>
      <c r="H43" s="640">
        <f>industrie!G22</f>
        <v>0</v>
      </c>
      <c r="I43" s="640">
        <f>industrie!H22</f>
        <v>0</v>
      </c>
      <c r="J43" s="640">
        <f>industrie!I22</f>
        <v>0</v>
      </c>
      <c r="K43" s="640">
        <f>industrie!J22</f>
        <v>21.984061932155051</v>
      </c>
      <c r="L43" s="640">
        <f>industrie!K22</f>
        <v>0</v>
      </c>
      <c r="M43" s="640">
        <f>industrie!L22</f>
        <v>0</v>
      </c>
      <c r="N43" s="640">
        <f>industrie!M22</f>
        <v>0</v>
      </c>
      <c r="O43" s="640">
        <f>industrie!N22</f>
        <v>0</v>
      </c>
      <c r="P43" s="640">
        <f>industrie!O22</f>
        <v>0</v>
      </c>
      <c r="Q43" s="717">
        <f>industrie!P22</f>
        <v>0</v>
      </c>
      <c r="R43" s="794">
        <f t="shared" ca="1" si="4"/>
        <v>55762.643340262126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20350.980852417688</v>
      </c>
      <c r="D46" s="675">
        <f t="shared" ref="D46:Q46" ca="1" si="5">SUM(D39:D45)</f>
        <v>430.22878828950934</v>
      </c>
      <c r="E46" s="675">
        <f t="shared" ca="1" si="5"/>
        <v>49232.668173540151</v>
      </c>
      <c r="F46" s="675">
        <f t="shared" si="5"/>
        <v>1373.6904035442101</v>
      </c>
      <c r="G46" s="675">
        <f t="shared" ca="1" si="5"/>
        <v>19542.103964458656</v>
      </c>
      <c r="H46" s="675">
        <f t="shared" si="5"/>
        <v>0</v>
      </c>
      <c r="I46" s="675">
        <f t="shared" si="5"/>
        <v>0</v>
      </c>
      <c r="J46" s="675">
        <f t="shared" si="5"/>
        <v>0</v>
      </c>
      <c r="K46" s="675">
        <f t="shared" si="5"/>
        <v>225.9175105723495</v>
      </c>
      <c r="L46" s="675">
        <f t="shared" si="5"/>
        <v>0</v>
      </c>
      <c r="M46" s="675">
        <f t="shared" ca="1" si="5"/>
        <v>0</v>
      </c>
      <c r="N46" s="675">
        <f t="shared" si="5"/>
        <v>0</v>
      </c>
      <c r="O46" s="675">
        <f t="shared" ca="1" si="5"/>
        <v>0</v>
      </c>
      <c r="P46" s="675">
        <f t="shared" si="5"/>
        <v>0</v>
      </c>
      <c r="Q46" s="675">
        <f t="shared" si="5"/>
        <v>0</v>
      </c>
      <c r="R46" s="675">
        <f ca="1">SUM(R39:R45)</f>
        <v>91155.58969282257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1.1794741319502622</v>
      </c>
      <c r="D49" s="640">
        <f ca="1">transport!C58</f>
        <v>0</v>
      </c>
      <c r="E49" s="640">
        <f>transport!D58</f>
        <v>0</v>
      </c>
      <c r="F49" s="640">
        <f>transport!E58</f>
        <v>0</v>
      </c>
      <c r="G49" s="640">
        <f>transport!F58</f>
        <v>0</v>
      </c>
      <c r="H49" s="640">
        <f>transport!G58</f>
        <v>305.44511356869049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306.62458770064075</v>
      </c>
    </row>
    <row r="50" spans="1:18">
      <c r="A50" s="770" t="s">
        <v>296</v>
      </c>
      <c r="B50" s="780"/>
      <c r="C50" s="646">
        <f ca="1">transport!B18</f>
        <v>2.3779587215957303</v>
      </c>
      <c r="D50" s="646">
        <f>transport!C18</f>
        <v>0</v>
      </c>
      <c r="E50" s="646">
        <f>transport!D18</f>
        <v>2.1107675324356756</v>
      </c>
      <c r="F50" s="646">
        <f>transport!E18</f>
        <v>91.962289076276249</v>
      </c>
      <c r="G50" s="646">
        <f>transport!F18</f>
        <v>0</v>
      </c>
      <c r="H50" s="646">
        <f>transport!G18</f>
        <v>43006.185026442276</v>
      </c>
      <c r="I50" s="646">
        <f>transport!H18</f>
        <v>4853.6912790551251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47956.32732082771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3.5574328535459925</v>
      </c>
      <c r="D52" s="675">
        <f t="shared" ref="D52:Q52" ca="1" si="6">SUM(D48:D51)</f>
        <v>0</v>
      </c>
      <c r="E52" s="675">
        <f t="shared" si="6"/>
        <v>2.1107675324356756</v>
      </c>
      <c r="F52" s="675">
        <f t="shared" si="6"/>
        <v>91.962289076276249</v>
      </c>
      <c r="G52" s="675">
        <f t="shared" si="6"/>
        <v>0</v>
      </c>
      <c r="H52" s="675">
        <f t="shared" si="6"/>
        <v>43311.630140010966</v>
      </c>
      <c r="I52" s="675">
        <f t="shared" si="6"/>
        <v>4853.6912790551251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48262.951908528354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1072.7438191839776</v>
      </c>
      <c r="D54" s="646">
        <f ca="1">+landbouw!C12</f>
        <v>14.340959609650309</v>
      </c>
      <c r="E54" s="646">
        <f>+landbouw!D12</f>
        <v>52.426828102967747</v>
      </c>
      <c r="F54" s="646">
        <f>+landbouw!E12</f>
        <v>25.1964565158883</v>
      </c>
      <c r="G54" s="646">
        <f>+landbouw!F12</f>
        <v>5043.9256954126149</v>
      </c>
      <c r="H54" s="646">
        <f>+landbouw!G12</f>
        <v>0</v>
      </c>
      <c r="I54" s="646">
        <f>+landbouw!H12</f>
        <v>0</v>
      </c>
      <c r="J54" s="646">
        <f>+landbouw!I12</f>
        <v>0</v>
      </c>
      <c r="K54" s="646">
        <f>+landbouw!J12</f>
        <v>217.03534649775594</v>
      </c>
      <c r="L54" s="646">
        <f>+landbouw!K12</f>
        <v>0</v>
      </c>
      <c r="M54" s="646">
        <f>+landbouw!L12</f>
        <v>0</v>
      </c>
      <c r="N54" s="646">
        <f>+landbouw!M12</f>
        <v>0</v>
      </c>
      <c r="O54" s="646">
        <f>+landbouw!N12</f>
        <v>0</v>
      </c>
      <c r="P54" s="646">
        <f>+landbouw!O12</f>
        <v>0</v>
      </c>
      <c r="Q54" s="647">
        <f>+landbouw!P12</f>
        <v>0</v>
      </c>
      <c r="R54" s="674">
        <f ca="1">SUM(C54:Q54)</f>
        <v>6425.6691053228551</v>
      </c>
    </row>
    <row r="55" spans="1:18" ht="15" thickBot="1">
      <c r="A55" s="770" t="s">
        <v>806</v>
      </c>
      <c r="B55" s="780"/>
      <c r="C55" s="646">
        <f ca="1">C25*'EF ele_warmte'!B12</f>
        <v>179.92668945228255</v>
      </c>
      <c r="D55" s="646"/>
      <c r="E55" s="646">
        <f>E25*EF_CO2_aardgas</f>
        <v>608.62805619183905</v>
      </c>
      <c r="F55" s="646"/>
      <c r="G55" s="646"/>
      <c r="H55" s="646"/>
      <c r="I55" s="646"/>
      <c r="J55" s="646"/>
      <c r="K55" s="646"/>
      <c r="L55" s="646"/>
      <c r="M55" s="646"/>
      <c r="N55" s="646"/>
      <c r="O55" s="646"/>
      <c r="P55" s="646"/>
      <c r="Q55" s="647"/>
      <c r="R55" s="674">
        <f ca="1">SUM(C55:Q55)</f>
        <v>788.55474564412157</v>
      </c>
    </row>
    <row r="56" spans="1:18" ht="15.75" thickBot="1">
      <c r="A56" s="768" t="s">
        <v>807</v>
      </c>
      <c r="B56" s="781"/>
      <c r="C56" s="675">
        <f ca="1">SUM(C54:C55)</f>
        <v>1252.6705086362601</v>
      </c>
      <c r="D56" s="675">
        <f t="shared" ref="D56:Q56" ca="1" si="7">SUM(D54:D55)</f>
        <v>14.340959609650309</v>
      </c>
      <c r="E56" s="675">
        <f t="shared" si="7"/>
        <v>661.05488429480681</v>
      </c>
      <c r="F56" s="675">
        <f t="shared" si="7"/>
        <v>25.1964565158883</v>
      </c>
      <c r="G56" s="675">
        <f t="shared" si="7"/>
        <v>5043.9256954126149</v>
      </c>
      <c r="H56" s="675">
        <f t="shared" si="7"/>
        <v>0</v>
      </c>
      <c r="I56" s="675">
        <f t="shared" si="7"/>
        <v>0</v>
      </c>
      <c r="J56" s="675">
        <f t="shared" si="7"/>
        <v>0</v>
      </c>
      <c r="K56" s="675">
        <f t="shared" si="7"/>
        <v>217.03534649775594</v>
      </c>
      <c r="L56" s="675">
        <f t="shared" si="7"/>
        <v>0</v>
      </c>
      <c r="M56" s="675">
        <f t="shared" si="7"/>
        <v>0</v>
      </c>
      <c r="N56" s="675">
        <f t="shared" si="7"/>
        <v>0</v>
      </c>
      <c r="O56" s="675">
        <f t="shared" si="7"/>
        <v>0</v>
      </c>
      <c r="P56" s="675">
        <f t="shared" si="7"/>
        <v>0</v>
      </c>
      <c r="Q56" s="676">
        <f t="shared" si="7"/>
        <v>0</v>
      </c>
      <c r="R56" s="677">
        <f ca="1">SUM(R54:R55)</f>
        <v>7214.2238509669769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21607.208793907495</v>
      </c>
      <c r="D61" s="683">
        <f t="shared" ref="D61:Q61" ca="1" si="8">D46+D52+D56</f>
        <v>444.56974789915967</v>
      </c>
      <c r="E61" s="683">
        <f t="shared" ca="1" si="8"/>
        <v>49895.833825367394</v>
      </c>
      <c r="F61" s="683">
        <f t="shared" si="8"/>
        <v>1490.8491491363745</v>
      </c>
      <c r="G61" s="683">
        <f t="shared" ca="1" si="8"/>
        <v>24586.02965987127</v>
      </c>
      <c r="H61" s="683">
        <f t="shared" si="8"/>
        <v>43311.630140010966</v>
      </c>
      <c r="I61" s="683">
        <f t="shared" si="8"/>
        <v>4853.6912790551251</v>
      </c>
      <c r="J61" s="683">
        <f t="shared" si="8"/>
        <v>0</v>
      </c>
      <c r="K61" s="683">
        <f t="shared" si="8"/>
        <v>442.95285707010544</v>
      </c>
      <c r="L61" s="683">
        <f t="shared" si="8"/>
        <v>0</v>
      </c>
      <c r="M61" s="683">
        <f t="shared" ca="1" si="8"/>
        <v>0</v>
      </c>
      <c r="N61" s="683">
        <f t="shared" si="8"/>
        <v>0</v>
      </c>
      <c r="O61" s="683">
        <f t="shared" ca="1" si="8"/>
        <v>0</v>
      </c>
      <c r="P61" s="683">
        <f t="shared" si="8"/>
        <v>0</v>
      </c>
      <c r="Q61" s="683">
        <f t="shared" si="8"/>
        <v>0</v>
      </c>
      <c r="R61" s="683">
        <f ca="1">R46+R52+R56</f>
        <v>146632.76545231792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0.20068193649377852</v>
      </c>
      <c r="D63" s="726">
        <f t="shared" ca="1" si="9"/>
        <v>0.22998102466793169</v>
      </c>
      <c r="E63" s="946">
        <f t="shared" ca="1" si="9"/>
        <v>0.20199999999999999</v>
      </c>
      <c r="F63" s="726">
        <f t="shared" si="9"/>
        <v>0.22699999999999995</v>
      </c>
      <c r="G63" s="726">
        <f t="shared" ca="1" si="9"/>
        <v>0.26699999999999996</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9953.7410512453407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43.65</v>
      </c>
      <c r="C76" s="693">
        <f>'lokale energieproductie'!B8*IFERROR(SUM(D76:H76)/SUM(D76:O76),0)</f>
        <v>1309.5000000000002</v>
      </c>
      <c r="D76" s="956">
        <f>'lokale energieproductie'!C8</f>
        <v>1540.5882352941176</v>
      </c>
      <c r="E76" s="957">
        <f>'lokale energieproductie'!D8</f>
        <v>0</v>
      </c>
      <c r="F76" s="957">
        <f>'lokale energieproductie'!E8</f>
        <v>0</v>
      </c>
      <c r="G76" s="957">
        <f>'lokale energieproductie'!F8</f>
        <v>0</v>
      </c>
      <c r="H76" s="957">
        <f>'lokale energieproductie'!G8</f>
        <v>0</v>
      </c>
      <c r="I76" s="957">
        <f>'lokale energieproductie'!I8</f>
        <v>0</v>
      </c>
      <c r="J76" s="957">
        <f>'lokale energieproductie'!J8</f>
        <v>51.35294117647058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311.19882352941175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9997.3910512453403</v>
      </c>
      <c r="C78" s="698">
        <f>SUM(C72:C77)</f>
        <v>1309.5000000000002</v>
      </c>
      <c r="D78" s="699">
        <f t="shared" ref="D78:H78" si="10">SUM(D76:D77)</f>
        <v>1540.5882352941176</v>
      </c>
      <c r="E78" s="699">
        <f t="shared" si="10"/>
        <v>0</v>
      </c>
      <c r="F78" s="699">
        <f t="shared" si="10"/>
        <v>0</v>
      </c>
      <c r="G78" s="699">
        <f t="shared" si="10"/>
        <v>0</v>
      </c>
      <c r="H78" s="699">
        <f t="shared" si="10"/>
        <v>0</v>
      </c>
      <c r="I78" s="699">
        <f>SUM(I76:I77)</f>
        <v>0</v>
      </c>
      <c r="J78" s="699">
        <f>SUM(J76:J77)</f>
        <v>51.35294117647058</v>
      </c>
      <c r="K78" s="699">
        <f t="shared" ref="K78:L78" si="11">SUM(K76:K77)</f>
        <v>0</v>
      </c>
      <c r="L78" s="699">
        <f t="shared" si="11"/>
        <v>0</v>
      </c>
      <c r="M78" s="699">
        <f>SUM(M76:M77)</f>
        <v>0</v>
      </c>
      <c r="N78" s="699">
        <f>SUM(N76:N77)</f>
        <v>0</v>
      </c>
      <c r="O78" s="805">
        <f>SUM(O76:O77)</f>
        <v>0</v>
      </c>
      <c r="P78" s="700">
        <v>0</v>
      </c>
      <c r="Q78" s="700">
        <f>SUM(Q76:Q77)</f>
        <v>311.19882352941175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62.357142857142847</v>
      </c>
      <c r="C87" s="709">
        <f>'lokale energieproductie'!B17*IFERROR(SUM(D87:H87)/SUM(D87:O87),0)</f>
        <v>1870.7142857142858</v>
      </c>
      <c r="D87" s="720">
        <f>'lokale energieproductie'!C17</f>
        <v>2200.8403361344535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73.3613445378151</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444.56974789915967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62.357142857142847</v>
      </c>
      <c r="C90" s="698">
        <f>SUM(C87:C89)</f>
        <v>1870.7142857142858</v>
      </c>
      <c r="D90" s="698">
        <f t="shared" ref="D90:H90" si="12">SUM(D87:D89)</f>
        <v>2200.8403361344535</v>
      </c>
      <c r="E90" s="698">
        <f t="shared" si="12"/>
        <v>0</v>
      </c>
      <c r="F90" s="698">
        <f t="shared" si="12"/>
        <v>0</v>
      </c>
      <c r="G90" s="698">
        <f t="shared" si="12"/>
        <v>0</v>
      </c>
      <c r="H90" s="698">
        <f t="shared" si="12"/>
        <v>0</v>
      </c>
      <c r="I90" s="698">
        <f>SUM(I87:I89)</f>
        <v>0</v>
      </c>
      <c r="J90" s="698">
        <f>SUM(J87:J89)</f>
        <v>73.3613445378151</v>
      </c>
      <c r="K90" s="698">
        <f t="shared" ref="K90:L90" si="13">SUM(K87:K89)</f>
        <v>0</v>
      </c>
      <c r="L90" s="698">
        <f t="shared" si="13"/>
        <v>0</v>
      </c>
      <c r="M90" s="698">
        <f>SUM(M87:M89)</f>
        <v>0</v>
      </c>
      <c r="N90" s="698">
        <f>SUM(N87:N89)</f>
        <v>0</v>
      </c>
      <c r="O90" s="698">
        <f>SUM(O87:O89)</f>
        <v>0</v>
      </c>
      <c r="P90" s="698">
        <v>0</v>
      </c>
      <c r="Q90" s="698">
        <f>SUM(Q87:Q89)</f>
        <v>444.56974789915967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19890.723584686686</v>
      </c>
      <c r="C4" s="448">
        <f>huishoudens!C8</f>
        <v>0</v>
      </c>
      <c r="D4" s="448">
        <f>huishoudens!D8</f>
        <v>51281.533518949676</v>
      </c>
      <c r="E4" s="448">
        <f>huishoudens!E8</f>
        <v>890.03628046393362</v>
      </c>
      <c r="F4" s="448">
        <f>huishoudens!F8</f>
        <v>27275.58258533636</v>
      </c>
      <c r="G4" s="448">
        <f>huishoudens!G8</f>
        <v>0</v>
      </c>
      <c r="H4" s="448">
        <f>huishoudens!H8</f>
        <v>0</v>
      </c>
      <c r="I4" s="448">
        <f>huishoudens!I8</f>
        <v>0</v>
      </c>
      <c r="J4" s="448">
        <f>huishoudens!J8</f>
        <v>516.5452237248337</v>
      </c>
      <c r="K4" s="448">
        <f>huishoudens!K8</f>
        <v>0</v>
      </c>
      <c r="L4" s="448">
        <f>huishoudens!L8</f>
        <v>0</v>
      </c>
      <c r="M4" s="448">
        <f>huishoudens!M8</f>
        <v>0</v>
      </c>
      <c r="N4" s="448">
        <f>huishoudens!N8</f>
        <v>7365.4449073520273</v>
      </c>
      <c r="O4" s="448">
        <f>huishoudens!O8</f>
        <v>237.62666666666667</v>
      </c>
      <c r="P4" s="449">
        <f>huishoudens!P8</f>
        <v>305.06666666666666</v>
      </c>
      <c r="Q4" s="450">
        <f>SUM(B4:P4)</f>
        <v>107762.55943384685</v>
      </c>
    </row>
    <row r="5" spans="1:17">
      <c r="A5" s="447" t="s">
        <v>149</v>
      </c>
      <c r="B5" s="448">
        <f ca="1">tertiair!B16</f>
        <v>27088.132498345356</v>
      </c>
      <c r="C5" s="448">
        <f ca="1">tertiair!C16</f>
        <v>1870.7142857142858</v>
      </c>
      <c r="D5" s="448">
        <f ca="1">tertiair!D16</f>
        <v>31600.875267766583</v>
      </c>
      <c r="E5" s="448">
        <f>tertiair!E16</f>
        <v>156.7042254767905</v>
      </c>
      <c r="F5" s="448">
        <f ca="1">tertiair!F16</f>
        <v>3298.4702571088051</v>
      </c>
      <c r="G5" s="448">
        <f>tertiair!G16</f>
        <v>0</v>
      </c>
      <c r="H5" s="448">
        <f>tertiair!H16</f>
        <v>0</v>
      </c>
      <c r="I5" s="448">
        <f>tertiair!I16</f>
        <v>0</v>
      </c>
      <c r="J5" s="448">
        <f>tertiair!J16</f>
        <v>59.537964524303206</v>
      </c>
      <c r="K5" s="448">
        <f>tertiair!K16</f>
        <v>0</v>
      </c>
      <c r="L5" s="448">
        <f ca="1">tertiair!L16</f>
        <v>0</v>
      </c>
      <c r="M5" s="448">
        <f>tertiair!M16</f>
        <v>0</v>
      </c>
      <c r="N5" s="448">
        <f ca="1">tertiair!N16</f>
        <v>1227.0934336001935</v>
      </c>
      <c r="O5" s="448">
        <f>tertiair!O16</f>
        <v>7.8166666666666664</v>
      </c>
      <c r="P5" s="449">
        <f>tertiair!P16</f>
        <v>19.066666666666666</v>
      </c>
      <c r="Q5" s="447">
        <f t="shared" ref="Q5:Q14" ca="1" si="0">SUM(B5:P5)</f>
        <v>65328.411265869647</v>
      </c>
    </row>
    <row r="6" spans="1:17">
      <c r="A6" s="447" t="s">
        <v>187</v>
      </c>
      <c r="B6" s="448">
        <f>'openbare verlichting'!B8</f>
        <v>936.04600000000005</v>
      </c>
      <c r="C6" s="448"/>
      <c r="D6" s="448"/>
      <c r="E6" s="448"/>
      <c r="F6" s="448"/>
      <c r="G6" s="448"/>
      <c r="H6" s="448"/>
      <c r="I6" s="448"/>
      <c r="J6" s="448"/>
      <c r="K6" s="448"/>
      <c r="L6" s="448"/>
      <c r="M6" s="448"/>
      <c r="N6" s="448"/>
      <c r="O6" s="448"/>
      <c r="P6" s="449"/>
      <c r="Q6" s="447">
        <f t="shared" si="0"/>
        <v>936.04600000000005</v>
      </c>
    </row>
    <row r="7" spans="1:17">
      <c r="A7" s="447" t="s">
        <v>105</v>
      </c>
      <c r="B7" s="448">
        <f>landbouw!B8</f>
        <v>5345.492663298247</v>
      </c>
      <c r="C7" s="448">
        <f>landbouw!C8</f>
        <v>62.357142857142847</v>
      </c>
      <c r="D7" s="448">
        <f>landbouw!D8</f>
        <v>259.53875298498883</v>
      </c>
      <c r="E7" s="448">
        <f>landbouw!E8</f>
        <v>110.99760579686476</v>
      </c>
      <c r="F7" s="448">
        <f>landbouw!F8</f>
        <v>18891.107473455486</v>
      </c>
      <c r="G7" s="448">
        <f>landbouw!G8</f>
        <v>0</v>
      </c>
      <c r="H7" s="448">
        <f>landbouw!H8</f>
        <v>0</v>
      </c>
      <c r="I7" s="448">
        <f>landbouw!I8</f>
        <v>0</v>
      </c>
      <c r="J7" s="448">
        <f>landbouw!J8</f>
        <v>613.09419914620321</v>
      </c>
      <c r="K7" s="448">
        <f>landbouw!K8</f>
        <v>0</v>
      </c>
      <c r="L7" s="448">
        <f>landbouw!L8</f>
        <v>0</v>
      </c>
      <c r="M7" s="448">
        <f>landbouw!M8</f>
        <v>0</v>
      </c>
      <c r="N7" s="448">
        <f>landbouw!N8</f>
        <v>0</v>
      </c>
      <c r="O7" s="448">
        <f>landbouw!O8</f>
        <v>0</v>
      </c>
      <c r="P7" s="449">
        <f>landbouw!P8</f>
        <v>0</v>
      </c>
      <c r="Q7" s="447">
        <f t="shared" si="0"/>
        <v>25282.587837538933</v>
      </c>
    </row>
    <row r="8" spans="1:17">
      <c r="A8" s="447" t="s">
        <v>614</v>
      </c>
      <c r="B8" s="448">
        <f>industrie!B18</f>
        <v>53494.229241792527</v>
      </c>
      <c r="C8" s="448">
        <f>industrie!C18</f>
        <v>0</v>
      </c>
      <c r="D8" s="448">
        <f>industrie!D18</f>
        <v>160843.67128031419</v>
      </c>
      <c r="E8" s="448">
        <f>industrie!E18</f>
        <v>5004.7590691439018</v>
      </c>
      <c r="F8" s="448">
        <f>industrie!F18</f>
        <v>42617.347773504858</v>
      </c>
      <c r="G8" s="448">
        <f>industrie!G18</f>
        <v>0</v>
      </c>
      <c r="H8" s="448">
        <f>industrie!H18</f>
        <v>0</v>
      </c>
      <c r="I8" s="448">
        <f>industrie!I18</f>
        <v>0</v>
      </c>
      <c r="J8" s="448">
        <f>industrie!J18</f>
        <v>62.10186986484478</v>
      </c>
      <c r="K8" s="448">
        <f>industrie!K18</f>
        <v>0</v>
      </c>
      <c r="L8" s="448">
        <f>industrie!L18</f>
        <v>0</v>
      </c>
      <c r="M8" s="448">
        <f>industrie!M18</f>
        <v>0</v>
      </c>
      <c r="N8" s="448">
        <f>industrie!N18</f>
        <v>8045.5724896151632</v>
      </c>
      <c r="O8" s="448">
        <f>industrie!O18</f>
        <v>0</v>
      </c>
      <c r="P8" s="449">
        <f>industrie!P18</f>
        <v>0</v>
      </c>
      <c r="Q8" s="447">
        <f t="shared" si="0"/>
        <v>270067.68172423547</v>
      </c>
    </row>
    <row r="9" spans="1:17" s="453" customFormat="1">
      <c r="A9" s="451" t="s">
        <v>555</v>
      </c>
      <c r="B9" s="452">
        <f>transport!B14</f>
        <v>11.849390947398255</v>
      </c>
      <c r="C9" s="452">
        <f>transport!C14</f>
        <v>0</v>
      </c>
      <c r="D9" s="452">
        <f>transport!D14</f>
        <v>10.449344219978592</v>
      </c>
      <c r="E9" s="452">
        <f>transport!E14</f>
        <v>405.12021619504952</v>
      </c>
      <c r="F9" s="452">
        <f>transport!F14</f>
        <v>0</v>
      </c>
      <c r="G9" s="452">
        <f>transport!G14</f>
        <v>161071.854031619</v>
      </c>
      <c r="H9" s="452">
        <f>transport!H14</f>
        <v>19492.73606046235</v>
      </c>
      <c r="I9" s="452">
        <f>transport!I14</f>
        <v>0</v>
      </c>
      <c r="J9" s="452">
        <f>transport!J14</f>
        <v>0</v>
      </c>
      <c r="K9" s="452">
        <f>transport!K14</f>
        <v>0</v>
      </c>
      <c r="L9" s="452">
        <f>transport!L14</f>
        <v>0</v>
      </c>
      <c r="M9" s="452">
        <f>transport!M14</f>
        <v>8161.1024638186727</v>
      </c>
      <c r="N9" s="452">
        <f>transport!N14</f>
        <v>0</v>
      </c>
      <c r="O9" s="452">
        <f>transport!O14</f>
        <v>0</v>
      </c>
      <c r="P9" s="452">
        <f>transport!P14</f>
        <v>0</v>
      </c>
      <c r="Q9" s="451">
        <f>SUM(B9:P9)</f>
        <v>189153.11150726245</v>
      </c>
    </row>
    <row r="10" spans="1:17">
      <c r="A10" s="447" t="s">
        <v>545</v>
      </c>
      <c r="B10" s="448">
        <f>transport!B54</f>
        <v>5.8773308278636627</v>
      </c>
      <c r="C10" s="448">
        <f>transport!C54</f>
        <v>0</v>
      </c>
      <c r="D10" s="448">
        <f>transport!D54</f>
        <v>0</v>
      </c>
      <c r="E10" s="448">
        <f>transport!E54</f>
        <v>0</v>
      </c>
      <c r="F10" s="448">
        <f>transport!F54</f>
        <v>0</v>
      </c>
      <c r="G10" s="448">
        <f>transport!G54</f>
        <v>1143.9891893958445</v>
      </c>
      <c r="H10" s="448">
        <f>transport!H54</f>
        <v>0</v>
      </c>
      <c r="I10" s="448">
        <f>transport!I54</f>
        <v>0</v>
      </c>
      <c r="J10" s="448">
        <f>transport!J54</f>
        <v>0</v>
      </c>
      <c r="K10" s="448">
        <f>transport!K54</f>
        <v>0</v>
      </c>
      <c r="L10" s="448">
        <f>transport!L54</f>
        <v>0</v>
      </c>
      <c r="M10" s="448">
        <f>transport!M54</f>
        <v>51.297436506954327</v>
      </c>
      <c r="N10" s="448">
        <f>transport!N54</f>
        <v>0</v>
      </c>
      <c r="O10" s="448">
        <f>transport!O54</f>
        <v>0</v>
      </c>
      <c r="P10" s="449">
        <f>transport!P54</f>
        <v>0</v>
      </c>
      <c r="Q10" s="447">
        <f t="shared" si="0"/>
        <v>1201.1639567306624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896.57640640646605</v>
      </c>
      <c r="C14" s="455"/>
      <c r="D14" s="455">
        <f>'SEAP template'!E25</f>
        <v>3013.0101791675197</v>
      </c>
      <c r="E14" s="455"/>
      <c r="F14" s="455"/>
      <c r="G14" s="455"/>
      <c r="H14" s="455"/>
      <c r="I14" s="455"/>
      <c r="J14" s="455"/>
      <c r="K14" s="455"/>
      <c r="L14" s="455"/>
      <c r="M14" s="455"/>
      <c r="N14" s="455"/>
      <c r="O14" s="455"/>
      <c r="P14" s="456"/>
      <c r="Q14" s="447">
        <f t="shared" si="0"/>
        <v>3909.5865855739858</v>
      </c>
    </row>
    <row r="15" spans="1:17" s="460" customFormat="1">
      <c r="A15" s="457" t="s">
        <v>549</v>
      </c>
      <c r="B15" s="458">
        <f ca="1">SUM(B4:B14)</f>
        <v>107668.92711630456</v>
      </c>
      <c r="C15" s="458">
        <f t="shared" ref="C15:Q15" ca="1" si="1">SUM(C4:C14)</f>
        <v>1933.0714285714287</v>
      </c>
      <c r="D15" s="458">
        <f t="shared" ca="1" si="1"/>
        <v>247009.07834340294</v>
      </c>
      <c r="E15" s="458">
        <f t="shared" si="1"/>
        <v>6567.6173970765403</v>
      </c>
      <c r="F15" s="458">
        <f t="shared" ca="1" si="1"/>
        <v>92082.508089405514</v>
      </c>
      <c r="G15" s="458">
        <f t="shared" si="1"/>
        <v>162215.84322101486</v>
      </c>
      <c r="H15" s="458">
        <f t="shared" si="1"/>
        <v>19492.73606046235</v>
      </c>
      <c r="I15" s="458">
        <f t="shared" si="1"/>
        <v>0</v>
      </c>
      <c r="J15" s="458">
        <f t="shared" si="1"/>
        <v>1251.279257260185</v>
      </c>
      <c r="K15" s="458">
        <f t="shared" si="1"/>
        <v>0</v>
      </c>
      <c r="L15" s="458">
        <f t="shared" ca="1" si="1"/>
        <v>0</v>
      </c>
      <c r="M15" s="458">
        <f t="shared" si="1"/>
        <v>8212.3999003256267</v>
      </c>
      <c r="N15" s="458">
        <f t="shared" ca="1" si="1"/>
        <v>16638.110830567384</v>
      </c>
      <c r="O15" s="458">
        <f t="shared" si="1"/>
        <v>245.44333333333333</v>
      </c>
      <c r="P15" s="458">
        <f t="shared" si="1"/>
        <v>324.13333333333333</v>
      </c>
      <c r="Q15" s="458">
        <f t="shared" ca="1" si="1"/>
        <v>663641.14831105794</v>
      </c>
    </row>
    <row r="17" spans="1:17">
      <c r="A17" s="461" t="s">
        <v>550</v>
      </c>
      <c r="B17" s="731">
        <f ca="1">huishoudens!B10</f>
        <v>0.2006819364937785</v>
      </c>
      <c r="C17" s="731">
        <f ca="1">huishoudens!C10</f>
        <v>0.22998102466793169</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3991.7089272373955</v>
      </c>
      <c r="C22" s="448">
        <f t="shared" ref="C22:C32" ca="1" si="3">C4*$C$17</f>
        <v>0</v>
      </c>
      <c r="D22" s="448">
        <f t="shared" ref="D22:D32" si="4">D4*$D$17</f>
        <v>10358.869770827836</v>
      </c>
      <c r="E22" s="448">
        <f t="shared" ref="E22:E32" si="5">E4*$E$17</f>
        <v>202.03823566531292</v>
      </c>
      <c r="F22" s="448">
        <f t="shared" ref="F22:F32" si="6">F4*$F$17</f>
        <v>7282.5805502848089</v>
      </c>
      <c r="G22" s="448">
        <f t="shared" ref="G22:G32" si="7">G4*$G$17</f>
        <v>0</v>
      </c>
      <c r="H22" s="448">
        <f t="shared" ref="H22:H32" si="8">H4*$H$17</f>
        <v>0</v>
      </c>
      <c r="I22" s="448">
        <f t="shared" ref="I22:I32" si="9">I4*$I$17</f>
        <v>0</v>
      </c>
      <c r="J22" s="448">
        <f t="shared" ref="J22:J32" si="10">J4*$J$17</f>
        <v>182.85700919859113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22018.054493213946</v>
      </c>
    </row>
    <row r="23" spans="1:17">
      <c r="A23" s="447" t="s">
        <v>149</v>
      </c>
      <c r="B23" s="448">
        <f t="shared" ca="1" si="2"/>
        <v>5436.0988857680004</v>
      </c>
      <c r="C23" s="448">
        <f t="shared" ca="1" si="3"/>
        <v>430.22878828950934</v>
      </c>
      <c r="D23" s="448">
        <f t="shared" ca="1" si="4"/>
        <v>6383.3768040888499</v>
      </c>
      <c r="E23" s="448">
        <f t="shared" si="5"/>
        <v>35.571859183231446</v>
      </c>
      <c r="F23" s="448">
        <f t="shared" ca="1" si="6"/>
        <v>880.691558648051</v>
      </c>
      <c r="G23" s="448">
        <f t="shared" si="7"/>
        <v>0</v>
      </c>
      <c r="H23" s="448">
        <f t="shared" si="8"/>
        <v>0</v>
      </c>
      <c r="I23" s="448">
        <f t="shared" si="9"/>
        <v>0</v>
      </c>
      <c r="J23" s="448">
        <f t="shared" si="10"/>
        <v>21.076439441603334</v>
      </c>
      <c r="K23" s="448">
        <f t="shared" si="11"/>
        <v>0</v>
      </c>
      <c r="L23" s="448">
        <f t="shared" ca="1" si="12"/>
        <v>0</v>
      </c>
      <c r="M23" s="448">
        <f t="shared" si="13"/>
        <v>0</v>
      </c>
      <c r="N23" s="448">
        <f t="shared" ca="1" si="14"/>
        <v>0</v>
      </c>
      <c r="O23" s="448">
        <f t="shared" si="15"/>
        <v>0</v>
      </c>
      <c r="P23" s="449">
        <f t="shared" si="16"/>
        <v>0</v>
      </c>
      <c r="Q23" s="447">
        <f t="shared" ref="Q23:Q32" ca="1" si="17">SUM(B23:P23)</f>
        <v>13187.044335419247</v>
      </c>
    </row>
    <row r="24" spans="1:17">
      <c r="A24" s="447" t="s">
        <v>187</v>
      </c>
      <c r="B24" s="448">
        <f t="shared" ca="1" si="2"/>
        <v>187.84752392725539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187.84752392725539</v>
      </c>
    </row>
    <row r="25" spans="1:17">
      <c r="A25" s="447" t="s">
        <v>105</v>
      </c>
      <c r="B25" s="448">
        <f t="shared" ca="1" si="2"/>
        <v>1072.7438191839776</v>
      </c>
      <c r="C25" s="448">
        <f t="shared" ca="1" si="3"/>
        <v>14.340959609650309</v>
      </c>
      <c r="D25" s="448">
        <f t="shared" si="4"/>
        <v>52.426828102967747</v>
      </c>
      <c r="E25" s="448">
        <f t="shared" si="5"/>
        <v>25.1964565158883</v>
      </c>
      <c r="F25" s="448">
        <f t="shared" si="6"/>
        <v>5043.9256954126149</v>
      </c>
      <c r="G25" s="448">
        <f t="shared" si="7"/>
        <v>0</v>
      </c>
      <c r="H25" s="448">
        <f t="shared" si="8"/>
        <v>0</v>
      </c>
      <c r="I25" s="448">
        <f t="shared" si="9"/>
        <v>0</v>
      </c>
      <c r="J25" s="448">
        <f t="shared" si="10"/>
        <v>217.03534649775594</v>
      </c>
      <c r="K25" s="448">
        <f t="shared" si="11"/>
        <v>0</v>
      </c>
      <c r="L25" s="448">
        <f t="shared" si="12"/>
        <v>0</v>
      </c>
      <c r="M25" s="448">
        <f t="shared" si="13"/>
        <v>0</v>
      </c>
      <c r="N25" s="448">
        <f t="shared" si="14"/>
        <v>0</v>
      </c>
      <c r="O25" s="448">
        <f t="shared" si="15"/>
        <v>0</v>
      </c>
      <c r="P25" s="449">
        <f t="shared" si="16"/>
        <v>0</v>
      </c>
      <c r="Q25" s="447">
        <f t="shared" ca="1" si="17"/>
        <v>6425.6691053228551</v>
      </c>
    </row>
    <row r="26" spans="1:17">
      <c r="A26" s="447" t="s">
        <v>614</v>
      </c>
      <c r="B26" s="448">
        <f t="shared" ca="1" si="2"/>
        <v>10735.325515485036</v>
      </c>
      <c r="C26" s="448">
        <f t="shared" ca="1" si="3"/>
        <v>0</v>
      </c>
      <c r="D26" s="448">
        <f t="shared" si="4"/>
        <v>32490.421598623467</v>
      </c>
      <c r="E26" s="448">
        <f t="shared" si="5"/>
        <v>1136.0803086956657</v>
      </c>
      <c r="F26" s="448">
        <f t="shared" si="6"/>
        <v>11378.831855525797</v>
      </c>
      <c r="G26" s="448">
        <f t="shared" si="7"/>
        <v>0</v>
      </c>
      <c r="H26" s="448">
        <f t="shared" si="8"/>
        <v>0</v>
      </c>
      <c r="I26" s="448">
        <f t="shared" si="9"/>
        <v>0</v>
      </c>
      <c r="J26" s="448">
        <f t="shared" si="10"/>
        <v>21.984061932155051</v>
      </c>
      <c r="K26" s="448">
        <f t="shared" si="11"/>
        <v>0</v>
      </c>
      <c r="L26" s="448">
        <f t="shared" si="12"/>
        <v>0</v>
      </c>
      <c r="M26" s="448">
        <f t="shared" si="13"/>
        <v>0</v>
      </c>
      <c r="N26" s="448">
        <f t="shared" si="14"/>
        <v>0</v>
      </c>
      <c r="O26" s="448">
        <f t="shared" si="15"/>
        <v>0</v>
      </c>
      <c r="P26" s="449">
        <f t="shared" si="16"/>
        <v>0</v>
      </c>
      <c r="Q26" s="447">
        <f t="shared" ca="1" si="17"/>
        <v>55762.643340262126</v>
      </c>
    </row>
    <row r="27" spans="1:17" s="453" customFormat="1">
      <c r="A27" s="451" t="s">
        <v>555</v>
      </c>
      <c r="B27" s="725">
        <f t="shared" ca="1" si="2"/>
        <v>2.3779587215957303</v>
      </c>
      <c r="C27" s="452">
        <f t="shared" ca="1" si="3"/>
        <v>0</v>
      </c>
      <c r="D27" s="452">
        <f t="shared" si="4"/>
        <v>2.1107675324356756</v>
      </c>
      <c r="E27" s="452">
        <f t="shared" si="5"/>
        <v>91.962289076276249</v>
      </c>
      <c r="F27" s="452">
        <f t="shared" si="6"/>
        <v>0</v>
      </c>
      <c r="G27" s="452">
        <f t="shared" si="7"/>
        <v>43006.185026442276</v>
      </c>
      <c r="H27" s="452">
        <f t="shared" si="8"/>
        <v>4853.6912790551251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47956.32732082771</v>
      </c>
    </row>
    <row r="28" spans="1:17">
      <c r="A28" s="447" t="s">
        <v>545</v>
      </c>
      <c r="B28" s="448">
        <f t="shared" ca="1" si="2"/>
        <v>1.1794741319502622</v>
      </c>
      <c r="C28" s="448">
        <f t="shared" ca="1" si="3"/>
        <v>0</v>
      </c>
      <c r="D28" s="448">
        <f t="shared" si="4"/>
        <v>0</v>
      </c>
      <c r="E28" s="448">
        <f t="shared" si="5"/>
        <v>0</v>
      </c>
      <c r="F28" s="448">
        <f t="shared" si="6"/>
        <v>0</v>
      </c>
      <c r="G28" s="448">
        <f t="shared" si="7"/>
        <v>305.44511356869049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306.62458770064075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179.92668945228255</v>
      </c>
      <c r="C32" s="448">
        <f t="shared" ca="1" si="3"/>
        <v>0</v>
      </c>
      <c r="D32" s="448">
        <f t="shared" si="4"/>
        <v>608.62805619183905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788.55474564412157</v>
      </c>
    </row>
    <row r="33" spans="1:17" s="460" customFormat="1">
      <c r="A33" s="457" t="s">
        <v>549</v>
      </c>
      <c r="B33" s="458">
        <f ca="1">SUM(B22:B32)</f>
        <v>21607.208793907495</v>
      </c>
      <c r="C33" s="458">
        <f t="shared" ref="C33:Q33" ca="1" si="18">SUM(C22:C32)</f>
        <v>444.56974789915967</v>
      </c>
      <c r="D33" s="458">
        <f t="shared" ca="1" si="18"/>
        <v>49895.833825367401</v>
      </c>
      <c r="E33" s="458">
        <f t="shared" si="18"/>
        <v>1490.8491491363745</v>
      </c>
      <c r="F33" s="458">
        <f t="shared" ca="1" si="18"/>
        <v>24586.029659871274</v>
      </c>
      <c r="G33" s="458">
        <f t="shared" si="18"/>
        <v>43311.630140010966</v>
      </c>
      <c r="H33" s="458">
        <f t="shared" si="18"/>
        <v>4853.6912790551251</v>
      </c>
      <c r="I33" s="458">
        <f t="shared" si="18"/>
        <v>0</v>
      </c>
      <c r="J33" s="458">
        <f t="shared" si="18"/>
        <v>442.95285707010544</v>
      </c>
      <c r="K33" s="458">
        <f t="shared" si="18"/>
        <v>0</v>
      </c>
      <c r="L33" s="458">
        <f t="shared" ca="1" si="18"/>
        <v>0</v>
      </c>
      <c r="M33" s="458">
        <f t="shared" si="18"/>
        <v>0</v>
      </c>
      <c r="N33" s="458">
        <f t="shared" ca="1" si="18"/>
        <v>0</v>
      </c>
      <c r="O33" s="458">
        <f t="shared" si="18"/>
        <v>0</v>
      </c>
      <c r="P33" s="458">
        <f t="shared" si="18"/>
        <v>0</v>
      </c>
      <c r="Q33" s="458">
        <f t="shared" ca="1" si="18"/>
        <v>146632.76545231792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9953.7410512453407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43.65</v>
      </c>
      <c r="C8" s="982">
        <f>'SEAP template'!C76</f>
        <v>1309.5000000000002</v>
      </c>
      <c r="D8" s="982">
        <f>'SEAP template'!D76</f>
        <v>1540.5882352941176</v>
      </c>
      <c r="E8" s="982">
        <f>'SEAP template'!E76</f>
        <v>0</v>
      </c>
      <c r="F8" s="982">
        <f>'SEAP template'!F76</f>
        <v>0</v>
      </c>
      <c r="G8" s="982">
        <f>'SEAP template'!G76</f>
        <v>0</v>
      </c>
      <c r="H8" s="982">
        <f>'SEAP template'!H76</f>
        <v>0</v>
      </c>
      <c r="I8" s="982">
        <f>'SEAP template'!I76</f>
        <v>0</v>
      </c>
      <c r="J8" s="982">
        <f>'SEAP template'!J76</f>
        <v>51.35294117647058</v>
      </c>
      <c r="K8" s="982">
        <f>'SEAP template'!K76</f>
        <v>0</v>
      </c>
      <c r="L8" s="982">
        <f>'SEAP template'!L76</f>
        <v>0</v>
      </c>
      <c r="M8" s="982">
        <f>'SEAP template'!M76</f>
        <v>0</v>
      </c>
      <c r="N8" s="982">
        <f>'SEAP template'!N76</f>
        <v>0</v>
      </c>
      <c r="O8" s="982">
        <f>'SEAP template'!O76</f>
        <v>0</v>
      </c>
      <c r="P8" s="983">
        <f>'SEAP template'!Q76</f>
        <v>311.19882352941175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9997.3910512453403</v>
      </c>
      <c r="C10" s="986">
        <f>SUM(C4:C9)</f>
        <v>1309.5000000000002</v>
      </c>
      <c r="D10" s="986">
        <f t="shared" ref="D10:H10" si="0">SUM(D8:D9)</f>
        <v>1540.5882352941176</v>
      </c>
      <c r="E10" s="986">
        <f t="shared" si="0"/>
        <v>0</v>
      </c>
      <c r="F10" s="986">
        <f t="shared" si="0"/>
        <v>0</v>
      </c>
      <c r="G10" s="986">
        <f t="shared" si="0"/>
        <v>0</v>
      </c>
      <c r="H10" s="986">
        <f t="shared" si="0"/>
        <v>0</v>
      </c>
      <c r="I10" s="986">
        <f>SUM(I8:I9)</f>
        <v>0</v>
      </c>
      <c r="J10" s="986">
        <f>SUM(J8:J9)</f>
        <v>51.35294117647058</v>
      </c>
      <c r="K10" s="986">
        <f t="shared" ref="K10:L10" si="1">SUM(K8:K9)</f>
        <v>0</v>
      </c>
      <c r="L10" s="986">
        <f t="shared" si="1"/>
        <v>0</v>
      </c>
      <c r="M10" s="986">
        <f>SUM(M8:M9)</f>
        <v>0</v>
      </c>
      <c r="N10" s="986">
        <f>SUM(N8:N9)</f>
        <v>0</v>
      </c>
      <c r="O10" s="986">
        <f>SUM(O8:O9)</f>
        <v>0</v>
      </c>
      <c r="P10" s="986">
        <f>SUM(P8:P9)</f>
        <v>311.19882352941175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0.2006819364937785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62.357142857142847</v>
      </c>
      <c r="C17" s="988">
        <f>'SEAP template'!C87</f>
        <v>1870.7142857142858</v>
      </c>
      <c r="D17" s="983">
        <f>'SEAP template'!D87</f>
        <v>2200.8403361344535</v>
      </c>
      <c r="E17" s="983">
        <f>'SEAP template'!E87</f>
        <v>0</v>
      </c>
      <c r="F17" s="983">
        <f>'SEAP template'!F87</f>
        <v>0</v>
      </c>
      <c r="G17" s="983">
        <f>'SEAP template'!G87</f>
        <v>0</v>
      </c>
      <c r="H17" s="983">
        <f>'SEAP template'!H87</f>
        <v>0</v>
      </c>
      <c r="I17" s="983">
        <f>'SEAP template'!I87</f>
        <v>0</v>
      </c>
      <c r="J17" s="983">
        <f>'SEAP template'!J87</f>
        <v>73.3613445378151</v>
      </c>
      <c r="K17" s="983">
        <f>'SEAP template'!K87</f>
        <v>0</v>
      </c>
      <c r="L17" s="983">
        <f>'SEAP template'!L87</f>
        <v>0</v>
      </c>
      <c r="M17" s="983">
        <f>'SEAP template'!M87</f>
        <v>0</v>
      </c>
      <c r="N17" s="983">
        <f>'SEAP template'!N87</f>
        <v>0</v>
      </c>
      <c r="O17" s="983">
        <f>'SEAP template'!O87</f>
        <v>0</v>
      </c>
      <c r="P17" s="983">
        <f>'SEAP template'!Q87</f>
        <v>444.56974789915967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62.357142857142847</v>
      </c>
      <c r="C20" s="986">
        <f>SUM(C17:C19)</f>
        <v>1870.7142857142858</v>
      </c>
      <c r="D20" s="986">
        <f t="shared" ref="D20:H20" si="2">SUM(D17:D19)</f>
        <v>2200.8403361344535</v>
      </c>
      <c r="E20" s="986">
        <f t="shared" si="2"/>
        <v>0</v>
      </c>
      <c r="F20" s="986">
        <f t="shared" si="2"/>
        <v>0</v>
      </c>
      <c r="G20" s="986">
        <f t="shared" si="2"/>
        <v>0</v>
      </c>
      <c r="H20" s="986">
        <f t="shared" si="2"/>
        <v>0</v>
      </c>
      <c r="I20" s="986">
        <f>SUM(I17:I19)</f>
        <v>0</v>
      </c>
      <c r="J20" s="986">
        <f>SUM(J17:J19)</f>
        <v>73.3613445378151</v>
      </c>
      <c r="K20" s="986">
        <f t="shared" ref="K20:L20" si="3">SUM(K17:K19)</f>
        <v>0</v>
      </c>
      <c r="L20" s="986">
        <f t="shared" si="3"/>
        <v>0</v>
      </c>
      <c r="M20" s="986">
        <f>SUM(M17:M19)</f>
        <v>0</v>
      </c>
      <c r="N20" s="986">
        <f>SUM(N17:N19)</f>
        <v>0</v>
      </c>
      <c r="O20" s="986">
        <f>SUM(O17:O19)</f>
        <v>0</v>
      </c>
      <c r="P20" s="986">
        <f>SUM(P17:P19)</f>
        <v>444.56974789915967</v>
      </c>
    </row>
    <row r="22" spans="1:16">
      <c r="A22" s="461" t="s">
        <v>829</v>
      </c>
      <c r="B22" s="731" t="s">
        <v>823</v>
      </c>
      <c r="C22" s="731">
        <f ca="1">'EF ele_warmte'!B22</f>
        <v>0.22998102466793169</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0.2006819364937785</v>
      </c>
      <c r="C17" s="498">
        <f ca="1">'EF ele_warmte'!B22</f>
        <v>0.22998102466793169</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2022-07-26T12:06:38Z</dcterms:modified>
</cp:coreProperties>
</file>