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79330DF-7CB9-4C5D-A83C-EF1A293E17F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<sst xmlns="http://schemas.openxmlformats.org/spreadsheetml/2006/main" count="2456" uniqueCount="913">
  <si>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</si>
  <si>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</si>
  <si>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</si>
  <si>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</si>
  <si>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</si>
  <si>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</si>
  <si>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</si>
  <si>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</si>
  <si>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</si>
  <si>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</si>
  <si>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</si>
  <si>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</si>
  <si>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</si>
  <si>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</si>
  <si>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</si>
  <si>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</si>
  <si>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</si>
  <si>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</si>
  <si>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</si>
  <si>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</si>
  <si>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</si>
  <si>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</si>
  <si>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</si>
  <si>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</si>
  <si>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</si>
  <si>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</si>
  <si>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</si>
  <si>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</si>
  <si>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</si>
  <si>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</si>
  <si>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</si>
  <si>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</si>
  <si>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</si>
  <si>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</si>
  <si>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</si>
  <si>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</si>
  <si>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</si>
  <si>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</si>
  <si>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</si>
  <si>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</si>
  <si>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</si>
  <si>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</si>
  <si>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</si>
  <si>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</si>
  <si>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</si>
  <si>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</si>
  <si>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</si>
  <si>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</si>
  <si>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</si>
  <si>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</si>
  <si>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</si>
  <si>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</si>
  <si>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</si>
  <si>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</si>
  <si>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</si>
  <si>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</si>
  <si>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</si>
  <si>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</si>
  <si>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</si>
  <si>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</si>
  <si>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</si>
  <si>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</si>
  <si>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</si>
  <si>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</si>
  <si>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</si>
  <si>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</si>
  <si>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</si>
  <si>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</si>
  <si>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</si>
  <si>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</si>
  <si>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</si>
  <si>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</si>
  <si>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</si>
  <si>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</si>
  <si>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</si>
  <si>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</si>
  <si>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</si>
  <si>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</si>
  <si>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</si>
  <si>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</si>
  <si>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</si>
  <si>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</si>
  <si>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</si>
  <si>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</si>
  <si>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</si>
  <si>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</si>
  <si>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</si>
  <si>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</si>
  <si>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</si>
  <si>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</si>
  <si>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</si>
  <si>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</si>
  <si>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</si>
  <si>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</si>
  <si>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</si>
  <si>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</si>
  <si>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</si>
  <si>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</si>
  <si>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</si>
  <si>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</si>
  <si>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</si>
  <si>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</si>
  <si>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</si>
  <si>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</si>
  <si>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</si>
  <si>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</si>
  <si>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</si>
  <si>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</si>
  <si>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</si>
  <si>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</si>
  <si>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</si>
  <si>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</si>
  <si>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</si>
  <si>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</si>
  <si>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</si>
  <si>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</si>
  <si>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</si>
  <si>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</si>
  <si>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</si>
  <si>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</si>
  <si>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</si>
  <si>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</si>
  <si>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</si>
  <si>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</si>
  <si>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</si>
  <si>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</si>
  <si>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</si>
  <si>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</si>
  <si>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</si>
  <si>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</si>
  <si>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</si>
  <si>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</si>
  <si>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</si>
  <si>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</si>
  <si>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</si>
  <si>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</si>
  <si>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</si>
  <si>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</si>
  <si>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</si>
  <si>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</si>
  <si>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</si>
  <si>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</si>
  <si>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</si>
  <si>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</si>
  <si>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</si>
  <si>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</si>
  <si>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</si>
  <si>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</si>
  <si>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</si>
  <si>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</si>
  <si>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</si>
  <si>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</si>
  <si>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</si>
  <si>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</si>
  <si>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</si>
  <si>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</si>
  <si>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</si>
  <si>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</si>
  <si>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</si>
  <si>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</si>
  <si>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</si>
  <si>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</si>
  <si>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</si>
  <si>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</si>
  <si>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</si>
  <si>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</si>
  <si>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</si>
  <si>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</si>
  <si>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</si>
  <si>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</si>
  <si>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</si>
  <si>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</si>
  <si>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</si>
  <si>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</si>
  <si>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</si>
  <si>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</si>
  <si>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</si>
  <si>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</si>
  <si>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</si>
  <si>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</si>
  <si>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</si>
  <si>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</si>
  <si>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</si>
  <si>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</si>
  <si>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</si>
  <si>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</si>
  <si>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</si>
  <si>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</si>
  <si>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</si>
  <si>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</si>
  <si>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</si>
  <si>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</si>
  <si>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</si>
  <si>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</si>
  <si>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</si>
  <si>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</si>
  <si>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</si>
  <si>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</si>
  <si>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</si>
  <si>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</si>
  <si>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</si>
  <si>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</si>
  <si>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</si>
  <si>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</si>
  <si>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</si>
  <si>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</si>
  <si>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</si>
  <si>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</si>
  <si>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</si>
  <si>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</si>
  <si>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</si>
  <si>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</si>
  <si>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</si>
  <si>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</si>
  <si>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</si>
  <si>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</si>
  <si>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</si>
  <si>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</si>
  <si>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</si>
  <si>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</si>
  <si>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</si>
  <si>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</si>
  <si>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</si>
  <si>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</si>
  <si>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</si>
  <si>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</si>
  <si>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</si>
  <si>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</si>
  <si>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</si>
  <si>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</si>
  <si>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</si>
  <si>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</si>
  <si>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</si>
  <si>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</si>
  <si>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</si>
  <si>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</si>
  <si>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</si>
  <si>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</si>
  <si>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</si>
  <si>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</si>
  <si>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</si>
  <si>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</si>
  <si>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</si>
  <si>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</si>
  <si>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</si>
  <si>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</si>
  <si>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</si>
  <si>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</si>
  <si>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</si>
  <si>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</si>
  <si>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</si>
  <si>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</si>
  <si>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</si>
  <si>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</si>
  <si>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</si>
  <si>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</si>
  <si>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</si>
  <si>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</si>
  <si>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</si>
  <si>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</si>
  <si>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</si>
  <si>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</si>
  <si>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</si>
  <si>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</si>
  <si>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</si>
  <si>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</si>
  <si>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</si>
  <si>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</si>
  <si>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</si>
  <si>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</si>
  <si>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</si>
  <si>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</si>
  <si>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</si>
  <si>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</si>
  <si>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</si>
  <si>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</si>
  <si>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</si>
  <si>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</si>
  <si>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</si>
  <si>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</si>
  <si>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</si>
  <si>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</si>
  <si>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</si>
  <si>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</si>
  <si>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</si>
  <si>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</si>
  <si>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</si>
  <si>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</si>
  <si>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</si>
  <si>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</si>
  <si>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</si>
  <si>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</si>
  <si>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</si>
  <si>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</si>
  <si>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</si>
  <si>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</si>
  <si>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</si>
  <si>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</si>
  <si>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</si>
  <si>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</si>
  <si>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</si>
  <si>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</si>
  <si>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</si>
  <si>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</si>
  <si>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</si>
  <si>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</si>
  <si>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</si>
  <si>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</si>
  <si>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</si>
  <si>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</si>
  <si>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</si>
  <si>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</si>
  <si>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</si>
  <si>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</si>
  <si>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</si>
  <si>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</si>
  <si>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</si>
  <si>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</si>
  <si>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</si>
  <si>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</si>
  <si>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</si>
  <si>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</si>
  <si>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</si>
  <si>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</si>
  <si>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</si>
  <si>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</si>
  <si>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</si>
  <si>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</si>
  <si>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</si>
  <si>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</si>
  <si>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</si>
  <si>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</si>
  <si>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</si>
  <si>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</si>
  <si>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</si>
  <si>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</si>
  <si>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</si>
  <si>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</si>
  <si>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</si>
  <si>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</si>
  <si>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</si>
  <si>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</si>
  <si>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</si>
  <si>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</si>
  <si>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</si>
  <si>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</si>
  <si>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</si>
  <si>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</si>
  <si>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</si>
  <si>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</si>
  <si>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</si>
  <si>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</si>
  <si>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</si>
  <si>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</si>
  <si>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</si>
  <si>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</si>
  <si>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</si>
  <si>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</si>
  <si>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</si>
  <si>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</si>
  <si>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</si>
  <si>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</si>
  <si>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</si>
  <si>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</si>
  <si>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</si>
  <si>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</si>
  <si>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</si>
  <si>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</si>
  <si>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</si>
  <si>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</si>
  <si>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</si>
  <si>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</si>
  <si>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</si>
  <si>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</si>
  <si>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</si>
  <si>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</si>
  <si>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</si>
  <si>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</si>
  <si>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</si>
  <si>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</si>
  <si>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</si>
  <si>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</si>
  <si>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</si>
  <si>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</si>
  <si>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</si>
  <si>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</si>
  <si>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</si>
  <si>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</si>
  <si>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</si>
  <si>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</si>
  <si>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</si>
  <si>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</si>
  <si>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</si>
  <si>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</si>
  <si>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</si>
  <si>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</si>
  <si>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</si>
  <si>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</si>
  <si>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</si>
  <si>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</si>
  <si>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</si>
  <si>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</si>
  <si>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</si>
  <si>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</si>
  <si>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</si>
  <si>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</si>
  <si>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</si>
  <si>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</si>
  <si>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</si>
  <si>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</si>
  <si>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</si>
  <si>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</si>
  <si>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</si>
  <si>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</si>
  <si>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</si>
  <si>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</si>
  <si>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</si>
  <si>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</si>
  <si>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</si>
  <si>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</si>
  <si>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</si>
  <si>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</si>
  <si>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</si>
  <si>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</si>
  <si>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</si>
  <si>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</si>
  <si>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</si>
  <si>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</si>
  <si>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</si>
  <si>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</si>
  <si>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</si>
  <si>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</si>
  <si>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</si>
  <si>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</si>
  <si>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</si>
  <si>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</si>
  <si>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</si>
  <si>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</si>
  <si>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</si>
  <si>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</si>
  <si>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</si>
  <si>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</si>
  <si>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</si>
  <si>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</si>
  <si>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</si>
  <si>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</si>
  <si>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</si>
  <si>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</si>
  <si>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</si>
  <si>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</si>
  <si>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</si>
  <si>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</si>
  <si>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</si>
  <si>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</si>
  <si>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</si>
  <si>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</si>
  <si>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</si>
  <si>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</si>
  <si>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</si>
  <si>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</si>
  <si>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</si>
  <si>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</si>
  <si>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</si>
  <si>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</si>
  <si>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</si>
  <si>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</si>
  <si>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</si>
  <si>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</si>
  <si>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</si>
  <si>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</si>
  <si>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</si>
  <si>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</si>
  <si>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</si>
  <si>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</si>
  <si>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</si>
  <si>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</si>
  <si>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</si>
  <si>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</si>
  <si>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</si>
  <si>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</si>
  <si>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</si>
  <si>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</si>
  <si>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</si>
  <si>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</si>
  <si>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</si>
  <si>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</si>
  <si>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</si>
  <si>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</si>
  <si>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</si>
  <si>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</si>
  <si>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</si>
  <si>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</si>
  <si>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</si>
  <si>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</si>
  <si>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</si>
  <si>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</si>
  <si>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</si>
  <si>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</si>
  <si>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</si>
  <si>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</si>
  <si>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</si>
  <si>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</si>
  <si>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</si>
  <si>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</si>
  <si>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</si>
  <si>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</si>
  <si>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</si>
  <si>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</si>
  <si>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</si>
  <si>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</si>
  <si>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</si>
  <si>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</si>
  <si>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</si>
  <si>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</si>
  <si>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</si>
  <si>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</si>
  <si>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</si>
  <si>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</si>
  <si>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</si>
  <si>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</si>
  <si>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</si>
  <si>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</si>
  <si>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</si>
  <si>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</si>
  <si>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</si>
  <si>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</si>
  <si>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</si>
  <si>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</si>
  <si>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</si>
  <si>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</si>
  <si>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</si>
  <si>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</si>
  <si>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</si>
  <si>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</si>
  <si>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</si>
  <si>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</si>
  <si>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</si>
  <si>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</si>
  <si>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</si>
  <si>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</si>
  <si>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</si>
  <si>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</si>
  <si>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</si>
  <si>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</si>
  <si>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</si>
  <si>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</si>
  <si>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</si>
  <si>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</si>
  <si>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</si>
  <si>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</si>
  <si>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</si>
  <si>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</si>
  <si>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</si>
  <si>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</si>
  <si>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</si>
  <si>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</si>
  <si>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</si>
  <si>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</si>
  <si>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</si>
  <si>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</si>
  <si>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</si>
  <si>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</si>
  <si>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</si>
  <si>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</si>
  <si>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</si>
  <si>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</si>
  <si>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</si>
  <si>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</si>
  <si>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</si>
  <si>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</si>
  <si>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</si>
  <si>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</si>
  <si>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</si>
  <si>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</si>
  <si>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</si>
  <si>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</si>
  <si>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</si>
  <si>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</si>
  <si>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</si>
  <si>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</si>
  <si>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</si>
  <si>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</si>
  <si>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</si>
  <si>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</si>
  <si>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</si>
  <si>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</si>
  <si>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</si>
  <si>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</si>
  <si>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</si>
  <si>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</si>
  <si>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</si>
  <si>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</si>
  <si>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</si>
  <si>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</si>
  <si>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</si>
  <si>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</si>
  <si>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</si>
  <si>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</si>
  <si>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</si>
  <si>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</si>
  <si>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</si>
  <si>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</si>
  <si>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</si>
  <si>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</si>
  <si>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</si>
  <si>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</si>
  <si>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</si>
  <si>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</si>
  <si>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</si>
  <si>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</si>
  <si>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</si>
  <si>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</si>
  <si>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</si>
  <si>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</si>
  <si>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</si>
  <si>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</si>
  <si>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</si>
  <si>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</si>
  <si>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</si>
  <si>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</si>
  <si>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</si>
  <si>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</si>
  <si>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</si>
  <si>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</si>
  <si>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</si>
  <si>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</si>
  <si>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</si>
  <si>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</si>
  <si>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</si>
  <si>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</si>
  <si>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</si>
  <si>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</si>
  <si>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</si>
  <si>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</si>
  <si>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</si>
  <si>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</si>
  <si>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</si>
  <si>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</si>
  <si>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</si>
  <si>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</si>
  <si>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</si>
  <si>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</si>
  <si>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</si>
  <si>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</si>
  <si>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</si>
  <si>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</si>
  <si>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</si>
  <si>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</si>
  <si>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</si>
  <si>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</si>
  <si>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</si>
  <si>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</si>
  <si>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</si>
  <si>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</si>
  <si>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</si>
  <si>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</si>
  <si>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</si>
  <si>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</si>
  <si>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</si>
  <si>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</si>
  <si>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</si>
  <si>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</si>
  <si>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</si>
  <si>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</si>
  <si>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</si>
  <si>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</si>
  <si>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</si>
  <si>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</si>
  <si>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</si>
  <si>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</si>
  <si>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</si>
  <si>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</si>
  <si>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</si>
  <si>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</si>
  <si>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</si>
  <si>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</si>
  <si>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</si>
  <si>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</si>
  <si>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</si>
  <si>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</si>
  <si>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</si>
  <si>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</si>
  <si>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</si>
  <si>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</si>
  <si>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</si>
  <si>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</si>
  <si>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</si>
  <si>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</si>
  <si>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</si>
  <si>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</si>
  <si>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</si>
  <si>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</si>
  <si>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</si>
  <si>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</si>
  <si>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</si>
  <si>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</si>
  <si>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</si>
  <si>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</si>
  <si>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</si>
  <si>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</si>
  <si>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</si>
  <si>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</si>
  <si>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</si>
  <si>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</si>
  <si>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</si>
  <si>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</si>
  <si>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</si>
  <si>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</si>
  <si>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</si>
  <si>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</si>
  <si>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</si>
  <si>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</si>
  <si>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</si>
  <si>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</si>
  <si>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</si>
  <si>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</si>
  <si>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</si>
  <si>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</si>
  <si>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</si>
  <si>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</si>
  <si>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</si>
  <si>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</si>
  <si>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</si>
  <si>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</si>
  <si>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</si>
  <si>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</si>
  <si>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</si>
  <si>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</si>
  <si>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</si>
  <si>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</si>
  <si>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</si>
  <si>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</si>
  <si>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</si>
  <si>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</si>
  <si>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</si>
  <si>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</si>
  <si>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</si>
  <si>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</si>
  <si>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</si>
  <si>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</si>
  <si>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</si>
  <si>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</si>
  <si>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</si>
  <si>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</si>
  <si>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</si>
  <si>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</si>
  <si>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</si>
  <si>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</si>
  <si>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</si>
  <si>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</si>
  <si>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</si>
  <si>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</si>
  <si>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</si>
  <si>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</si>
  <si>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</si>
  <si>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</si>
  <si>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</si>
  <si>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</si>
  <si>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</si>
  <si>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</si>
  <si>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</si>
  <si>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</si>
  <si>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</si>
  <si>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</si>
  <si>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</si>
  <si>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</si>
  <si>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</si>
  <si>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</si>
  <si>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</si>
  <si>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</si>
  <si>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</si>
  <si>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</si>
  <si>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</si>
  <si>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</si>
  <si>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</si>
  <si>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</si>
  <si>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</si>
  <si>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</si>
  <si>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</si>
  <si>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</si>
  <si>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</si>
  <si>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</si>
  <si>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</si>
  <si>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</si>
  <si>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</si>
  <si>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</si>
  <si>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</si>
  <si>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</si>
  <si>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</si>
  <si>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</si>
  <si>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</si>
  <si>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</si>
  <si>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</si>
  <si>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</si>
  <si>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</si>
  <si>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</si>
  <si>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</si>
  <si>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</si>
  <si>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</si>
  <si>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</si>
  <si>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</si>
  <si>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</si>
  <si>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</si>
  <si>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</si>
  <si>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</si>
  <si>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</si>
  <si>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</si>
  <si>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</si>
  <si>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</si>
  <si>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</si>
  <si>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</si>
  <si>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</si>
  <si>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</si>
  <si>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</si>
  <si>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</si>
  <si>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</si>
  <si>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</si>
  <si>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</si>
  <si>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</si>
  <si>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</si>
  <si>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</si>
  <si>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</si>
  <si>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</si>
  <si>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</si>
  <si>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</si>
  <si>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</si>
  <si>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</si>
  <si>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</si>
  <si>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</si>
  <si>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</si>
  <si>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</si>
  <si>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</si>
  <si>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</si>
  <si>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</si>
  <si>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</si>
  <si>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</si>
  <si>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</si>
  <si>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</si>
  <si>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</si>
  <si>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</si>
  <si>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</si>
  <si>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</si>
  <si>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</si>
  <si>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</si>
  <si>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</si>
  <si>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</si>
  <si>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</si>
  <si>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</si>
  <si>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</si>
  <si>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</si>
  <si>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</si>
  <si>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</si>
  <si>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</si>
  <si>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</si>
  <si>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</si>
  <si>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</si>
  <si>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</si>
  <si>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</si>
  <si>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</si>
  <si>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</si>
  <si>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</si>
  <si>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</si>
  <si>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</si>
  <si>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</si>
  <si>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</si>
  <si>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</si>
  <si>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</si>
  <si>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</si>
  <si>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</si>
  <si>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</si>
  <si>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</si>
  <si>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</si>
  <si>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</si>
  <si>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</si>
  <si>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</si>
  <si>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</si>
  <si>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</si>
  <si>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</si>
  <si>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</si>
  <si>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</si>
  <si>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</si>
  <si>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</si>
  <si>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</si>
  <si>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</si>
  <si>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</si>
  <si>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</si>
  <si>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</si>
  <si>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</si>
  <si>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</si>
  <si>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</si>
  <si>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</si>
  <si>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</si>
  <si>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</si>
  <si>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</si>
  <si>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</si>
  <si>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</si>
  <si>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</si>
  <si>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</si>
  <si>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</si>
  <si>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</si>
  <si>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</si>
  <si>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</si>
  <si>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35005</t>
  </si>
  <si>
    <t>GISTEL</t>
  </si>
  <si>
    <t>Cultuurgrond (ha)</t>
  </si>
  <si>
    <t>Paarden&amp;pony's 200 - 600 kg</t>
  </si>
  <si>
    <t>Paarden&amp;pony's &lt; 200 kg</t>
  </si>
  <si>
    <t>vloeibaar gas (MWh)</t>
  </si>
  <si>
    <t>interne verbrandingsmotor</t>
  </si>
  <si>
    <t>WKK interne verbrandinsgmotor (gas)</t>
  </si>
  <si>
    <t>Infrax West</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</si>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</sst>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495545D-06B8-477B-AAA5-4BD87887632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110396.67632995431</c:v>
                </c:pt>
                <c:pt idx="1">
                  <c:v>26414.42191603332</c:v>
                </c:pt>
                <c:pt idx="2">
                  <c:v>1052.6400000000001</c:v>
                </c:pt>
                <c:pt idx="3">
                  <c:v>13502.771606362254</c:v>
                </c:pt>
                <c:pt idx="4">
                  <c:v>14447.16852008665</c:v>
                </c:pt>
                <c:pt idx="5">
                  <c:v>176896.18392879536</c:v>
                </c:pt>
                <c:pt idx="6">
                  <c:v>1433.9625264203046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110396.67632995431</c:v>
                </c:pt>
                <c:pt idx="1">
                  <c:v>26414.42191603332</c:v>
                </c:pt>
                <c:pt idx="2">
                  <c:v>1052.6400000000001</c:v>
                </c:pt>
                <c:pt idx="3">
                  <c:v>13502.771606362254</c:v>
                </c:pt>
                <c:pt idx="4">
                  <c:v>14447.16852008665</c:v>
                </c:pt>
                <c:pt idx="5">
                  <c:v>176896.18392879536</c:v>
                </c:pt>
                <c:pt idx="6">
                  <c:v>1433.9625264203046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19516.345759246313</c:v>
                </c:pt>
                <c:pt idx="2">
                  <c:v>3541.4903747953804</c:v>
                </c:pt>
                <c:pt idx="3">
                  <c:v>64.728898585348617</c:v>
                </c:pt>
                <c:pt idx="4">
                  <c:v>2990.4968400594998</c:v>
                </c:pt>
                <c:pt idx="5">
                  <c:v>2353.2085827503697</c:v>
                </c:pt>
                <c:pt idx="6">
                  <c:v>44832.321260921111</c:v>
                </c:pt>
                <c:pt idx="7">
                  <c:v>365.07513455669516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19516.345759246313</c:v>
                </c:pt>
                <c:pt idx="2">
                  <c:v>3541.4903747953804</c:v>
                </c:pt>
                <c:pt idx="3">
                  <c:v>64.728898585348617</c:v>
                </c:pt>
                <c:pt idx="4">
                  <c:v>2990.4968400594998</c:v>
                </c:pt>
                <c:pt idx="5">
                  <c:v>2353.2085827503697</c:v>
                </c:pt>
                <c:pt idx="6">
                  <c:v>44832.321260921111</c:v>
                </c:pt>
                <c:pt idx="7">
                  <c:v>365.07513455669516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35005</v>
      </c>
      <c r="B6" s="385"/>
      <c r="C6" s="386"/>
    </row>
    <row r="7" spans="1:7" s="383" customFormat="1" ht="15.75" customHeight="1">
      <c r="A7" s="387" t="str">
        <f>txtMunicipality</f>
        <v>GISTEL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6.1491961720387421E-2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6.1491961720387421E-2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3154</v>
      </c>
      <c r="C14" s="327"/>
      <c r="D14" s="327"/>
      <c r="E14" s="327"/>
      <c r="F14" s="327"/>
    </row>
    <row r="15" spans="1:6">
      <c r="A15" s="1258" t="s">
        <v>177</v>
      </c>
      <c r="B15" s="1259">
        <v>38</v>
      </c>
      <c r="C15" s="327"/>
      <c r="D15" s="327"/>
      <c r="E15" s="327"/>
      <c r="F15" s="327"/>
    </row>
    <row r="16" spans="1:6">
      <c r="A16" s="1258" t="s">
        <v>6</v>
      </c>
      <c r="B16" s="1259">
        <v>1560</v>
      </c>
      <c r="C16" s="327"/>
      <c r="D16" s="327"/>
      <c r="E16" s="327"/>
      <c r="F16" s="327"/>
    </row>
    <row r="17" spans="1:6">
      <c r="A17" s="1258" t="s">
        <v>7</v>
      </c>
      <c r="B17" s="1259">
        <v>724</v>
      </c>
      <c r="C17" s="327"/>
      <c r="D17" s="327"/>
      <c r="E17" s="327"/>
      <c r="F17" s="327"/>
    </row>
    <row r="18" spans="1:6">
      <c r="A18" s="1258" t="s">
        <v>8</v>
      </c>
      <c r="B18" s="1259">
        <v>1449</v>
      </c>
      <c r="C18" s="327"/>
      <c r="D18" s="327"/>
      <c r="E18" s="327"/>
      <c r="F18" s="327"/>
    </row>
    <row r="19" spans="1:6">
      <c r="A19" s="1258" t="s">
        <v>9</v>
      </c>
      <c r="B19" s="1259">
        <v>1357</v>
      </c>
      <c r="C19" s="327"/>
      <c r="D19" s="327"/>
      <c r="E19" s="327"/>
      <c r="F19" s="327"/>
    </row>
    <row r="20" spans="1:6">
      <c r="A20" s="1258" t="s">
        <v>10</v>
      </c>
      <c r="B20" s="1259">
        <v>971</v>
      </c>
      <c r="C20" s="327"/>
      <c r="D20" s="327"/>
      <c r="E20" s="327"/>
      <c r="F20" s="327"/>
    </row>
    <row r="21" spans="1:6">
      <c r="A21" s="1258" t="s">
        <v>11</v>
      </c>
      <c r="B21" s="1259">
        <v>8748</v>
      </c>
      <c r="C21" s="327"/>
      <c r="D21" s="327"/>
      <c r="E21" s="327"/>
      <c r="F21" s="327"/>
    </row>
    <row r="22" spans="1:6">
      <c r="A22" s="1258" t="s">
        <v>12</v>
      </c>
      <c r="B22" s="1259">
        <v>18215</v>
      </c>
      <c r="C22" s="327"/>
      <c r="D22" s="327"/>
      <c r="E22" s="327"/>
      <c r="F22" s="327"/>
    </row>
    <row r="23" spans="1:6">
      <c r="A23" s="1258" t="s">
        <v>13</v>
      </c>
      <c r="B23" s="1259">
        <v>179</v>
      </c>
      <c r="C23" s="327"/>
      <c r="D23" s="327"/>
      <c r="E23" s="327"/>
      <c r="F23" s="327"/>
    </row>
    <row r="24" spans="1:6">
      <c r="A24" s="1258" t="s">
        <v>14</v>
      </c>
      <c r="B24" s="1259">
        <v>8</v>
      </c>
      <c r="C24" s="327"/>
      <c r="D24" s="327"/>
      <c r="E24" s="327"/>
      <c r="F24" s="327"/>
    </row>
    <row r="25" spans="1:6">
      <c r="A25" s="1258" t="s">
        <v>15</v>
      </c>
      <c r="B25" s="1259">
        <v>1574</v>
      </c>
      <c r="C25" s="327"/>
      <c r="D25" s="327"/>
      <c r="E25" s="327"/>
      <c r="F25" s="327"/>
    </row>
    <row r="26" spans="1:6">
      <c r="A26" s="1258" t="s">
        <v>16</v>
      </c>
      <c r="B26" s="1259">
        <v>230</v>
      </c>
      <c r="C26" s="327"/>
      <c r="D26" s="327"/>
      <c r="E26" s="327"/>
      <c r="F26" s="327"/>
    </row>
    <row r="27" spans="1:6">
      <c r="A27" s="1258" t="s">
        <v>17</v>
      </c>
      <c r="B27" s="1259">
        <v>0</v>
      </c>
      <c r="C27" s="327"/>
      <c r="D27" s="327"/>
      <c r="E27" s="327"/>
      <c r="F27" s="327"/>
    </row>
    <row r="28" spans="1:6">
      <c r="A28" s="1258" t="s">
        <v>18</v>
      </c>
      <c r="B28" s="1260">
        <v>70340</v>
      </c>
      <c r="C28" s="327"/>
      <c r="D28" s="327"/>
      <c r="E28" s="327"/>
      <c r="F28" s="327"/>
    </row>
    <row r="29" spans="1:6">
      <c r="A29" s="1258" t="s">
        <v>905</v>
      </c>
      <c r="B29" s="1260">
        <v>37</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8</v>
      </c>
      <c r="F36" s="1259">
        <v>100088</v>
      </c>
    </row>
    <row r="37" spans="1:6">
      <c r="A37" s="1258" t="s">
        <v>24</v>
      </c>
      <c r="B37" s="1258" t="s">
        <v>27</v>
      </c>
      <c r="C37" s="1259">
        <v>0</v>
      </c>
      <c r="D37" s="1259">
        <v>0</v>
      </c>
      <c r="E37" s="1259">
        <v>0</v>
      </c>
      <c r="F37" s="1259">
        <v>0</v>
      </c>
    </row>
    <row r="38" spans="1:6">
      <c r="A38" s="1258" t="s">
        <v>24</v>
      </c>
      <c r="B38" s="1258" t="s">
        <v>28</v>
      </c>
      <c r="C38" s="1259">
        <v>1</v>
      </c>
      <c r="D38" s="1259">
        <v>791416</v>
      </c>
      <c r="E38" s="1259">
        <v>1</v>
      </c>
      <c r="F38" s="1259">
        <v>55037</v>
      </c>
    </row>
    <row r="39" spans="1:6">
      <c r="A39" s="1258" t="s">
        <v>29</v>
      </c>
      <c r="B39" s="1258" t="s">
        <v>30</v>
      </c>
      <c r="C39" s="1259">
        <v>3483</v>
      </c>
      <c r="D39" s="1259">
        <v>57884946</v>
      </c>
      <c r="E39" s="1259">
        <v>4775</v>
      </c>
      <c r="F39" s="1259">
        <v>19537364</v>
      </c>
    </row>
    <row r="40" spans="1:6">
      <c r="A40" s="1258" t="s">
        <v>29</v>
      </c>
      <c r="B40" s="1258" t="s">
        <v>28</v>
      </c>
      <c r="C40" s="1259">
        <v>0</v>
      </c>
      <c r="D40" s="1259">
        <v>0</v>
      </c>
      <c r="E40" s="1259">
        <v>0</v>
      </c>
      <c r="F40" s="1259">
        <v>0</v>
      </c>
    </row>
    <row r="41" spans="1:6">
      <c r="A41" s="1258" t="s">
        <v>31</v>
      </c>
      <c r="B41" s="1258" t="s">
        <v>32</v>
      </c>
      <c r="C41" s="1259">
        <v>32</v>
      </c>
      <c r="D41" s="1259">
        <v>4509371</v>
      </c>
      <c r="E41" s="1259">
        <v>111</v>
      </c>
      <c r="F41" s="1259">
        <v>2535915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575514</v>
      </c>
      <c r="E44" s="1259">
        <v>13</v>
      </c>
      <c r="F44" s="1259">
        <v>447468</v>
      </c>
    </row>
    <row r="45" spans="1:6">
      <c r="A45" s="1258" t="s">
        <v>31</v>
      </c>
      <c r="B45" s="1258" t="s">
        <v>36</v>
      </c>
      <c r="C45" s="1259">
        <v>5</v>
      </c>
      <c r="D45" s="1259">
        <v>616396</v>
      </c>
      <c r="E45" s="1259">
        <v>6</v>
      </c>
      <c r="F45" s="1259">
        <v>764401</v>
      </c>
    </row>
    <row r="46" spans="1:6">
      <c r="A46" s="1258" t="s">
        <v>31</v>
      </c>
      <c r="B46" s="1258" t="s">
        <v>37</v>
      </c>
      <c r="C46" s="1259">
        <v>0</v>
      </c>
      <c r="D46" s="1259">
        <v>0</v>
      </c>
      <c r="E46" s="1259">
        <v>0</v>
      </c>
      <c r="F46" s="1259">
        <v>0</v>
      </c>
    </row>
    <row r="47" spans="1:6">
      <c r="A47" s="1258" t="s">
        <v>31</v>
      </c>
      <c r="B47" s="1258" t="s">
        <v>38</v>
      </c>
      <c r="C47" s="1259">
        <v>5</v>
      </c>
      <c r="D47" s="1259">
        <v>268588</v>
      </c>
      <c r="E47" s="1259">
        <v>6</v>
      </c>
      <c r="F47" s="1259">
        <v>232906</v>
      </c>
    </row>
    <row r="48" spans="1:6">
      <c r="A48" s="1258" t="s">
        <v>31</v>
      </c>
      <c r="B48" s="1258" t="s">
        <v>28</v>
      </c>
      <c r="C48" s="1259">
        <v>0</v>
      </c>
      <c r="D48" s="1259">
        <v>0</v>
      </c>
      <c r="E48" s="1259">
        <v>2</v>
      </c>
      <c r="F48" s="1259">
        <v>565585</v>
      </c>
    </row>
    <row r="49" spans="1:6">
      <c r="A49" s="1258" t="s">
        <v>31</v>
      </c>
      <c r="B49" s="1258" t="s">
        <v>39</v>
      </c>
      <c r="C49" s="1259">
        <v>0</v>
      </c>
      <c r="D49" s="1259">
        <v>0</v>
      </c>
      <c r="E49" s="1259">
        <v>0</v>
      </c>
      <c r="F49" s="1259">
        <v>0</v>
      </c>
    </row>
    <row r="50" spans="1:6">
      <c r="A50" s="1258" t="s">
        <v>31</v>
      </c>
      <c r="B50" s="1258" t="s">
        <v>40</v>
      </c>
      <c r="C50" s="1259">
        <v>9</v>
      </c>
      <c r="D50" s="1259">
        <v>368447</v>
      </c>
      <c r="E50" s="1259">
        <v>13</v>
      </c>
      <c r="F50" s="1259">
        <v>314165</v>
      </c>
    </row>
    <row r="51" spans="1:6">
      <c r="A51" s="1258" t="s">
        <v>41</v>
      </c>
      <c r="B51" s="1258" t="s">
        <v>42</v>
      </c>
      <c r="C51" s="1259">
        <v>9</v>
      </c>
      <c r="D51" s="1259">
        <v>1645900</v>
      </c>
      <c r="E51" s="1259">
        <v>79</v>
      </c>
      <c r="F51" s="1259">
        <v>2561527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53</v>
      </c>
      <c r="F54" s="1259">
        <v>1052640</v>
      </c>
    </row>
    <row r="55" spans="1:6">
      <c r="A55" s="1258" t="s">
        <v>45</v>
      </c>
      <c r="B55" s="1258" t="s">
        <v>28</v>
      </c>
      <c r="C55" s="1259">
        <v>0</v>
      </c>
      <c r="D55" s="1259">
        <v>0</v>
      </c>
      <c r="E55" s="1259">
        <v>0</v>
      </c>
      <c r="F55" s="1259">
        <v>0</v>
      </c>
    </row>
    <row r="56" spans="1:6">
      <c r="A56" s="1258" t="s">
        <v>47</v>
      </c>
      <c r="B56" s="1258" t="s">
        <v>28</v>
      </c>
      <c r="C56" s="1259">
        <v>77</v>
      </c>
      <c r="D56" s="1259">
        <v>3027255</v>
      </c>
      <c r="E56" s="1259">
        <v>96</v>
      </c>
      <c r="F56" s="1259">
        <v>561137</v>
      </c>
    </row>
    <row r="57" spans="1:6">
      <c r="A57" s="1258" t="s">
        <v>48</v>
      </c>
      <c r="B57" s="1258" t="s">
        <v>49</v>
      </c>
      <c r="C57" s="1259">
        <v>37</v>
      </c>
      <c r="D57" s="1259">
        <v>2885213</v>
      </c>
      <c r="E57" s="1259">
        <v>72</v>
      </c>
      <c r="F57" s="1259">
        <v>2799574</v>
      </c>
    </row>
    <row r="58" spans="1:6">
      <c r="A58" s="1258" t="s">
        <v>48</v>
      </c>
      <c r="B58" s="1258" t="s">
        <v>50</v>
      </c>
      <c r="C58" s="1259">
        <v>12</v>
      </c>
      <c r="D58" s="1259">
        <v>1995029</v>
      </c>
      <c r="E58" s="1259">
        <v>19</v>
      </c>
      <c r="F58" s="1259">
        <v>543112</v>
      </c>
    </row>
    <row r="59" spans="1:6">
      <c r="A59" s="1258" t="s">
        <v>48</v>
      </c>
      <c r="B59" s="1258" t="s">
        <v>51</v>
      </c>
      <c r="C59" s="1259">
        <v>69</v>
      </c>
      <c r="D59" s="1259">
        <v>2983842</v>
      </c>
      <c r="E59" s="1259">
        <v>194</v>
      </c>
      <c r="F59" s="1259">
        <v>4795250</v>
      </c>
    </row>
    <row r="60" spans="1:6">
      <c r="A60" s="1258" t="s">
        <v>48</v>
      </c>
      <c r="B60" s="1258" t="s">
        <v>52</v>
      </c>
      <c r="C60" s="1259">
        <v>22</v>
      </c>
      <c r="D60" s="1259">
        <v>1106055</v>
      </c>
      <c r="E60" s="1259">
        <v>42</v>
      </c>
      <c r="F60" s="1259">
        <v>701829</v>
      </c>
    </row>
    <row r="61" spans="1:6">
      <c r="A61" s="1258" t="s">
        <v>48</v>
      </c>
      <c r="B61" s="1258" t="s">
        <v>53</v>
      </c>
      <c r="C61" s="1259">
        <v>89</v>
      </c>
      <c r="D61" s="1259">
        <v>3608920</v>
      </c>
      <c r="E61" s="1259">
        <v>225</v>
      </c>
      <c r="F61" s="1259">
        <v>2280654</v>
      </c>
    </row>
    <row r="62" spans="1:6">
      <c r="A62" s="1258" t="s">
        <v>48</v>
      </c>
      <c r="B62" s="1258" t="s">
        <v>54</v>
      </c>
      <c r="C62" s="1259">
        <v>5</v>
      </c>
      <c r="D62" s="1259">
        <v>517972</v>
      </c>
      <c r="E62" s="1259">
        <v>10</v>
      </c>
      <c r="F62" s="1259">
        <v>416201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113641</v>
      </c>
      <c r="E68" s="1261">
        <v>13</v>
      </c>
      <c r="F68" s="1261">
        <v>141333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47506148</v>
      </c>
      <c r="E73" s="446"/>
      <c r="F73" s="327"/>
    </row>
    <row r="74" spans="1:6">
      <c r="A74" s="1258" t="s">
        <v>63</v>
      </c>
      <c r="B74" s="1258" t="s">
        <v>681</v>
      </c>
      <c r="C74" s="1271" t="s">
        <v>682</v>
      </c>
      <c r="D74" s="1259">
        <v>5272408.2723992141</v>
      </c>
      <c r="E74" s="446"/>
      <c r="F74" s="327"/>
    </row>
    <row r="75" spans="1:6">
      <c r="A75" s="1258" t="s">
        <v>64</v>
      </c>
      <c r="B75" s="1258" t="s">
        <v>679</v>
      </c>
      <c r="C75" s="1271" t="s">
        <v>683</v>
      </c>
      <c r="D75" s="1259">
        <v>8934039</v>
      </c>
      <c r="E75" s="446"/>
      <c r="F75" s="327"/>
    </row>
    <row r="76" spans="1:6">
      <c r="A76" s="1258" t="s">
        <v>64</v>
      </c>
      <c r="B76" s="1258" t="s">
        <v>681</v>
      </c>
      <c r="C76" s="1271" t="s">
        <v>684</v>
      </c>
      <c r="D76" s="1259">
        <v>699980.27239921421</v>
      </c>
      <c r="E76" s="446"/>
      <c r="F76" s="327"/>
    </row>
    <row r="77" spans="1:6">
      <c r="A77" s="1258" t="s">
        <v>65</v>
      </c>
      <c r="B77" s="1258" t="s">
        <v>679</v>
      </c>
      <c r="C77" s="1271" t="s">
        <v>685</v>
      </c>
      <c r="D77" s="1259">
        <v>93877096</v>
      </c>
      <c r="E77" s="446"/>
      <c r="F77" s="327"/>
    </row>
    <row r="78" spans="1:6">
      <c r="A78" s="1253" t="s">
        <v>65</v>
      </c>
      <c r="B78" s="1253" t="s">
        <v>681</v>
      </c>
      <c r="C78" s="1253" t="s">
        <v>686</v>
      </c>
      <c r="D78" s="1261">
        <v>22753157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379527.45520157163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25394.132829999999</v>
      </c>
      <c r="C90" s="327"/>
      <c r="D90" s="327"/>
      <c r="E90" s="327"/>
      <c r="F90" s="327"/>
    </row>
    <row r="91" spans="1:6">
      <c r="A91" s="1258" t="s">
        <v>67</v>
      </c>
      <c r="B91" s="1259">
        <v>2344.0999383356943</v>
      </c>
      <c r="C91" s="327"/>
      <c r="D91" s="327"/>
      <c r="E91" s="327"/>
      <c r="F91" s="327"/>
    </row>
    <row r="92" spans="1:6">
      <c r="A92" s="1253" t="s">
        <v>68</v>
      </c>
      <c r="B92" s="1254">
        <v>2332.9055721547652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2525</v>
      </c>
      <c r="C97" s="327"/>
      <c r="D97" s="327"/>
      <c r="E97" s="327"/>
      <c r="F97" s="327"/>
    </row>
    <row r="98" spans="1:6">
      <c r="A98" s="1258" t="s">
        <v>71</v>
      </c>
      <c r="B98" s="1259">
        <v>2</v>
      </c>
      <c r="C98" s="327"/>
      <c r="D98" s="327"/>
      <c r="E98" s="327"/>
      <c r="F98" s="327"/>
    </row>
    <row r="99" spans="1:6">
      <c r="A99" s="1258" t="s">
        <v>72</v>
      </c>
      <c r="B99" s="1259">
        <v>56</v>
      </c>
      <c r="C99" s="327"/>
      <c r="D99" s="327"/>
      <c r="E99" s="327"/>
      <c r="F99" s="327"/>
    </row>
    <row r="100" spans="1:6">
      <c r="A100" s="1258" t="s">
        <v>73</v>
      </c>
      <c r="B100" s="1259">
        <v>449</v>
      </c>
      <c r="C100" s="327"/>
      <c r="D100" s="327"/>
      <c r="E100" s="327"/>
      <c r="F100" s="327"/>
    </row>
    <row r="101" spans="1:6">
      <c r="A101" s="1258" t="s">
        <v>74</v>
      </c>
      <c r="B101" s="1259">
        <v>96</v>
      </c>
      <c r="C101" s="327"/>
      <c r="D101" s="327"/>
      <c r="E101" s="327"/>
      <c r="F101" s="327"/>
    </row>
    <row r="102" spans="1:6">
      <c r="A102" s="1258" t="s">
        <v>75</v>
      </c>
      <c r="B102" s="1259">
        <v>58</v>
      </c>
      <c r="C102" s="327"/>
      <c r="D102" s="327"/>
      <c r="E102" s="327"/>
      <c r="F102" s="327"/>
    </row>
    <row r="103" spans="1:6">
      <c r="A103" s="1258" t="s">
        <v>76</v>
      </c>
      <c r="B103" s="1259">
        <v>129</v>
      </c>
      <c r="C103" s="327"/>
      <c r="D103" s="327"/>
      <c r="E103" s="327"/>
      <c r="F103" s="327"/>
    </row>
    <row r="104" spans="1:6">
      <c r="A104" s="1258" t="s">
        <v>77</v>
      </c>
      <c r="B104" s="1259">
        <v>902</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4</v>
      </c>
      <c r="C123" s="1259">
        <v>10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124</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42971.458740737762</v>
      </c>
      <c r="C3" s="43" t="s">
        <v>163</v>
      </c>
      <c r="D3" s="43"/>
      <c r="E3" s="156"/>
      <c r="F3" s="43"/>
      <c r="G3" s="43"/>
      <c r="H3" s="43"/>
      <c r="I3" s="43"/>
      <c r="J3" s="43"/>
      <c r="K3" s="96"/>
    </row>
    <row r="4" spans="1:11">
      <c r="A4" s="353" t="s">
        <v>164</v>
      </c>
      <c r="B4" s="49">
        <f>IF(ISERROR('SEAP template'!B78+'SEAP template'!C78),0,'SEAP template'!B78+'SEAP template'!C78)</f>
        <v>31014.90084049046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6.1491961720387421E-2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769.66071428571422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1052.6400000000001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1052.6400000000001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6.1491961720387421E-2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64.728898585348617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19537.364000000001</v>
      </c>
      <c r="C5" s="17">
        <f>IF(ISERROR('Eigen informatie GS &amp; warmtenet'!B57),0,'Eigen informatie GS &amp; warmtenet'!B57)</f>
        <v>0</v>
      </c>
      <c r="D5" s="30">
        <f>(SUM(HH_hh_gas_kWh,HH_rest_gas_kWh)/1000)*0.902</f>
        <v>52212.221292000002</v>
      </c>
      <c r="E5" s="17">
        <f>B32*B41</f>
        <v>884.98300824993817</v>
      </c>
      <c r="F5" s="17">
        <f>B36*B45</f>
        <v>27120.722669370716</v>
      </c>
      <c r="G5" s="18"/>
      <c r="H5" s="17"/>
      <c r="I5" s="17"/>
      <c r="J5" s="17">
        <f>B35*B44+C35*C44</f>
        <v>513.61248526954273</v>
      </c>
      <c r="K5" s="17"/>
      <c r="L5" s="17"/>
      <c r="M5" s="17"/>
      <c r="N5" s="17">
        <f>B34*B43+C34*C43</f>
        <v>7421.6529367284074</v>
      </c>
      <c r="O5" s="17">
        <f>B52*B53*B54</f>
        <v>209.48666666666671</v>
      </c>
      <c r="P5" s="17">
        <f>B60*B61*B62/1000-B60*B61*B62/1000/B63</f>
        <v>152.53333333333333</v>
      </c>
    </row>
    <row r="6" spans="1:16">
      <c r="A6" s="16" t="s">
        <v>592</v>
      </c>
      <c r="B6" s="733">
        <f>kWh_PV_kleiner_dan_10kW</f>
        <v>2344.0999383356943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21881.463938335695</v>
      </c>
      <c r="C8" s="21">
        <f>C5</f>
        <v>0</v>
      </c>
      <c r="D8" s="21">
        <f>D5</f>
        <v>52212.221292000002</v>
      </c>
      <c r="E8" s="21">
        <f>E5</f>
        <v>884.98300824993817</v>
      </c>
      <c r="F8" s="21">
        <f>F5</f>
        <v>27120.722669370716</v>
      </c>
      <c r="G8" s="21"/>
      <c r="H8" s="21"/>
      <c r="I8" s="21"/>
      <c r="J8" s="21">
        <f>J5</f>
        <v>513.61248526954273</v>
      </c>
      <c r="K8" s="21"/>
      <c r="L8" s="21">
        <f>L5</f>
        <v>0</v>
      </c>
      <c r="M8" s="21">
        <f>M5</f>
        <v>0</v>
      </c>
      <c r="N8" s="21">
        <f>N5</f>
        <v>7421.6529367284074</v>
      </c>
      <c r="O8" s="21">
        <f>O5</f>
        <v>209.48666666666671</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6.1491961720387421E-2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1345.5341428821764</v>
      </c>
      <c r="C12" s="23">
        <f ca="1">C10*C8</f>
        <v>0</v>
      </c>
      <c r="D12" s="23">
        <f>D8*D10</f>
        <v>10546.868700984001</v>
      </c>
      <c r="E12" s="23">
        <f>E10*E8</f>
        <v>200.89114287273597</v>
      </c>
      <c r="F12" s="23">
        <f>F10*F8</f>
        <v>7241.2329527219817</v>
      </c>
      <c r="G12" s="23"/>
      <c r="H12" s="23"/>
      <c r="I12" s="23"/>
      <c r="J12" s="23">
        <f>J10*J8</f>
        <v>181.81881978541813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4858</v>
      </c>
      <c r="C26" s="36"/>
      <c r="D26" s="227"/>
    </row>
    <row r="27" spans="1:5" s="15" customFormat="1">
      <c r="A27" s="229" t="s">
        <v>697</v>
      </c>
      <c r="B27" s="37">
        <f>SUM(HH_hh_gas_aantal,HH_rest_gas_aantal)</f>
        <v>3483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3308.85</v>
      </c>
      <c r="C31" s="34" t="s">
        <v>104</v>
      </c>
      <c r="D31" s="173"/>
    </row>
    <row r="32" spans="1:5">
      <c r="A32" s="170" t="s">
        <v>72</v>
      </c>
      <c r="B32" s="33">
        <f>IF((B21*($B$26-($B$27-0.05*$B$27)-$B$60))&lt;0,0,B21*($B$26-($B$27-0.05*$B$27)-$B$60))</f>
        <v>38.592803363539893</v>
      </c>
      <c r="C32" s="34" t="s">
        <v>104</v>
      </c>
      <c r="D32" s="173"/>
    </row>
    <row r="33" spans="1:6">
      <c r="A33" s="170" t="s">
        <v>73</v>
      </c>
      <c r="B33" s="33">
        <f>IF((B22*($B$26-($B$27-0.05*$B$27)-$B$60))&lt;0,0,B22*($B$26-($B$27-0.05*$B$27)-$B$60))</f>
        <v>259.77482980106225</v>
      </c>
      <c r="C33" s="34" t="s">
        <v>104</v>
      </c>
      <c r="D33" s="173"/>
    </row>
    <row r="34" spans="1:6">
      <c r="A34" s="170" t="s">
        <v>74</v>
      </c>
      <c r="B34" s="33">
        <f>IF((B24*($B$26-($B$27-0.05*$B$27)-$B$60))&lt;0,0,B24*($B$26-($B$27-0.05*$B$27)-$B$60))</f>
        <v>65.90839544309226</v>
      </c>
      <c r="C34" s="33">
        <f>B26*C24</f>
        <v>993.75280854060782</v>
      </c>
      <c r="D34" s="232"/>
    </row>
    <row r="35" spans="1:6">
      <c r="A35" s="170" t="s">
        <v>76</v>
      </c>
      <c r="B35" s="33">
        <f>IF((B19*($B$26-($B$27-0.05*$B$27)-$B$60))&lt;0,0,B19*($B$26-($B$27-0.05*$B$27)-$B$60))</f>
        <v>24.493724686180823</v>
      </c>
      <c r="C35" s="33">
        <f>B35/2</f>
        <v>12.246862343090411</v>
      </c>
      <c r="D35" s="232"/>
    </row>
    <row r="36" spans="1:6">
      <c r="A36" s="170" t="s">
        <v>77</v>
      </c>
      <c r="B36" s="33">
        <f>IF((B18*($B$26-($B$27-0.05*$B$27)-$B$60))&lt;0,0,B18*($B$26-($B$27-0.05*$B$27)-$B$60))</f>
        <v>1152.380246706125</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134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11536.619999999999</v>
      </c>
      <c r="C5" s="17">
        <f>IF(ISERROR('Eigen informatie GS &amp; warmtenet'!B58),0,'Eigen informatie GS &amp; warmtenet'!B58)</f>
        <v>0</v>
      </c>
      <c r="D5" s="30">
        <f>SUM(D6:D12)</f>
        <v>11813.521962000001</v>
      </c>
      <c r="E5" s="17">
        <f>SUM(E6:E12)</f>
        <v>51.607146843851424</v>
      </c>
      <c r="F5" s="17">
        <f>SUM(F6:F12)</f>
        <v>1480.8630215995008</v>
      </c>
      <c r="G5" s="18"/>
      <c r="H5" s="17"/>
      <c r="I5" s="17"/>
      <c r="J5" s="17">
        <f>SUM(J6:J12)</f>
        <v>22.52875152559232</v>
      </c>
      <c r="K5" s="17"/>
      <c r="L5" s="17"/>
      <c r="M5" s="17"/>
      <c r="N5" s="17">
        <f>SUM(N6:N12)</f>
        <v>1702.4010340643754</v>
      </c>
      <c r="O5" s="17">
        <f>B38*B39*B40</f>
        <v>1.5633333333333335</v>
      </c>
      <c r="P5" s="17">
        <f>B46*B47*B48/1000-B46*B47*B48/1000/B49</f>
        <v>19.066666666666666</v>
      </c>
      <c r="R5" s="32"/>
    </row>
    <row r="6" spans="1:18">
      <c r="A6" s="32" t="s">
        <v>53</v>
      </c>
      <c r="B6" s="37">
        <f>B26</f>
        <v>2280.654</v>
      </c>
      <c r="C6" s="33"/>
      <c r="D6" s="37">
        <f>IF(ISERROR(TER_kantoor_gas_kWh/1000),0,TER_kantoor_gas_kWh/1000)*0.902</f>
        <v>3255.24584</v>
      </c>
      <c r="E6" s="33">
        <f>$C$26*'E Balans VL '!I12/100/3.6*1000000</f>
        <v>19.250708925590622</v>
      </c>
      <c r="F6" s="33">
        <f>$C$26*('E Balans VL '!L12+'E Balans VL '!N12)/100/3.6*1000000</f>
        <v>305.81044980349645</v>
      </c>
      <c r="G6" s="34"/>
      <c r="H6" s="33"/>
      <c r="I6" s="33"/>
      <c r="J6" s="33">
        <f>$C$26*('E Balans VL '!D12+'E Balans VL '!E12)/100/3.6*1000000</f>
        <v>0</v>
      </c>
      <c r="K6" s="33"/>
      <c r="L6" s="33"/>
      <c r="M6" s="33"/>
      <c r="N6" s="33">
        <f>$C$26*'E Balans VL '!Y12/100/3.6*1000000</f>
        <v>20.057646568548556</v>
      </c>
      <c r="O6" s="33"/>
      <c r="P6" s="33"/>
      <c r="R6" s="32"/>
    </row>
    <row r="7" spans="1:18">
      <c r="A7" s="32" t="s">
        <v>52</v>
      </c>
      <c r="B7" s="37">
        <f t="shared" ref="B7:B12" si="0">B27</f>
        <v>701.82899999999995</v>
      </c>
      <c r="C7" s="33"/>
      <c r="D7" s="37">
        <f>IF(ISERROR(TER_horeca_gas_kWh/1000),0,TER_horeca_gas_kWh/1000)*0.902</f>
        <v>997.66161000000011</v>
      </c>
      <c r="E7" s="33">
        <f>$C$27*'E Balans VL '!I9/100/3.6*1000000</f>
        <v>9.2276502002999106</v>
      </c>
      <c r="F7" s="33">
        <f>$C$27*('E Balans VL '!L9+'E Balans VL '!N9)/100/3.6*1000000</f>
        <v>176.2554736147739</v>
      </c>
      <c r="G7" s="34"/>
      <c r="H7" s="33"/>
      <c r="I7" s="33"/>
      <c r="J7" s="33">
        <f>$C$27*('E Balans VL '!D9+'E Balans VL '!E9)/100/3.6*1000000</f>
        <v>0</v>
      </c>
      <c r="K7" s="33"/>
      <c r="L7" s="33"/>
      <c r="M7" s="33"/>
      <c r="N7" s="33">
        <f>$C$27*'E Balans VL '!Y9/100/3.6*1000000</f>
        <v>0.19106433038563794</v>
      </c>
      <c r="O7" s="33"/>
      <c r="P7" s="33"/>
      <c r="R7" s="32"/>
    </row>
    <row r="8" spans="1:18">
      <c r="A8" s="6" t="s">
        <v>51</v>
      </c>
      <c r="B8" s="37">
        <f t="shared" si="0"/>
        <v>4795.25</v>
      </c>
      <c r="C8" s="33"/>
      <c r="D8" s="37">
        <f>IF(ISERROR(TER_handel_gas_kWh/1000),0,TER_handel_gas_kWh/1000)*0.902</f>
        <v>2691.4254840000003</v>
      </c>
      <c r="E8" s="33">
        <f>$C$28*'E Balans VL '!I13/100/3.6*1000000</f>
        <v>21.000163774035464</v>
      </c>
      <c r="F8" s="33">
        <f>$C$28*('E Balans VL '!L13+'E Balans VL '!N13)/100/3.6*1000000</f>
        <v>322.31091489881703</v>
      </c>
      <c r="G8" s="34"/>
      <c r="H8" s="33"/>
      <c r="I8" s="33"/>
      <c r="J8" s="33">
        <f>$C$28*('E Balans VL '!D13+'E Balans VL '!E13)/100/3.6*1000000</f>
        <v>0</v>
      </c>
      <c r="K8" s="33"/>
      <c r="L8" s="33"/>
      <c r="M8" s="33"/>
      <c r="N8" s="33">
        <f>$C$28*'E Balans VL '!Y13/100/3.6*1000000</f>
        <v>14.166392623507841</v>
      </c>
      <c r="O8" s="33"/>
      <c r="P8" s="33"/>
      <c r="R8" s="32"/>
    </row>
    <row r="9" spans="1:18">
      <c r="A9" s="32" t="s">
        <v>50</v>
      </c>
      <c r="B9" s="37">
        <f t="shared" si="0"/>
        <v>543.11199999999997</v>
      </c>
      <c r="C9" s="33"/>
      <c r="D9" s="37">
        <f>IF(ISERROR(TER_gezond_gas_kWh/1000),0,TER_gezond_gas_kWh/1000)*0.902</f>
        <v>1799.5161580000001</v>
      </c>
      <c r="E9" s="33">
        <f>$C$29*'E Balans VL '!I10/100/3.6*1000000</f>
        <v>0.18677861465837017</v>
      </c>
      <c r="F9" s="33">
        <f>$C$29*('E Balans VL '!L10+'E Balans VL '!N10)/100/3.6*1000000</f>
        <v>47.470128011353232</v>
      </c>
      <c r="G9" s="34"/>
      <c r="H9" s="33"/>
      <c r="I9" s="33"/>
      <c r="J9" s="33">
        <f>$C$29*('E Balans VL '!D10+'E Balans VL '!E10)/100/3.6*1000000</f>
        <v>22.52875152559232</v>
      </c>
      <c r="K9" s="33"/>
      <c r="L9" s="33"/>
      <c r="M9" s="33"/>
      <c r="N9" s="33">
        <f>$C$29*'E Balans VL '!Y10/100/3.6*1000000</f>
        <v>5.6943286197737146</v>
      </c>
      <c r="O9" s="33"/>
      <c r="P9" s="33"/>
      <c r="R9" s="32"/>
    </row>
    <row r="10" spans="1:18">
      <c r="A10" s="32" t="s">
        <v>49</v>
      </c>
      <c r="B10" s="37">
        <f t="shared" si="0"/>
        <v>2799.5740000000001</v>
      </c>
      <c r="C10" s="33"/>
      <c r="D10" s="37">
        <f>IF(ISERROR(TER_ander_gas_kWh/1000),0,TER_ander_gas_kWh/1000)*0.902</f>
        <v>2602.4621260000004</v>
      </c>
      <c r="E10" s="33">
        <f>$C$30*'E Balans VL '!I14/100/3.6*1000000</f>
        <v>1.6650088082942023</v>
      </c>
      <c r="F10" s="33">
        <f>$C$30*('E Balans VL '!L14+'E Balans VL '!N14)/100/3.6*1000000</f>
        <v>495.67336446985564</v>
      </c>
      <c r="G10" s="34"/>
      <c r="H10" s="33"/>
      <c r="I10" s="33"/>
      <c r="J10" s="33">
        <f>$C$30*('E Balans VL '!D14+'E Balans VL '!E14)/100/3.6*1000000</f>
        <v>0</v>
      </c>
      <c r="K10" s="33"/>
      <c r="L10" s="33"/>
      <c r="M10" s="33"/>
      <c r="N10" s="33">
        <f>$C$30*'E Balans VL '!Y14/100/3.6*1000000</f>
        <v>1662.2916019221595</v>
      </c>
      <c r="O10" s="33"/>
      <c r="P10" s="33"/>
      <c r="R10" s="32"/>
    </row>
    <row r="11" spans="1:18">
      <c r="A11" s="32" t="s">
        <v>54</v>
      </c>
      <c r="B11" s="37">
        <f t="shared" si="0"/>
        <v>416.20100000000002</v>
      </c>
      <c r="C11" s="33"/>
      <c r="D11" s="37">
        <f>IF(ISERROR(TER_onderwijs_gas_kWh/1000),0,TER_onderwijs_gas_kWh/1000)*0.902</f>
        <v>467.21074399999998</v>
      </c>
      <c r="E11" s="33">
        <f>$C$31*'E Balans VL '!I11/100/3.6*1000000</f>
        <v>0.27683652097285211</v>
      </c>
      <c r="F11" s="33">
        <f>$C$31*('E Balans VL '!L11+'E Balans VL '!N11)/100/3.6*1000000</f>
        <v>133.3426908012045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energieproductie'!N39+'lokale energieproductie'!N32</f>
        <v>498.75</v>
      </c>
      <c r="C13" s="245">
        <f ca="1">'lokale energieproductie'!O39+'lokale energieproductie'!O32</f>
        <v>712.5</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-1425</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12035.369999999999</v>
      </c>
      <c r="C16" s="21">
        <f t="shared" ca="1" si="1"/>
        <v>712.5</v>
      </c>
      <c r="D16" s="21">
        <f t="shared" ca="1" si="1"/>
        <v>11813.521962000001</v>
      </c>
      <c r="E16" s="21">
        <f t="shared" si="1"/>
        <v>51.607146843851424</v>
      </c>
      <c r="F16" s="21">
        <f t="shared" ca="1" si="1"/>
        <v>1480.8630215995008</v>
      </c>
      <c r="G16" s="21">
        <f t="shared" si="1"/>
        <v>0</v>
      </c>
      <c r="H16" s="21">
        <f t="shared" si="1"/>
        <v>0</v>
      </c>
      <c r="I16" s="21">
        <f t="shared" si="1"/>
        <v>0</v>
      </c>
      <c r="J16" s="21">
        <f t="shared" si="1"/>
        <v>22.52875152559232</v>
      </c>
      <c r="K16" s="21">
        <f t="shared" si="1"/>
        <v>0</v>
      </c>
      <c r="L16" s="21">
        <f t="shared" ca="1" si="1"/>
        <v>0</v>
      </c>
      <c r="M16" s="21">
        <f t="shared" si="1"/>
        <v>0</v>
      </c>
      <c r="N16" s="21">
        <f t="shared" ca="1" si="1"/>
        <v>277.40103406437538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6.1491961720387421E-2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740.07851133069914</v>
      </c>
      <c r="C20" s="23">
        <f t="shared" ref="C20:P20" ca="1" si="2">C16*C18</f>
        <v>0</v>
      </c>
      <c r="D20" s="23">
        <f t="shared" ca="1" si="2"/>
        <v>2386.3314363240002</v>
      </c>
      <c r="E20" s="23">
        <f t="shared" si="2"/>
        <v>11.714822333554274</v>
      </c>
      <c r="F20" s="23">
        <f t="shared" ca="1" si="2"/>
        <v>395.39042676706674</v>
      </c>
      <c r="G20" s="23">
        <f t="shared" si="2"/>
        <v>0</v>
      </c>
      <c r="H20" s="23">
        <f t="shared" si="2"/>
        <v>0</v>
      </c>
      <c r="I20" s="23">
        <f t="shared" si="2"/>
        <v>0</v>
      </c>
      <c r="J20" s="23">
        <f t="shared" si="2"/>
        <v>7.9751780400596806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2280.654</v>
      </c>
      <c r="C26" s="39">
        <f>IF(ISERROR(B26*3.6/1000000/'E Balans VL '!Z12*100),0,B26*3.6/1000000/'E Balans VL '!Z12*100)</f>
        <v>4.7799676501915786E-2</v>
      </c>
      <c r="D26" s="235" t="s">
        <v>647</v>
      </c>
      <c r="F26" s="6"/>
    </row>
    <row r="27" spans="1:18">
      <c r="A27" s="230" t="s">
        <v>52</v>
      </c>
      <c r="B27" s="33">
        <f>IF(ISERROR(TER_horeca_ele_kWh/1000),0,TER_horeca_ele_kWh/1000)</f>
        <v>701.82899999999995</v>
      </c>
      <c r="C27" s="39">
        <f>IF(ISERROR(B27*3.6/1000000/'E Balans VL '!Z9*100),0,B27*3.6/1000000/'E Balans VL '!Z9*100)</f>
        <v>5.3809108665889165E-2</v>
      </c>
      <c r="D27" s="235" t="s">
        <v>647</v>
      </c>
      <c r="F27" s="6"/>
    </row>
    <row r="28" spans="1:18">
      <c r="A28" s="170" t="s">
        <v>51</v>
      </c>
      <c r="B28" s="33">
        <f>IF(ISERROR(TER_handel_ele_kWh/1000),0,TER_handel_ele_kWh/1000)</f>
        <v>4795.25</v>
      </c>
      <c r="C28" s="39">
        <f>IF(ISERROR(B28*3.6/1000000/'E Balans VL '!Z13*100),0,B28*3.6/1000000/'E Balans VL '!Z13*100)</f>
        <v>0.13528107654712926</v>
      </c>
      <c r="D28" s="235" t="s">
        <v>647</v>
      </c>
      <c r="F28" s="6"/>
    </row>
    <row r="29" spans="1:18">
      <c r="A29" s="230" t="s">
        <v>50</v>
      </c>
      <c r="B29" s="33">
        <f>IF(ISERROR(TER_gezond_ele_kWh/1000),0,TER_gezond_ele_kWh/1000)</f>
        <v>543.11199999999997</v>
      </c>
      <c r="C29" s="39">
        <f>IF(ISERROR(B29*3.6/1000000/'E Balans VL '!Z10*100),0,B29*3.6/1000000/'E Balans VL '!Z10*100)</f>
        <v>6.0305832899932597E-2</v>
      </c>
      <c r="D29" s="235" t="s">
        <v>647</v>
      </c>
      <c r="F29" s="6"/>
    </row>
    <row r="30" spans="1:18">
      <c r="A30" s="230" t="s">
        <v>49</v>
      </c>
      <c r="B30" s="33">
        <f>IF(ISERROR(TER_ander_ele_kWh/1000),0,TER_ander_ele_kWh/1000)</f>
        <v>2799.5740000000001</v>
      </c>
      <c r="C30" s="39">
        <f>IF(ISERROR(B30*3.6/1000000/'E Balans VL '!Z14*100),0,B30*3.6/1000000/'E Balans VL '!Z14*100)</f>
        <v>0.20200446477063796</v>
      </c>
      <c r="D30" s="235" t="s">
        <v>647</v>
      </c>
      <c r="F30" s="6"/>
    </row>
    <row r="31" spans="1:18">
      <c r="A31" s="230" t="s">
        <v>54</v>
      </c>
      <c r="B31" s="33">
        <f>IF(ISERROR(TER_onderwijs_ele_kWh/1000),0,TER_onderwijs_ele_kWh/1000)</f>
        <v>416.20100000000002</v>
      </c>
      <c r="C31" s="39">
        <f>IF(ISERROR(B31*3.6/1000000/'E Balans VL '!Z11*100),0,B31*3.6/1000000/'E Balans VL '!Z11*100)</f>
        <v>0.11536762042854941</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4860.4399999999996</v>
      </c>
      <c r="C5" s="17">
        <f>IF(ISERROR('Eigen informatie GS &amp; warmtenet'!B59),0,'Eigen informatie GS &amp; warmtenet'!B59)</f>
        <v>0</v>
      </c>
      <c r="D5" s="30">
        <f>SUM(D6:D15)</f>
        <v>5717.161032</v>
      </c>
      <c r="E5" s="17">
        <f>SUM(E6:E15)</f>
        <v>764.83440082136735</v>
      </c>
      <c r="F5" s="17">
        <f>SUM(F6:F15)</f>
        <v>2711.0252792645506</v>
      </c>
      <c r="G5" s="18"/>
      <c r="H5" s="17"/>
      <c r="I5" s="17"/>
      <c r="J5" s="17">
        <f>SUM(J6:J15)</f>
        <v>5.6579246102951934</v>
      </c>
      <c r="K5" s="17"/>
      <c r="L5" s="17"/>
      <c r="M5" s="17"/>
      <c r="N5" s="17">
        <f>SUM(N6:N15)</f>
        <v>388.04988339043695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447.46800000000002</v>
      </c>
      <c r="C8" s="33"/>
      <c r="D8" s="37">
        <f>IF( ISERROR(IND_metaal_Gas_kWH/1000),0,IND_metaal_Gas_kWH/1000)*0.902</f>
        <v>519.11362800000006</v>
      </c>
      <c r="E8" s="33">
        <f>C30*'E Balans VL '!I18/100/3.6*1000000</f>
        <v>12.852960548822466</v>
      </c>
      <c r="F8" s="33">
        <f>C30*'E Balans VL '!L18/100/3.6*1000000+C30*'E Balans VL '!N18/100/3.6*1000000</f>
        <v>114.76693595357403</v>
      </c>
      <c r="G8" s="34"/>
      <c r="H8" s="33"/>
      <c r="I8" s="33"/>
      <c r="J8" s="40">
        <f>C30*'E Balans VL '!D18/100/3.6*1000000+C30*'E Balans VL '!E18/100/3.6*1000000</f>
        <v>0</v>
      </c>
      <c r="K8" s="33"/>
      <c r="L8" s="33"/>
      <c r="M8" s="33"/>
      <c r="N8" s="33">
        <f>C30*'E Balans VL '!Y18/100/3.6*1000000</f>
        <v>12.149669611598075</v>
      </c>
      <c r="O8" s="33"/>
      <c r="P8" s="33"/>
      <c r="R8" s="32"/>
    </row>
    <row r="9" spans="1:18">
      <c r="A9" s="6" t="s">
        <v>32</v>
      </c>
      <c r="B9" s="37">
        <f t="shared" si="0"/>
        <v>2535.915</v>
      </c>
      <c r="C9" s="33"/>
      <c r="D9" s="37">
        <f>IF( ISERROR(IND_andere_gas_kWh/1000),0,IND_andere_gas_kWh/1000)*0.902</f>
        <v>4067.4526420000002</v>
      </c>
      <c r="E9" s="33">
        <f>C31*'E Balans VL '!I19/100/3.6*1000000</f>
        <v>686.40983985532773</v>
      </c>
      <c r="F9" s="33">
        <f>C31*'E Balans VL '!L19/100/3.6*1000000+C31*'E Balans VL '!N19/100/3.6*1000000</f>
        <v>1689.1877458639233</v>
      </c>
      <c r="G9" s="34"/>
      <c r="H9" s="33"/>
      <c r="I9" s="33"/>
      <c r="J9" s="40">
        <f>C31*'E Balans VL '!D19/100/3.6*1000000+C31*'E Balans VL '!E19/100/3.6*1000000</f>
        <v>0</v>
      </c>
      <c r="K9" s="33"/>
      <c r="L9" s="33"/>
      <c r="M9" s="33"/>
      <c r="N9" s="33">
        <f>C31*'E Balans VL '!Y19/100/3.6*1000000</f>
        <v>214.39481473141123</v>
      </c>
      <c r="O9" s="33"/>
      <c r="P9" s="33"/>
      <c r="R9" s="32"/>
    </row>
    <row r="10" spans="1:18">
      <c r="A10" s="6" t="s">
        <v>40</v>
      </c>
      <c r="B10" s="37">
        <f t="shared" si="0"/>
        <v>314.16500000000002</v>
      </c>
      <c r="C10" s="33"/>
      <c r="D10" s="37">
        <f>IF( ISERROR(IND_voed_gas_kWh/1000),0,IND_voed_gas_kWh/1000)*0.902</f>
        <v>332.33919400000002</v>
      </c>
      <c r="E10" s="33">
        <f>C32*'E Balans VL '!I20/100/3.6*1000000</f>
        <v>25.624019175305929</v>
      </c>
      <c r="F10" s="33">
        <f>C32*'E Balans VL '!L20/100/3.6*1000000+C32*'E Balans VL '!N20/100/3.6*1000000</f>
        <v>468.44851854631759</v>
      </c>
      <c r="G10" s="34"/>
      <c r="H10" s="33"/>
      <c r="I10" s="33"/>
      <c r="J10" s="40">
        <f>C32*'E Balans VL '!D20/100/3.6*1000000+C32*'E Balans VL '!E20/100/3.6*1000000</f>
        <v>4.156021604847686E-3</v>
      </c>
      <c r="K10" s="33"/>
      <c r="L10" s="33"/>
      <c r="M10" s="33"/>
      <c r="N10" s="33">
        <f>C32*'E Balans VL '!Y20/100/3.6*1000000</f>
        <v>92.290591312495962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764.40099999999995</v>
      </c>
      <c r="C12" s="33"/>
      <c r="D12" s="37">
        <f>IF( ISERROR(IND_min_gas_kWh/1000),0,IND_min_gas_kWh/1000)*0.902</f>
        <v>555.989192</v>
      </c>
      <c r="E12" s="33">
        <f>C34*'E Balans VL '!I22/100/3.6*1000000</f>
        <v>5.9545172341116412</v>
      </c>
      <c r="F12" s="33">
        <f>C34*'E Balans VL '!L22/100/3.6*1000000+C34*'E Balans VL '!N22/100/3.6*1000000</f>
        <v>288.28508332386235</v>
      </c>
      <c r="G12" s="34"/>
      <c r="H12" s="33"/>
      <c r="I12" s="33"/>
      <c r="J12" s="40">
        <f>C34*'E Balans VL '!D22/100/3.6*1000000+C34*'E Balans VL '!E22/100/3.6*1000000</f>
        <v>4.2041386661828355</v>
      </c>
      <c r="K12" s="33"/>
      <c r="L12" s="33"/>
      <c r="M12" s="33"/>
      <c r="N12" s="33">
        <f>C34*'E Balans VL '!Y22/100/3.6*1000000</f>
        <v>0</v>
      </c>
      <c r="O12" s="33"/>
      <c r="P12" s="33"/>
      <c r="R12" s="32"/>
    </row>
    <row r="13" spans="1:18">
      <c r="A13" s="6" t="s">
        <v>38</v>
      </c>
      <c r="B13" s="37">
        <f t="shared" si="0"/>
        <v>232.90600000000001</v>
      </c>
      <c r="C13" s="33"/>
      <c r="D13" s="37">
        <f>IF( ISERROR(IND_papier_gas_kWh/1000),0,IND_papier_gas_kWh/1000)*0.902</f>
        <v>242.26637600000004</v>
      </c>
      <c r="E13" s="33">
        <f>C35*'E Balans VL '!I23/100/3.6*1000000</f>
        <v>2.4401146529499602</v>
      </c>
      <c r="F13" s="33">
        <f>C35*'E Balans VL '!L23/100/3.6*1000000+C35*'E Balans VL '!N23/100/3.6*1000000</f>
        <v>17.379487001664565</v>
      </c>
      <c r="G13" s="34"/>
      <c r="H13" s="33"/>
      <c r="I13" s="33"/>
      <c r="J13" s="40">
        <f>C35*'E Balans VL '!D23/100/3.6*1000000+C35*'E Balans VL '!E23/100/3.6*1000000</f>
        <v>0</v>
      </c>
      <c r="K13" s="33"/>
      <c r="L13" s="33"/>
      <c r="M13" s="33"/>
      <c r="N13" s="33">
        <f>C35*'E Balans VL '!Y23/100/3.6*1000000</f>
        <v>42.9661209943337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565.58500000000004</v>
      </c>
      <c r="C15" s="33"/>
      <c r="D15" s="37">
        <f>IF( ISERROR(IND_rest_gas_kWh/1000),0,IND_rest_gas_kWh/1000)*0.902</f>
        <v>0</v>
      </c>
      <c r="E15" s="33">
        <f>C37*'E Balans VL '!I15/100/3.6*1000000</f>
        <v>31.552949354849588</v>
      </c>
      <c r="F15" s="33">
        <f>C37*'E Balans VL '!L15/100/3.6*1000000+C37*'E Balans VL '!N15/100/3.6*1000000</f>
        <v>132.95750857520918</v>
      </c>
      <c r="G15" s="34"/>
      <c r="H15" s="33"/>
      <c r="I15" s="33"/>
      <c r="J15" s="40">
        <f>C37*'E Balans VL '!D15/100/3.6*1000000+C37*'E Balans VL '!E15/100/3.6*1000000</f>
        <v>1.4496299225075107</v>
      </c>
      <c r="K15" s="33"/>
      <c r="L15" s="33"/>
      <c r="M15" s="33"/>
      <c r="N15" s="33">
        <f>C37*'E Balans VL '!Y15/100/3.6*1000000</f>
        <v>26.24868674059794</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4860.4399999999996</v>
      </c>
      <c r="C18" s="21">
        <f>C5+C16</f>
        <v>0</v>
      </c>
      <c r="D18" s="21">
        <f>MAX((D5+D16),0)</f>
        <v>5717.161032</v>
      </c>
      <c r="E18" s="21">
        <f>MAX((E5+E16),0)</f>
        <v>764.83440082136735</v>
      </c>
      <c r="F18" s="21">
        <f>MAX((F5+F16),0)</f>
        <v>2711.0252792645506</v>
      </c>
      <c r="G18" s="21"/>
      <c r="H18" s="21"/>
      <c r="I18" s="21"/>
      <c r="J18" s="21">
        <f>MAX((J5+J16),0)</f>
        <v>5.6579246102951934</v>
      </c>
      <c r="K18" s="21"/>
      <c r="L18" s="21">
        <f>MAX((L5+L16),0)</f>
        <v>0</v>
      </c>
      <c r="M18" s="21"/>
      <c r="N18" s="21">
        <f>MAX((N5+N16),0)</f>
        <v>388.04988339043695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6.1491961720387421E-2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298.87799042423984</v>
      </c>
      <c r="C22" s="23">
        <f ca="1">C18*C20</f>
        <v>0</v>
      </c>
      <c r="D22" s="23">
        <f>D18*D20</f>
        <v>1154.8665284640001</v>
      </c>
      <c r="E22" s="23">
        <f>E18*E20</f>
        <v>173.61740898645039</v>
      </c>
      <c r="F22" s="23">
        <f>F18*F20</f>
        <v>723.84374956363501</v>
      </c>
      <c r="G22" s="23"/>
      <c r="H22" s="23"/>
      <c r="I22" s="23"/>
      <c r="J22" s="23">
        <f>J18*J20</f>
        <v>2.0029053120444984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447.46800000000002</v>
      </c>
      <c r="C30" s="39">
        <f>IF(ISERROR(B30*3.6/1000000/'E Balans VL '!Z18*100),0,B30*3.6/1000000/'E Balans VL '!Z18*100)</f>
        <v>4.4029708935875753E-2</v>
      </c>
      <c r="D30" s="235" t="s">
        <v>647</v>
      </c>
    </row>
    <row r="31" spans="1:18">
      <c r="A31" s="6" t="s">
        <v>32</v>
      </c>
      <c r="B31" s="37">
        <f>IF( ISERROR(IND_ander_ele_kWh/1000),0,IND_ander_ele_kWh/1000)</f>
        <v>2535.915</v>
      </c>
      <c r="C31" s="39">
        <f>IF(ISERROR(B31*3.6/1000000/'E Balans VL '!Z19*100),0,B31*3.6/1000000/'E Balans VL '!Z19*100)</f>
        <v>0.11043707537053116</v>
      </c>
      <c r="D31" s="235" t="s">
        <v>647</v>
      </c>
    </row>
    <row r="32" spans="1:18">
      <c r="A32" s="170" t="s">
        <v>40</v>
      </c>
      <c r="B32" s="37">
        <f>IF( ISERROR(IND_voed_ele_kWh/1000),0,IND_voed_ele_kWh/1000)</f>
        <v>314.16500000000002</v>
      </c>
      <c r="C32" s="39">
        <f>IF(ISERROR(B32*3.6/1000000/'E Balans VL '!Z20*100),0,B32*3.6/1000000/'E Balans VL '!Z20*100)</f>
        <v>5.9608277997813063E-2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764.40099999999995</v>
      </c>
      <c r="C34" s="39">
        <f>IF(ISERROR(B34*3.6/1000000/'E Balans VL '!Z22*100),0,B34*3.6/1000000/'E Balans VL '!Z22*100)</f>
        <v>0.10748245647558777</v>
      </c>
      <c r="D34" s="235" t="s">
        <v>647</v>
      </c>
    </row>
    <row r="35" spans="1:5">
      <c r="A35" s="170" t="s">
        <v>38</v>
      </c>
      <c r="B35" s="37">
        <f>IF( ISERROR(IND_papier_ele_kWh/1000),0,IND_papier_ele_kWh/1000)</f>
        <v>232.90600000000001</v>
      </c>
      <c r="C35" s="39">
        <f>IF(ISERROR(B35*3.6/1000000/'E Balans VL '!Z22*100),0,B35*3.6/1000000/'E Balans VL '!Z22*100)</f>
        <v>3.274892236915343E-2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565.58500000000004</v>
      </c>
      <c r="C37" s="39">
        <f>IF(ISERROR(B37*3.6/1000000/'E Balans VL '!Z15*100),0,B37*3.6/1000000/'E Balans VL '!Z15*100)</f>
        <v>4.358527106573703E-3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2561.527</v>
      </c>
      <c r="C5" s="17">
        <f>'Eigen informatie GS &amp; warmtenet'!B60</f>
        <v>0</v>
      </c>
      <c r="D5" s="30">
        <f>IF(ISERROR(SUM(LB_lb_gas_kWh,LB_rest_gas_kWh)/1000),0,SUM(LB_lb_gas_kWh,LB_rest_gas_kWh)/1000)*0.902</f>
        <v>1484.6018000000001</v>
      </c>
      <c r="E5" s="17">
        <f>B17*'E Balans VL '!I25/3.6*1000000/100</f>
        <v>53.189365712943271</v>
      </c>
      <c r="F5" s="17">
        <f>B17*('E Balans VL '!L25/3.6*1000000+'E Balans VL '!N25/3.6*1000000)/100</f>
        <v>9052.5017806872493</v>
      </c>
      <c r="G5" s="18"/>
      <c r="H5" s="17"/>
      <c r="I5" s="17"/>
      <c r="J5" s="17">
        <f>('E Balans VL '!D25+'E Balans VL '!E25)/3.6*1000000*landbouw!B17/100</f>
        <v>293.79094567634883</v>
      </c>
      <c r="K5" s="17"/>
      <c r="L5" s="17">
        <f>L6*(-1)</f>
        <v>1012.5</v>
      </c>
      <c r="M5" s="17"/>
      <c r="N5" s="17">
        <f>N6*(-1)</f>
        <v>114.32142857142857</v>
      </c>
      <c r="O5" s="17"/>
      <c r="P5" s="17"/>
      <c r="R5" s="32"/>
    </row>
    <row r="6" spans="1:18">
      <c r="A6" s="16" t="s">
        <v>483</v>
      </c>
      <c r="B6" s="17" t="s">
        <v>204</v>
      </c>
      <c r="C6" s="17">
        <f>'lokale energieproductie'!O40+'lokale energieproductie'!O33</f>
        <v>57.160714285714278</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-1012.5</v>
      </c>
      <c r="M6" s="246"/>
      <c r="N6" s="978">
        <f>('lokale energieproductie'!V33+'lokale energieproductie'!R33+'lokale energieproductie'!Q33+'lokale energieproductie'!Q40+'lokale energieproductie'!R40+'lokale energieproductie'!V40)*(-1)</f>
        <v>-114.32142857142857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2561.527</v>
      </c>
      <c r="C8" s="21">
        <f>C5+C6</f>
        <v>57.160714285714278</v>
      </c>
      <c r="D8" s="21">
        <f>MAX((D5+D6),0)</f>
        <v>1484.6018000000001</v>
      </c>
      <c r="E8" s="21">
        <f>MAX((E5+E6),0)</f>
        <v>53.189365712943271</v>
      </c>
      <c r="F8" s="21">
        <f>MAX((F5+F6),0)</f>
        <v>9052.5017806872493</v>
      </c>
      <c r="G8" s="21"/>
      <c r="H8" s="21"/>
      <c r="I8" s="21"/>
      <c r="J8" s="21">
        <f>MAX((J5+J6),0)</f>
        <v>293.79094567634883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6.1491961720387421E-2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157.51332022973884</v>
      </c>
      <c r="C12" s="23">
        <f ca="1">C8*C10</f>
        <v>0</v>
      </c>
      <c r="D12" s="23">
        <f>D8*D10</f>
        <v>299.88956360000003</v>
      </c>
      <c r="E12" s="23">
        <f>E8*E10</f>
        <v>12.073986016838123</v>
      </c>
      <c r="F12" s="23">
        <f>F8*F10</f>
        <v>2417.0179754434957</v>
      </c>
      <c r="G12" s="23"/>
      <c r="H12" s="23"/>
      <c r="I12" s="23"/>
      <c r="J12" s="23">
        <f>J8*J10</f>
        <v>104.00199476942748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0.35725228185530744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438.1689631946831</v>
      </c>
      <c r="C26" s="245">
        <f>B26*'GWP N2O_CH4'!B5</f>
        <v>9201.5482270883458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184.81658221386394</v>
      </c>
      <c r="C27" s="245">
        <f>B27*'GWP N2O_CH4'!B5</f>
        <v>3881.1482264911429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6.6130800084425978</v>
      </c>
      <c r="C28" s="245">
        <f>B28*'GWP N2O_CH4'!B4</f>
        <v>2050.0548026172055</v>
      </c>
      <c r="D28" s="50"/>
    </row>
    <row r="29" spans="1:4">
      <c r="A29" s="41" t="s">
        <v>266</v>
      </c>
      <c r="B29" s="245">
        <f>B34*'ha_N2O bodem landbouw'!B4</f>
        <v>18.787192587009951</v>
      </c>
      <c r="C29" s="245">
        <f>B29*'GWP N2O_CH4'!B4</f>
        <v>5824.0297019730851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4.6909742621085585E-3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4.2711772591645626E-5</v>
      </c>
      <c r="C5" s="434" t="s">
        <v>204</v>
      </c>
      <c r="D5" s="419">
        <f>SUM(D6:D11)</f>
        <v>3.610923892139437E-5</v>
      </c>
      <c r="E5" s="419">
        <f>SUM(E6:E11)</f>
        <v>1.475060213837142E-3</v>
      </c>
      <c r="F5" s="432" t="s">
        <v>204</v>
      </c>
      <c r="G5" s="419">
        <f>SUM(G6:G11)</f>
        <v>0.53941080887830983</v>
      </c>
      <c r="H5" s="419">
        <f>SUM(H6:H11)</f>
        <v>6.8389202422967463E-2</v>
      </c>
      <c r="I5" s="434" t="s">
        <v>204</v>
      </c>
      <c r="J5" s="434" t="s">
        <v>204</v>
      </c>
      <c r="K5" s="434" t="s">
        <v>204</v>
      </c>
      <c r="L5" s="434" t="s">
        <v>204</v>
      </c>
      <c r="M5" s="419">
        <f>SUM(M6:M11)</f>
        <v>2.7472369617035815E-2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1.2385620035461394E-5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1.0986143358803543E-5</v>
      </c>
      <c r="E6" s="836">
        <f>vkm_GW_PW*SUMIFS(TableVerdeelsleutelVkm[LPG],TableVerdeelsleutelVkm[Voertuigtype],"Lichte voertuigen")*SUMIFS(TableECFTransport[EnergieConsumptieFactor (PJ per km)],TableECFTransport[Index],CONCATENATE($A6,"_LPG_LPG"))</f>
        <v>3.9450334084260093E-4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7.8425067222317429E-2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2.0244953856627314E-2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4.4638503970112478E-3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3.1888985071300905E-7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4.9901520190148749E-2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1.3126888966480983E-6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2.2531385131555866E-3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2.5190151768586432E-6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3.5153482153797555E-6</v>
      </c>
      <c r="E8" s="422">
        <f>vkm_NGW_PW*SUMIFS(TableVerdeelsleutelVkm[LPG],TableVerdeelsleutelVkm[Voertuigtype],"Lichte voertuigen")*SUMIFS(TableECFTransport[EnergieConsumptieFactor (PJ per km)],TableECFTransport[Index],CONCATENATE($A8,"_LPG_LPG"))</f>
        <v>1.1984349487048843E-4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2.2476466536243123E-2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6.2092467097651883E-3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1.2978885209279515E-3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4.2336745000565353E-8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8.5100202665069555E-3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2.1035605896764888E-7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3.8424127390585737E-4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2.6069736848645112E-5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2.1607747347211072E-5</v>
      </c>
      <c r="E10" s="422">
        <f>vkm_SW_PW*SUMIFS(TableVerdeelsleutelVkm[LPG],TableVerdeelsleutelVkm[Voertuigtype],"Lichte voertuigen")*SUMIFS(TableECFTransport[EnergieConsumptieFactor (PJ per km)],TableECFTransport[Index],CONCATENATE($A10,"_LPG_LPG"))</f>
        <v>9.6071337812405266E-4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0.17491354058998448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4.1927648055430776E-2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9.808815804121027E-3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1.3761739349668993E-6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0.20518419407310906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5.8307561885740749E-6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9.2644351079141443E-3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11.864381275457118</v>
      </c>
      <c r="C14" s="21"/>
      <c r="D14" s="21">
        <f t="shared" ref="D14:M14" si="0">((D5)*10^9/3600)+D12</f>
        <v>10.030344144831769</v>
      </c>
      <c r="E14" s="21">
        <f t="shared" si="0"/>
        <v>409.738948288095</v>
      </c>
      <c r="F14" s="21"/>
      <c r="G14" s="21">
        <f t="shared" si="0"/>
        <v>149836.33579953053</v>
      </c>
      <c r="H14" s="21">
        <f t="shared" si="0"/>
        <v>18997.000673046517</v>
      </c>
      <c r="I14" s="21"/>
      <c r="J14" s="21"/>
      <c r="K14" s="21"/>
      <c r="L14" s="21"/>
      <c r="M14" s="21">
        <f t="shared" si="0"/>
        <v>7631.213782509948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6.1491961720387421E-2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0.72956407922649036</v>
      </c>
      <c r="C18" s="23"/>
      <c r="D18" s="23">
        <f t="shared" ref="D18:M18" si="1">D14*D16</f>
        <v>2.0261295172560176</v>
      </c>
      <c r="E18" s="23">
        <f t="shared" si="1"/>
        <v>93.01074126139757</v>
      </c>
      <c r="F18" s="23"/>
      <c r="G18" s="23">
        <f t="shared" si="1"/>
        <v>40006.301658474651</v>
      </c>
      <c r="H18" s="23">
        <f t="shared" si="1"/>
        <v>4730.253167588583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2.5259116055807505E-5</v>
      </c>
      <c r="C50" s="316">
        <f t="shared" ref="C50:P50" si="2">SUM(C51:C52)</f>
        <v>0</v>
      </c>
      <c r="D50" s="316">
        <f t="shared" si="2"/>
        <v>0</v>
      </c>
      <c r="E50" s="316">
        <f t="shared" si="2"/>
        <v>0</v>
      </c>
      <c r="F50" s="316">
        <f t="shared" si="2"/>
        <v>0</v>
      </c>
      <c r="G50" s="316">
        <f t="shared" si="2"/>
        <v>4.9165440142565839E-3</v>
      </c>
      <c r="H50" s="316">
        <f t="shared" si="2"/>
        <v>0</v>
      </c>
      <c r="I50" s="316">
        <f t="shared" si="2"/>
        <v>0</v>
      </c>
      <c r="J50" s="316">
        <f t="shared" si="2"/>
        <v>0</v>
      </c>
      <c r="K50" s="316">
        <f t="shared" si="2"/>
        <v>0</v>
      </c>
      <c r="L50" s="316">
        <f t="shared" si="2"/>
        <v>0</v>
      </c>
      <c r="M50" s="316">
        <f t="shared" si="2"/>
        <v>2.2046196480070485E-4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2.5259116055807505E-5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4.9165440142565839E-3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2.2046196480070485E-4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7.0164211266131957</v>
      </c>
      <c r="C54" s="21">
        <f t="shared" ref="C54:P54" si="3">(C50)*10^9/3600</f>
        <v>0</v>
      </c>
      <c r="D54" s="21">
        <f t="shared" si="3"/>
        <v>0</v>
      </c>
      <c r="E54" s="21">
        <f t="shared" si="3"/>
        <v>0</v>
      </c>
      <c r="F54" s="21">
        <f t="shared" si="3"/>
        <v>0</v>
      </c>
      <c r="G54" s="21">
        <f t="shared" si="3"/>
        <v>1365.7066706268288</v>
      </c>
      <c r="H54" s="21">
        <f t="shared" si="3"/>
        <v>0</v>
      </c>
      <c r="I54" s="21">
        <f t="shared" si="3"/>
        <v>0</v>
      </c>
      <c r="J54" s="21">
        <f t="shared" si="3"/>
        <v>0</v>
      </c>
      <c r="K54" s="21">
        <f t="shared" si="3"/>
        <v>0</v>
      </c>
      <c r="L54" s="21">
        <f t="shared" si="3"/>
        <v>0</v>
      </c>
      <c r="M54" s="21">
        <f t="shared" si="3"/>
        <v>61.239434666862458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6.1491961720387421E-2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0.4314534993318162</v>
      </c>
      <c r="C58" s="23">
        <f t="shared" ref="C58:P58" ca="1" si="4">C54*C56</f>
        <v>0</v>
      </c>
      <c r="D58" s="23">
        <f t="shared" si="4"/>
        <v>0</v>
      </c>
      <c r="E58" s="23">
        <f t="shared" si="4"/>
        <v>0</v>
      </c>
      <c r="F58" s="23">
        <f t="shared" si="4"/>
        <v>0</v>
      </c>
      <c r="G58" s="23">
        <f t="shared" si="4"/>
        <v>364.64368105736332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25394.132829999999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4677.0055104904595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538.76250000000005</v>
      </c>
      <c r="C8" s="546">
        <f>B49</f>
        <v>0</v>
      </c>
      <c r="D8" s="963"/>
      <c r="E8" s="963">
        <f>E49</f>
        <v>0</v>
      </c>
      <c r="F8" s="964"/>
      <c r="G8" s="547"/>
      <c r="H8" s="963">
        <f>I49</f>
        <v>0</v>
      </c>
      <c r="I8" s="963">
        <f>G49+F49</f>
        <v>0</v>
      </c>
      <c r="J8" s="963">
        <f>H49+D49+C49</f>
        <v>633.83823529411779</v>
      </c>
      <c r="K8" s="963"/>
      <c r="L8" s="963"/>
      <c r="M8" s="963"/>
      <c r="N8" s="548"/>
      <c r="O8" s="549">
        <f>C8*$C$12+D8*$D$12+E8*$E$12+F8*$F$12+G8*$G$12+H8*$H$12+I8*$I$12+J8*$J$12</f>
        <v>0</v>
      </c>
      <c r="P8" s="1206"/>
      <c r="Q8" s="1207"/>
      <c r="S8" s="975"/>
      <c r="T8" s="1227"/>
      <c r="U8" s="1227"/>
    </row>
    <row r="9" spans="1:21" s="534" customFormat="1" ht="17.45" customHeight="1" thickBot="1">
      <c r="A9" s="550" t="s">
        <v>237</v>
      </c>
      <c r="B9" s="551">
        <f>N37+'Eigen informatie GS &amp; warmtenet'!B12</f>
        <v>405</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1012.5</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31014.90084049046</v>
      </c>
      <c r="C10" s="559">
        <f t="shared" ref="C10:L10" si="0">SUM(C8:C9)</f>
        <v>0</v>
      </c>
      <c r="D10" s="559">
        <f t="shared" si="0"/>
        <v>0</v>
      </c>
      <c r="E10" s="559">
        <f t="shared" si="0"/>
        <v>0</v>
      </c>
      <c r="F10" s="559">
        <f t="shared" si="0"/>
        <v>0</v>
      </c>
      <c r="G10" s="559">
        <f t="shared" si="0"/>
        <v>0</v>
      </c>
      <c r="H10" s="559">
        <f t="shared" si="0"/>
        <v>0</v>
      </c>
      <c r="I10" s="559">
        <f t="shared" si="0"/>
        <v>1012.5</v>
      </c>
      <c r="J10" s="559">
        <f t="shared" si="0"/>
        <v>633.83823529411779</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769.66071428571422</v>
      </c>
      <c r="C17" s="571">
        <f>B50</f>
        <v>0</v>
      </c>
      <c r="D17" s="572"/>
      <c r="E17" s="572">
        <f>E50</f>
        <v>0</v>
      </c>
      <c r="F17" s="969"/>
      <c r="G17" s="573"/>
      <c r="H17" s="571">
        <f>I50</f>
        <v>0</v>
      </c>
      <c r="I17" s="572">
        <f>G50+F50</f>
        <v>0</v>
      </c>
      <c r="J17" s="572">
        <f>H50+D50+C50</f>
        <v>905.48319327731087</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769.66071428571422</v>
      </c>
      <c r="C20" s="558">
        <f>SUM(C17:C19)</f>
        <v>0</v>
      </c>
      <c r="D20" s="558">
        <f t="shared" ref="D20:L20" si="1">SUM(D17:D19)</f>
        <v>0</v>
      </c>
      <c r="E20" s="558">
        <f t="shared" si="1"/>
        <v>0</v>
      </c>
      <c r="F20" s="558">
        <f t="shared" si="1"/>
        <v>0</v>
      </c>
      <c r="G20" s="558">
        <f t="shared" si="1"/>
        <v>0</v>
      </c>
      <c r="H20" s="558">
        <f t="shared" si="1"/>
        <v>0</v>
      </c>
      <c r="I20" s="558">
        <f t="shared" si="1"/>
        <v>0</v>
      </c>
      <c r="J20" s="558">
        <f t="shared" si="1"/>
        <v>905.48319327731087</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35005</v>
      </c>
      <c r="C28" s="741">
        <v>8470</v>
      </c>
      <c r="D28" s="630"/>
      <c r="E28" s="629"/>
      <c r="F28" s="629"/>
      <c r="G28" s="629" t="s">
        <v>908</v>
      </c>
      <c r="H28" s="629" t="s">
        <v>909</v>
      </c>
      <c r="I28" s="629"/>
      <c r="J28" s="740"/>
      <c r="K28" s="740"/>
      <c r="L28" s="629" t="s">
        <v>910</v>
      </c>
      <c r="M28" s="629">
        <v>9.6999999999999993</v>
      </c>
      <c r="N28" s="629">
        <v>40.012499999999996</v>
      </c>
      <c r="O28" s="629">
        <v>57.160714285714278</v>
      </c>
      <c r="P28" s="629">
        <v>0</v>
      </c>
      <c r="Q28" s="629">
        <v>114.32142857142857</v>
      </c>
      <c r="R28" s="629">
        <v>0</v>
      </c>
      <c r="S28" s="629">
        <v>0</v>
      </c>
      <c r="T28" s="629">
        <v>0</v>
      </c>
      <c r="U28" s="629">
        <v>0</v>
      </c>
      <c r="V28" s="629">
        <v>0</v>
      </c>
      <c r="W28" s="629">
        <v>0</v>
      </c>
      <c r="X28" s="629"/>
      <c r="Y28" s="629">
        <v>10</v>
      </c>
      <c r="Z28" s="629" t="s">
        <v>105</v>
      </c>
      <c r="AA28" s="631" t="s">
        <v>105</v>
      </c>
    </row>
    <row r="29" spans="1:27" s="583" customFormat="1" ht="25.5" hidden="1">
      <c r="A29" s="582"/>
      <c r="B29" s="741">
        <v>35005</v>
      </c>
      <c r="C29" s="741">
        <v>8470</v>
      </c>
      <c r="D29" s="630"/>
      <c r="E29" s="629"/>
      <c r="F29" s="629"/>
      <c r="G29" s="629" t="s">
        <v>908</v>
      </c>
      <c r="H29" s="629" t="s">
        <v>909</v>
      </c>
      <c r="I29" s="629"/>
      <c r="J29" s="740"/>
      <c r="K29" s="740"/>
      <c r="L29" s="629" t="s">
        <v>910</v>
      </c>
      <c r="M29" s="629">
        <v>190</v>
      </c>
      <c r="N29" s="629">
        <v>498.75</v>
      </c>
      <c r="O29" s="629">
        <v>712.5</v>
      </c>
      <c r="P29" s="629">
        <v>0</v>
      </c>
      <c r="Q29" s="629">
        <v>1425</v>
      </c>
      <c r="R29" s="629">
        <v>0</v>
      </c>
      <c r="S29" s="629">
        <v>0</v>
      </c>
      <c r="T29" s="629">
        <v>0</v>
      </c>
      <c r="U29" s="629">
        <v>0</v>
      </c>
      <c r="V29" s="629">
        <v>0</v>
      </c>
      <c r="W29" s="629">
        <v>0</v>
      </c>
      <c r="X29" s="629"/>
      <c r="Y29" s="629">
        <v>1600</v>
      </c>
      <c r="Z29" s="629" t="s">
        <v>53</v>
      </c>
      <c r="AA29" s="631" t="s">
        <v>149</v>
      </c>
    </row>
    <row r="30" spans="1:27" s="566" customFormat="1" hidden="1">
      <c r="A30" s="585" t="s">
        <v>269</v>
      </c>
      <c r="B30" s="586"/>
      <c r="C30" s="586"/>
      <c r="D30" s="586"/>
      <c r="E30" s="586"/>
      <c r="F30" s="586"/>
      <c r="G30" s="586"/>
      <c r="H30" s="586"/>
      <c r="I30" s="586"/>
      <c r="J30" s="586"/>
      <c r="K30" s="586"/>
      <c r="L30" s="587"/>
      <c r="M30" s="587">
        <f>SUM(M28:M29)</f>
        <v>199.7</v>
      </c>
      <c r="N30" s="587">
        <f>SUM(N28:N29)</f>
        <v>538.76250000000005</v>
      </c>
      <c r="O30" s="587">
        <f>SUM(O28:O29)</f>
        <v>769.66071428571422</v>
      </c>
      <c r="P30" s="587">
        <f>SUM(P28:P29)</f>
        <v>0</v>
      </c>
      <c r="Q30" s="587">
        <f>SUM(Q28:Q29)</f>
        <v>1539.3214285714287</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190</v>
      </c>
      <c r="N32" s="587">
        <f ca="1">SUMIF($AA$28:AE29,"tertiair",N28:N29)</f>
        <v>498.75</v>
      </c>
      <c r="O32" s="587">
        <f ca="1">SUMIF($AA$28:AF29,"tertiair",O28:O29)</f>
        <v>712.5</v>
      </c>
      <c r="P32" s="587">
        <f ca="1">SUMIF($AA$28:AG29,"tertiair",P28:P29)</f>
        <v>0</v>
      </c>
      <c r="Q32" s="587">
        <f ca="1">SUMIF($AA$28:AH29,"tertiair",Q28:Q29)</f>
        <v>1425</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9.6999999999999993</v>
      </c>
      <c r="N33" s="592">
        <f>SUMIF($AA$28:$AA$29,"landbouw",N28:N29)</f>
        <v>40.012499999999996</v>
      </c>
      <c r="O33" s="592">
        <f>SUMIF($AA$28:$AA$29,"landbouw",O28:O29)</f>
        <v>57.160714285714278</v>
      </c>
      <c r="P33" s="592">
        <f>SUMIF($AA$28:$AA$29,"landbouw",P28:P29)</f>
        <v>0</v>
      </c>
      <c r="Q33" s="592">
        <f>SUMIF($AA$28:$AA$29,"landbouw",Q28:Q29)</f>
        <v>114.32142857142857</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38.25" hidden="1">
      <c r="A36" s="584"/>
      <c r="B36" s="741">
        <v>35005</v>
      </c>
      <c r="C36" s="741">
        <v>8470</v>
      </c>
      <c r="D36" s="632"/>
      <c r="E36" s="632"/>
      <c r="F36" s="632"/>
      <c r="G36" s="632" t="s">
        <v>911</v>
      </c>
      <c r="H36" s="632" t="s">
        <v>912</v>
      </c>
      <c r="I36" s="632"/>
      <c r="J36" s="740"/>
      <c r="K36" s="740"/>
      <c r="L36" s="632" t="s">
        <v>910</v>
      </c>
      <c r="M36" s="632">
        <v>90</v>
      </c>
      <c r="N36" s="632">
        <v>405</v>
      </c>
      <c r="O36" s="632">
        <v>0</v>
      </c>
      <c r="P36" s="632">
        <v>0</v>
      </c>
      <c r="Q36" s="632">
        <v>0</v>
      </c>
      <c r="R36" s="632">
        <v>0</v>
      </c>
      <c r="S36" s="632">
        <v>0</v>
      </c>
      <c r="T36" s="632">
        <v>0</v>
      </c>
      <c r="U36" s="632">
        <v>1012.5</v>
      </c>
      <c r="V36" s="632">
        <v>0</v>
      </c>
      <c r="W36" s="632">
        <v>0</v>
      </c>
      <c r="X36" s="632"/>
      <c r="Y36" s="632">
        <v>10</v>
      </c>
      <c r="Z36" s="632" t="s">
        <v>105</v>
      </c>
      <c r="AA36" s="633" t="s">
        <v>105</v>
      </c>
    </row>
    <row r="37" spans="1:28" s="566" customFormat="1" hidden="1">
      <c r="A37" s="585" t="s">
        <v>269</v>
      </c>
      <c r="B37" s="586"/>
      <c r="C37" s="586"/>
      <c r="D37" s="586"/>
      <c r="E37" s="586"/>
      <c r="F37" s="586"/>
      <c r="G37" s="586"/>
      <c r="H37" s="586"/>
      <c r="I37" s="586"/>
      <c r="J37" s="586"/>
      <c r="K37" s="586"/>
      <c r="L37" s="587"/>
      <c r="M37" s="587">
        <f>SUM(M36:M36)</f>
        <v>90</v>
      </c>
      <c r="N37" s="587">
        <f>SUM(N36:N36)</f>
        <v>405</v>
      </c>
      <c r="O37" s="587">
        <f>SUM(O36:O36)</f>
        <v>0</v>
      </c>
      <c r="P37" s="587">
        <f>SUM(P36:P36)</f>
        <v>0</v>
      </c>
      <c r="Q37" s="587">
        <f>SUM(Q36:Q36)</f>
        <v>0</v>
      </c>
      <c r="R37" s="587">
        <f>SUM(R36:R36)</f>
        <v>0</v>
      </c>
      <c r="S37" s="587">
        <f>SUM(S36:S36)</f>
        <v>0</v>
      </c>
      <c r="T37" s="587">
        <f>SUM(T36:T36)</f>
        <v>0</v>
      </c>
      <c r="U37" s="587">
        <f>SUM(U36:U36)</f>
        <v>1012.5</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90</v>
      </c>
      <c r="N40" s="592">
        <f>SUMIF($AA$36:$AA$38,"landbouw",N36:N38)</f>
        <v>405</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1012.5</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0.58823529411764697</v>
      </c>
      <c r="C46" s="612">
        <f>IF(ISERROR(N30/(O30+N30)),0,N30/(N30+O30))</f>
        <v>0.41176470588235298</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0</v>
      </c>
      <c r="C49" s="621">
        <f t="shared" si="2"/>
        <v>633.83823529411779</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0</v>
      </c>
      <c r="C50" s="624">
        <f t="shared" si="3"/>
        <v>905.48319327731087</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13088.009999999998</v>
      </c>
      <c r="D10" s="640">
        <f ca="1">tertiair!C16</f>
        <v>712.5</v>
      </c>
      <c r="E10" s="640">
        <f ca="1">tertiair!D16</f>
        <v>11813.521962000001</v>
      </c>
      <c r="F10" s="640">
        <f>tertiair!E16</f>
        <v>51.607146843851424</v>
      </c>
      <c r="G10" s="640">
        <f ca="1">tertiair!F16</f>
        <v>1480.8630215995008</v>
      </c>
      <c r="H10" s="640">
        <f>tertiair!G16</f>
        <v>0</v>
      </c>
      <c r="I10" s="640">
        <f>tertiair!H16</f>
        <v>0</v>
      </c>
      <c r="J10" s="640">
        <f>tertiair!I16</f>
        <v>0</v>
      </c>
      <c r="K10" s="640">
        <f>tertiair!J16</f>
        <v>22.52875152559232</v>
      </c>
      <c r="L10" s="640">
        <f>tertiair!K16</f>
        <v>0</v>
      </c>
      <c r="M10" s="640">
        <f ca="1">tertiair!L16</f>
        <v>0</v>
      </c>
      <c r="N10" s="640">
        <f>tertiair!M16</f>
        <v>0</v>
      </c>
      <c r="O10" s="640">
        <f ca="1">tertiair!N16</f>
        <v>277.40103406437538</v>
      </c>
      <c r="P10" s="640">
        <f>tertiair!O16</f>
        <v>1.5633333333333335</v>
      </c>
      <c r="Q10" s="641">
        <f>tertiair!P16</f>
        <v>19.066666666666666</v>
      </c>
      <c r="R10" s="643">
        <f ca="1">SUM(C10:Q10)</f>
        <v>27467.061916033319</v>
      </c>
      <c r="S10" s="67"/>
    </row>
    <row r="11" spans="1:19" s="444" customFormat="1">
      <c r="A11" s="754" t="s">
        <v>214</v>
      </c>
      <c r="B11" s="759"/>
      <c r="C11" s="640">
        <f>huishoudens!B8</f>
        <v>21881.463938335695</v>
      </c>
      <c r="D11" s="640">
        <f>huishoudens!C8</f>
        <v>0</v>
      </c>
      <c r="E11" s="640">
        <f>huishoudens!D8</f>
        <v>52212.221292000002</v>
      </c>
      <c r="F11" s="640">
        <f>huishoudens!E8</f>
        <v>884.98300824993817</v>
      </c>
      <c r="G11" s="640">
        <f>huishoudens!F8</f>
        <v>27120.722669370716</v>
      </c>
      <c r="H11" s="640">
        <f>huishoudens!G8</f>
        <v>0</v>
      </c>
      <c r="I11" s="640">
        <f>huishoudens!H8</f>
        <v>0</v>
      </c>
      <c r="J11" s="640">
        <f>huishoudens!I8</f>
        <v>0</v>
      </c>
      <c r="K11" s="640">
        <f>huishoudens!J8</f>
        <v>513.61248526954273</v>
      </c>
      <c r="L11" s="640">
        <f>huishoudens!K8</f>
        <v>0</v>
      </c>
      <c r="M11" s="640">
        <f>huishoudens!L8</f>
        <v>0</v>
      </c>
      <c r="N11" s="640">
        <f>huishoudens!M8</f>
        <v>0</v>
      </c>
      <c r="O11" s="640">
        <f>huishoudens!N8</f>
        <v>7421.6529367284074</v>
      </c>
      <c r="P11" s="640">
        <f>huishoudens!O8</f>
        <v>209.48666666666671</v>
      </c>
      <c r="Q11" s="641">
        <f>huishoudens!P8</f>
        <v>152.53333333333333</v>
      </c>
      <c r="R11" s="643">
        <f>SUM(C11:Q11)</f>
        <v>110396.67632995431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4860.4399999999996</v>
      </c>
      <c r="D13" s="640">
        <f>industrie!C18</f>
        <v>0</v>
      </c>
      <c r="E13" s="640">
        <f>industrie!D18</f>
        <v>5717.161032</v>
      </c>
      <c r="F13" s="640">
        <f>industrie!E18</f>
        <v>764.83440082136735</v>
      </c>
      <c r="G13" s="640">
        <f>industrie!F18</f>
        <v>2711.0252792645506</v>
      </c>
      <c r="H13" s="640">
        <f>industrie!G18</f>
        <v>0</v>
      </c>
      <c r="I13" s="640">
        <f>industrie!H18</f>
        <v>0</v>
      </c>
      <c r="J13" s="640">
        <f>industrie!I18</f>
        <v>0</v>
      </c>
      <c r="K13" s="640">
        <f>industrie!J18</f>
        <v>5.6579246102951934</v>
      </c>
      <c r="L13" s="640">
        <f>industrie!K18</f>
        <v>0</v>
      </c>
      <c r="M13" s="640">
        <f>industrie!L18</f>
        <v>0</v>
      </c>
      <c r="N13" s="640">
        <f>industrie!M18</f>
        <v>0</v>
      </c>
      <c r="O13" s="640">
        <f>industrie!N18</f>
        <v>388.04988339043695</v>
      </c>
      <c r="P13" s="640">
        <f>industrie!O18</f>
        <v>0</v>
      </c>
      <c r="Q13" s="641">
        <f>industrie!P18</f>
        <v>0</v>
      </c>
      <c r="R13" s="643">
        <f>SUM(C13:Q13)</f>
        <v>14447.16852008665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39829.913938335696</v>
      </c>
      <c r="D16" s="675">
        <f t="shared" ref="D16:R16" ca="1" si="0">SUM(D9:D15)</f>
        <v>712.5</v>
      </c>
      <c r="E16" s="675">
        <f t="shared" ca="1" si="0"/>
        <v>69742.904286000005</v>
      </c>
      <c r="F16" s="675">
        <f t="shared" si="0"/>
        <v>1701.4245559151568</v>
      </c>
      <c r="G16" s="675">
        <f t="shared" ca="1" si="0"/>
        <v>31312.610970234768</v>
      </c>
      <c r="H16" s="675">
        <f t="shared" si="0"/>
        <v>0</v>
      </c>
      <c r="I16" s="675">
        <f t="shared" si="0"/>
        <v>0</v>
      </c>
      <c r="J16" s="675">
        <f t="shared" si="0"/>
        <v>0</v>
      </c>
      <c r="K16" s="675">
        <f t="shared" si="0"/>
        <v>541.79916140543014</v>
      </c>
      <c r="L16" s="675">
        <f t="shared" si="0"/>
        <v>0</v>
      </c>
      <c r="M16" s="675">
        <f t="shared" ca="1" si="0"/>
        <v>0</v>
      </c>
      <c r="N16" s="675">
        <f t="shared" si="0"/>
        <v>0</v>
      </c>
      <c r="O16" s="675">
        <f t="shared" ca="1" si="0"/>
        <v>8087.1038541832195</v>
      </c>
      <c r="P16" s="675">
        <f t="shared" si="0"/>
        <v>211.05000000000004</v>
      </c>
      <c r="Q16" s="675">
        <f t="shared" si="0"/>
        <v>171.6</v>
      </c>
      <c r="R16" s="675">
        <f t="shared" ca="1" si="0"/>
        <v>152310.90676607427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7.0164211266131957</v>
      </c>
      <c r="D19" s="640">
        <f>transport!C54</f>
        <v>0</v>
      </c>
      <c r="E19" s="640">
        <f>transport!D54</f>
        <v>0</v>
      </c>
      <c r="F19" s="640">
        <f>transport!E54</f>
        <v>0</v>
      </c>
      <c r="G19" s="640">
        <f>transport!F54</f>
        <v>0</v>
      </c>
      <c r="H19" s="640">
        <f>transport!G54</f>
        <v>1365.7066706268288</v>
      </c>
      <c r="I19" s="640">
        <f>transport!H54</f>
        <v>0</v>
      </c>
      <c r="J19" s="640">
        <f>transport!I54</f>
        <v>0</v>
      </c>
      <c r="K19" s="640">
        <f>transport!J54</f>
        <v>0</v>
      </c>
      <c r="L19" s="640">
        <f>transport!K54</f>
        <v>0</v>
      </c>
      <c r="M19" s="640">
        <f>transport!L54</f>
        <v>0</v>
      </c>
      <c r="N19" s="640">
        <f>transport!M54</f>
        <v>61.239434666862458</v>
      </c>
      <c r="O19" s="640">
        <f>transport!N54</f>
        <v>0</v>
      </c>
      <c r="P19" s="640">
        <f>transport!O54</f>
        <v>0</v>
      </c>
      <c r="Q19" s="641">
        <f>transport!P54</f>
        <v>0</v>
      </c>
      <c r="R19" s="643">
        <f>SUM(C19:Q19)</f>
        <v>1433.9625264203046</v>
      </c>
      <c r="S19" s="67"/>
    </row>
    <row r="20" spans="1:19" s="444" customFormat="1">
      <c r="A20" s="754" t="s">
        <v>296</v>
      </c>
      <c r="B20" s="759"/>
      <c r="C20" s="640">
        <f>transport!B14</f>
        <v>11.864381275457118</v>
      </c>
      <c r="D20" s="640">
        <f>transport!C14</f>
        <v>0</v>
      </c>
      <c r="E20" s="640">
        <f>transport!D14</f>
        <v>10.030344144831769</v>
      </c>
      <c r="F20" s="640">
        <f>transport!E14</f>
        <v>409.738948288095</v>
      </c>
      <c r="G20" s="640">
        <f>transport!F14</f>
        <v>0</v>
      </c>
      <c r="H20" s="640">
        <f>transport!G14</f>
        <v>149836.33579953053</v>
      </c>
      <c r="I20" s="640">
        <f>transport!H14</f>
        <v>18997.000673046517</v>
      </c>
      <c r="J20" s="640">
        <f>transport!I14</f>
        <v>0</v>
      </c>
      <c r="K20" s="640">
        <f>transport!J14</f>
        <v>0</v>
      </c>
      <c r="L20" s="640">
        <f>transport!K14</f>
        <v>0</v>
      </c>
      <c r="M20" s="640">
        <f>transport!L14</f>
        <v>0</v>
      </c>
      <c r="N20" s="640">
        <f>transport!M14</f>
        <v>7631.213782509948</v>
      </c>
      <c r="O20" s="640">
        <f>transport!N14</f>
        <v>0</v>
      </c>
      <c r="P20" s="640">
        <f>transport!O14</f>
        <v>0</v>
      </c>
      <c r="Q20" s="641">
        <f>transport!P14</f>
        <v>0</v>
      </c>
      <c r="R20" s="643">
        <f>SUM(C20:Q20)</f>
        <v>176896.18392879536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18.880802402070316</v>
      </c>
      <c r="D22" s="757">
        <f t="shared" ref="D22:R22" si="1">SUM(D18:D21)</f>
        <v>0</v>
      </c>
      <c r="E22" s="757">
        <f t="shared" si="1"/>
        <v>10.030344144831769</v>
      </c>
      <c r="F22" s="757">
        <f t="shared" si="1"/>
        <v>409.738948288095</v>
      </c>
      <c r="G22" s="757">
        <f t="shared" si="1"/>
        <v>0</v>
      </c>
      <c r="H22" s="757">
        <f t="shared" si="1"/>
        <v>151202.04247015735</v>
      </c>
      <c r="I22" s="757">
        <f t="shared" si="1"/>
        <v>18997.000673046517</v>
      </c>
      <c r="J22" s="757">
        <f t="shared" si="1"/>
        <v>0</v>
      </c>
      <c r="K22" s="757">
        <f t="shared" si="1"/>
        <v>0</v>
      </c>
      <c r="L22" s="757">
        <f t="shared" si="1"/>
        <v>0</v>
      </c>
      <c r="M22" s="757">
        <f t="shared" si="1"/>
        <v>0</v>
      </c>
      <c r="N22" s="757">
        <f t="shared" si="1"/>
        <v>7692.4532171768105</v>
      </c>
      <c r="O22" s="757">
        <f t="shared" si="1"/>
        <v>0</v>
      </c>
      <c r="P22" s="757">
        <f t="shared" si="1"/>
        <v>0</v>
      </c>
      <c r="Q22" s="757">
        <f t="shared" si="1"/>
        <v>0</v>
      </c>
      <c r="R22" s="757">
        <f t="shared" si="1"/>
        <v>178330.14645521567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2561.527</v>
      </c>
      <c r="D24" s="640">
        <f>+landbouw!C8</f>
        <v>57.160714285714278</v>
      </c>
      <c r="E24" s="640">
        <f>+landbouw!D8</f>
        <v>1484.6018000000001</v>
      </c>
      <c r="F24" s="640">
        <f>+landbouw!E8</f>
        <v>53.189365712943271</v>
      </c>
      <c r="G24" s="640">
        <f>+landbouw!F8</f>
        <v>9052.5017806872493</v>
      </c>
      <c r="H24" s="640">
        <f>+landbouw!G8</f>
        <v>0</v>
      </c>
      <c r="I24" s="640">
        <f>+landbouw!H8</f>
        <v>0</v>
      </c>
      <c r="J24" s="640">
        <f>+landbouw!I8</f>
        <v>0</v>
      </c>
      <c r="K24" s="640">
        <f>+landbouw!J8</f>
        <v>293.79094567634883</v>
      </c>
      <c r="L24" s="640">
        <f>+landbouw!K8</f>
        <v>0</v>
      </c>
      <c r="M24" s="640">
        <f>+landbouw!L8</f>
        <v>0</v>
      </c>
      <c r="N24" s="640">
        <f>+landbouw!M8</f>
        <v>0</v>
      </c>
      <c r="O24" s="640">
        <f>+landbouw!N8</f>
        <v>0</v>
      </c>
      <c r="P24" s="640">
        <f>+landbouw!O8</f>
        <v>0</v>
      </c>
      <c r="Q24" s="641">
        <f>+landbouw!P8</f>
        <v>0</v>
      </c>
      <c r="R24" s="643">
        <f>SUM(C24:Q24)</f>
        <v>13502.771606362254</v>
      </c>
      <c r="S24" s="67"/>
    </row>
    <row r="25" spans="1:19" s="444" customFormat="1" ht="15" thickBot="1">
      <c r="A25" s="776" t="s">
        <v>806</v>
      </c>
      <c r="B25" s="939"/>
      <c r="C25" s="940">
        <f>IF(Onbekend_ele_kWh="---",0,Onbekend_ele_kWh)/1000+IF(REST_rest_ele_kWh="---",0,REST_rest_ele_kWh)/1000</f>
        <v>561.13699999999994</v>
      </c>
      <c r="D25" s="940"/>
      <c r="E25" s="940">
        <f>IF(onbekend_gas_kWh="---",0,onbekend_gas_kWh)/1000+IF(REST_rest_gas_kWh="---",0,REST_rest_gas_kWh)/1000</f>
        <v>3027.2550000000001</v>
      </c>
      <c r="F25" s="940"/>
      <c r="G25" s="940"/>
      <c r="H25" s="940"/>
      <c r="I25" s="940"/>
      <c r="J25" s="940"/>
      <c r="K25" s="940"/>
      <c r="L25" s="940"/>
      <c r="M25" s="940"/>
      <c r="N25" s="940"/>
      <c r="O25" s="940"/>
      <c r="P25" s="940"/>
      <c r="Q25" s="941"/>
      <c r="R25" s="643">
        <f>SUM(C25:Q25)</f>
        <v>3588.3919999999998</v>
      </c>
      <c r="S25" s="67"/>
    </row>
    <row r="26" spans="1:19" s="444" customFormat="1" ht="15.75" thickBot="1">
      <c r="A26" s="648" t="s">
        <v>807</v>
      </c>
      <c r="B26" s="762"/>
      <c r="C26" s="757">
        <f>SUM(C24:C25)</f>
        <v>3122.6639999999998</v>
      </c>
      <c r="D26" s="757">
        <f t="shared" ref="D26:R26" si="2">SUM(D24:D25)</f>
        <v>57.160714285714278</v>
      </c>
      <c r="E26" s="757">
        <f t="shared" si="2"/>
        <v>4511.8568000000005</v>
      </c>
      <c r="F26" s="757">
        <f t="shared" si="2"/>
        <v>53.189365712943271</v>
      </c>
      <c r="G26" s="757">
        <f t="shared" si="2"/>
        <v>9052.5017806872493</v>
      </c>
      <c r="H26" s="757">
        <f t="shared" si="2"/>
        <v>0</v>
      </c>
      <c r="I26" s="757">
        <f t="shared" si="2"/>
        <v>0</v>
      </c>
      <c r="J26" s="757">
        <f t="shared" si="2"/>
        <v>0</v>
      </c>
      <c r="K26" s="757">
        <f t="shared" si="2"/>
        <v>293.79094567634883</v>
      </c>
      <c r="L26" s="757">
        <f t="shared" si="2"/>
        <v>0</v>
      </c>
      <c r="M26" s="757">
        <f t="shared" si="2"/>
        <v>0</v>
      </c>
      <c r="N26" s="757">
        <f t="shared" si="2"/>
        <v>0</v>
      </c>
      <c r="O26" s="757">
        <f t="shared" si="2"/>
        <v>0</v>
      </c>
      <c r="P26" s="757">
        <f t="shared" si="2"/>
        <v>0</v>
      </c>
      <c r="Q26" s="757">
        <f t="shared" si="2"/>
        <v>0</v>
      </c>
      <c r="R26" s="757">
        <f t="shared" si="2"/>
        <v>17091.163606362254</v>
      </c>
      <c r="S26" s="67"/>
    </row>
    <row r="27" spans="1:19" s="444" customFormat="1" ht="17.25" thickTop="1" thickBot="1">
      <c r="A27" s="649" t="s">
        <v>109</v>
      </c>
      <c r="B27" s="749"/>
      <c r="C27" s="650">
        <f ca="1">C22+C16+C26</f>
        <v>42971.458740737762</v>
      </c>
      <c r="D27" s="650">
        <f t="shared" ref="D27:R27" ca="1" si="3">D22+D16+D26</f>
        <v>769.66071428571422</v>
      </c>
      <c r="E27" s="650">
        <f t="shared" ca="1" si="3"/>
        <v>74264.791430144833</v>
      </c>
      <c r="F27" s="650">
        <f t="shared" si="3"/>
        <v>2164.3528699161948</v>
      </c>
      <c r="G27" s="650">
        <f t="shared" ca="1" si="3"/>
        <v>40365.112750922017</v>
      </c>
      <c r="H27" s="650">
        <f t="shared" si="3"/>
        <v>151202.04247015735</v>
      </c>
      <c r="I27" s="650">
        <f t="shared" si="3"/>
        <v>18997.000673046517</v>
      </c>
      <c r="J27" s="650">
        <f t="shared" si="3"/>
        <v>0</v>
      </c>
      <c r="K27" s="650">
        <f t="shared" si="3"/>
        <v>835.59010708177902</v>
      </c>
      <c r="L27" s="650">
        <f t="shared" si="3"/>
        <v>0</v>
      </c>
      <c r="M27" s="650">
        <f t="shared" ca="1" si="3"/>
        <v>0</v>
      </c>
      <c r="N27" s="650">
        <f t="shared" si="3"/>
        <v>7692.4532171768105</v>
      </c>
      <c r="O27" s="650">
        <f t="shared" ca="1" si="3"/>
        <v>8087.1038541832195</v>
      </c>
      <c r="P27" s="650">
        <f t="shared" si="3"/>
        <v>211.05000000000004</v>
      </c>
      <c r="Q27" s="650">
        <f t="shared" si="3"/>
        <v>171.6</v>
      </c>
      <c r="R27" s="650">
        <f t="shared" ca="1" si="3"/>
        <v>347732.21682765218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804.80740991604773</v>
      </c>
      <c r="D40" s="640">
        <f ca="1">tertiair!C20</f>
        <v>0</v>
      </c>
      <c r="E40" s="640">
        <f ca="1">tertiair!D20</f>
        <v>2386.3314363240002</v>
      </c>
      <c r="F40" s="640">
        <f>tertiair!E20</f>
        <v>11.714822333554274</v>
      </c>
      <c r="G40" s="640">
        <f ca="1">tertiair!F20</f>
        <v>395.39042676706674</v>
      </c>
      <c r="H40" s="640">
        <f>tertiair!G20</f>
        <v>0</v>
      </c>
      <c r="I40" s="640">
        <f>tertiair!H20</f>
        <v>0</v>
      </c>
      <c r="J40" s="640">
        <f>tertiair!I20</f>
        <v>0</v>
      </c>
      <c r="K40" s="640">
        <f>tertiair!J20</f>
        <v>7.9751780400596806</v>
      </c>
      <c r="L40" s="640">
        <f>tertiair!K20</f>
        <v>0</v>
      </c>
      <c r="M40" s="640">
        <f ca="1">tertiair!L20</f>
        <v>0</v>
      </c>
      <c r="N40" s="640">
        <f>tertiair!M20</f>
        <v>0</v>
      </c>
      <c r="O40" s="640">
        <f ca="1">tertiair!N20</f>
        <v>0</v>
      </c>
      <c r="P40" s="640">
        <f>tertiair!O20</f>
        <v>0</v>
      </c>
      <c r="Q40" s="717">
        <f>tertiair!P20</f>
        <v>0</v>
      </c>
      <c r="R40" s="795">
        <f t="shared" ca="1" si="4"/>
        <v>3606.2192733807287</v>
      </c>
    </row>
    <row r="41" spans="1:18">
      <c r="A41" s="767" t="s">
        <v>214</v>
      </c>
      <c r="B41" s="774"/>
      <c r="C41" s="640">
        <f ca="1">huishoudens!B12</f>
        <v>1345.5341428821764</v>
      </c>
      <c r="D41" s="640">
        <f ca="1">huishoudens!C12</f>
        <v>0</v>
      </c>
      <c r="E41" s="640">
        <f>huishoudens!D12</f>
        <v>10546.868700984001</v>
      </c>
      <c r="F41" s="640">
        <f>huishoudens!E12</f>
        <v>200.89114287273597</v>
      </c>
      <c r="G41" s="640">
        <f>huishoudens!F12</f>
        <v>7241.2329527219817</v>
      </c>
      <c r="H41" s="640">
        <f>huishoudens!G12</f>
        <v>0</v>
      </c>
      <c r="I41" s="640">
        <f>huishoudens!H12</f>
        <v>0</v>
      </c>
      <c r="J41" s="640">
        <f>huishoudens!I12</f>
        <v>0</v>
      </c>
      <c r="K41" s="640">
        <f>huishoudens!J12</f>
        <v>181.81881978541813</v>
      </c>
      <c r="L41" s="640">
        <f>huishoudens!K12</f>
        <v>0</v>
      </c>
      <c r="M41" s="640">
        <f>huishoudens!L12</f>
        <v>0</v>
      </c>
      <c r="N41" s="640">
        <f>huishoudens!M12</f>
        <v>0</v>
      </c>
      <c r="O41" s="640">
        <f>huishoudens!N12</f>
        <v>0</v>
      </c>
      <c r="P41" s="640">
        <f>huishoudens!O12</f>
        <v>0</v>
      </c>
      <c r="Q41" s="717">
        <f>huishoudens!P12</f>
        <v>0</v>
      </c>
      <c r="R41" s="795">
        <f t="shared" ca="1" si="4"/>
        <v>19516.345759246313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298.87799042423984</v>
      </c>
      <c r="D43" s="640">
        <f ca="1">industrie!C22</f>
        <v>0</v>
      </c>
      <c r="E43" s="640">
        <f>industrie!D22</f>
        <v>1154.8665284640001</v>
      </c>
      <c r="F43" s="640">
        <f>industrie!E22</f>
        <v>173.61740898645039</v>
      </c>
      <c r="G43" s="640">
        <f>industrie!F22</f>
        <v>723.84374956363501</v>
      </c>
      <c r="H43" s="640">
        <f>industrie!G22</f>
        <v>0</v>
      </c>
      <c r="I43" s="640">
        <f>industrie!H22</f>
        <v>0</v>
      </c>
      <c r="J43" s="640">
        <f>industrie!I22</f>
        <v>0</v>
      </c>
      <c r="K43" s="640">
        <f>industrie!J22</f>
        <v>2.0029053120444984</v>
      </c>
      <c r="L43" s="640">
        <f>industrie!K22</f>
        <v>0</v>
      </c>
      <c r="M43" s="640">
        <f>industrie!L22</f>
        <v>0</v>
      </c>
      <c r="N43" s="640">
        <f>industrie!M22</f>
        <v>0</v>
      </c>
      <c r="O43" s="640">
        <f>industrie!N22</f>
        <v>0</v>
      </c>
      <c r="P43" s="640">
        <f>industrie!O22</f>
        <v>0</v>
      </c>
      <c r="Q43" s="717">
        <f>industrie!P22</f>
        <v>0</v>
      </c>
      <c r="R43" s="794">
        <f t="shared" ca="1" si="4"/>
        <v>2353.2085827503697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2449.2195432224639</v>
      </c>
      <c r="D46" s="675">
        <f t="shared" ref="D46:Q46" ca="1" si="5">SUM(D39:D45)</f>
        <v>0</v>
      </c>
      <c r="E46" s="675">
        <f t="shared" ca="1" si="5"/>
        <v>14088.066665772003</v>
      </c>
      <c r="F46" s="675">
        <f t="shared" si="5"/>
        <v>386.22337419274061</v>
      </c>
      <c r="G46" s="675">
        <f t="shared" ca="1" si="5"/>
        <v>8360.467129052684</v>
      </c>
      <c r="H46" s="675">
        <f t="shared" si="5"/>
        <v>0</v>
      </c>
      <c r="I46" s="675">
        <f t="shared" si="5"/>
        <v>0</v>
      </c>
      <c r="J46" s="675">
        <f t="shared" si="5"/>
        <v>0</v>
      </c>
      <c r="K46" s="675">
        <f t="shared" si="5"/>
        <v>191.79690313752232</v>
      </c>
      <c r="L46" s="675">
        <f t="shared" si="5"/>
        <v>0</v>
      </c>
      <c r="M46" s="675">
        <f t="shared" ca="1" si="5"/>
        <v>0</v>
      </c>
      <c r="N46" s="675">
        <f t="shared" si="5"/>
        <v>0</v>
      </c>
      <c r="O46" s="675">
        <f t="shared" ca="1" si="5"/>
        <v>0</v>
      </c>
      <c r="P46" s="675">
        <f t="shared" si="5"/>
        <v>0</v>
      </c>
      <c r="Q46" s="675">
        <f t="shared" si="5"/>
        <v>0</v>
      </c>
      <c r="R46" s="675">
        <f ca="1">SUM(R39:R45)</f>
        <v>25475.773615377409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0.4314534993318162</v>
      </c>
      <c r="D49" s="640">
        <f ca="1">transport!C58</f>
        <v>0</v>
      </c>
      <c r="E49" s="640">
        <f>transport!D58</f>
        <v>0</v>
      </c>
      <c r="F49" s="640">
        <f>transport!E58</f>
        <v>0</v>
      </c>
      <c r="G49" s="640">
        <f>transport!F58</f>
        <v>0</v>
      </c>
      <c r="H49" s="640">
        <f>transport!G58</f>
        <v>364.64368105736332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365.07513455669516</v>
      </c>
    </row>
    <row r="50" spans="1:18">
      <c r="A50" s="770" t="s">
        <v>296</v>
      </c>
      <c r="B50" s="780"/>
      <c r="C50" s="646">
        <f ca="1">transport!B18</f>
        <v>0.72956407922649036</v>
      </c>
      <c r="D50" s="646">
        <f>transport!C18</f>
        <v>0</v>
      </c>
      <c r="E50" s="646">
        <f>transport!D18</f>
        <v>2.0261295172560176</v>
      </c>
      <c r="F50" s="646">
        <f>transport!E18</f>
        <v>93.01074126139757</v>
      </c>
      <c r="G50" s="646">
        <f>transport!F18</f>
        <v>0</v>
      </c>
      <c r="H50" s="646">
        <f>transport!G18</f>
        <v>40006.301658474651</v>
      </c>
      <c r="I50" s="646">
        <f>transport!H18</f>
        <v>4730.253167588583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44832.321260921111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1.1610175785583066</v>
      </c>
      <c r="D52" s="675">
        <f t="shared" ref="D52:Q52" ca="1" si="6">SUM(D48:D51)</f>
        <v>0</v>
      </c>
      <c r="E52" s="675">
        <f t="shared" si="6"/>
        <v>2.0261295172560176</v>
      </c>
      <c r="F52" s="675">
        <f t="shared" si="6"/>
        <v>93.01074126139757</v>
      </c>
      <c r="G52" s="675">
        <f t="shared" si="6"/>
        <v>0</v>
      </c>
      <c r="H52" s="675">
        <f t="shared" si="6"/>
        <v>40370.945339532016</v>
      </c>
      <c r="I52" s="675">
        <f t="shared" si="6"/>
        <v>4730.253167588583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45197.396395477808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157.51332022973884</v>
      </c>
      <c r="D54" s="646">
        <f ca="1">+landbouw!C12</f>
        <v>0</v>
      </c>
      <c r="E54" s="646">
        <f>+landbouw!D12</f>
        <v>299.88956360000003</v>
      </c>
      <c r="F54" s="646">
        <f>+landbouw!E12</f>
        <v>12.073986016838123</v>
      </c>
      <c r="G54" s="646">
        <f>+landbouw!F12</f>
        <v>2417.0179754434957</v>
      </c>
      <c r="H54" s="646">
        <f>+landbouw!G12</f>
        <v>0</v>
      </c>
      <c r="I54" s="646">
        <f>+landbouw!H12</f>
        <v>0</v>
      </c>
      <c r="J54" s="646">
        <f>+landbouw!I12</f>
        <v>0</v>
      </c>
      <c r="K54" s="646">
        <f>+landbouw!J12</f>
        <v>104.00199476942748</v>
      </c>
      <c r="L54" s="646">
        <f>+landbouw!K12</f>
        <v>0</v>
      </c>
      <c r="M54" s="646">
        <f>+landbouw!L12</f>
        <v>0</v>
      </c>
      <c r="N54" s="646">
        <f>+landbouw!M12</f>
        <v>0</v>
      </c>
      <c r="O54" s="646">
        <f>+landbouw!N12</f>
        <v>0</v>
      </c>
      <c r="P54" s="646">
        <f>+landbouw!O12</f>
        <v>0</v>
      </c>
      <c r="Q54" s="647">
        <f>+landbouw!P12</f>
        <v>0</v>
      </c>
      <c r="R54" s="674">
        <f ca="1">SUM(C54:Q54)</f>
        <v>2990.4968400594998</v>
      </c>
    </row>
    <row r="55" spans="1:18" ht="15" thickBot="1">
      <c r="A55" s="770" t="s">
        <v>806</v>
      </c>
      <c r="B55" s="780"/>
      <c r="C55" s="646">
        <f ca="1">C25*'EF ele_warmte'!B12</f>
        <v>34.505414923893035</v>
      </c>
      <c r="D55" s="646"/>
      <c r="E55" s="646">
        <f>E25*EF_CO2_aardgas</f>
        <v>611.50551000000007</v>
      </c>
      <c r="F55" s="646"/>
      <c r="G55" s="646"/>
      <c r="H55" s="646"/>
      <c r="I55" s="646"/>
      <c r="J55" s="646"/>
      <c r="K55" s="646"/>
      <c r="L55" s="646"/>
      <c r="M55" s="646"/>
      <c r="N55" s="646"/>
      <c r="O55" s="646"/>
      <c r="P55" s="646"/>
      <c r="Q55" s="647"/>
      <c r="R55" s="674">
        <f ca="1">SUM(C55:Q55)</f>
        <v>646.01092492389307</v>
      </c>
    </row>
    <row r="56" spans="1:18" ht="15.75" thickBot="1">
      <c r="A56" s="768" t="s">
        <v>807</v>
      </c>
      <c r="B56" s="781"/>
      <c r="C56" s="675">
        <f ca="1">SUM(C54:C55)</f>
        <v>192.01873515363187</v>
      </c>
      <c r="D56" s="675">
        <f t="shared" ref="D56:Q56" ca="1" si="7">SUM(D54:D55)</f>
        <v>0</v>
      </c>
      <c r="E56" s="675">
        <f t="shared" si="7"/>
        <v>911.39507360000016</v>
      </c>
      <c r="F56" s="675">
        <f t="shared" si="7"/>
        <v>12.073986016838123</v>
      </c>
      <c r="G56" s="675">
        <f t="shared" si="7"/>
        <v>2417.0179754434957</v>
      </c>
      <c r="H56" s="675">
        <f t="shared" si="7"/>
        <v>0</v>
      </c>
      <c r="I56" s="675">
        <f t="shared" si="7"/>
        <v>0</v>
      </c>
      <c r="J56" s="675">
        <f t="shared" si="7"/>
        <v>0</v>
      </c>
      <c r="K56" s="675">
        <f t="shared" si="7"/>
        <v>104.00199476942748</v>
      </c>
      <c r="L56" s="675">
        <f t="shared" si="7"/>
        <v>0</v>
      </c>
      <c r="M56" s="675">
        <f t="shared" si="7"/>
        <v>0</v>
      </c>
      <c r="N56" s="675">
        <f t="shared" si="7"/>
        <v>0</v>
      </c>
      <c r="O56" s="675">
        <f t="shared" si="7"/>
        <v>0</v>
      </c>
      <c r="P56" s="675">
        <f t="shared" si="7"/>
        <v>0</v>
      </c>
      <c r="Q56" s="676">
        <f t="shared" si="7"/>
        <v>0</v>
      </c>
      <c r="R56" s="677">
        <f ca="1">SUM(R54:R55)</f>
        <v>3636.5077649833929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2642.399295954654</v>
      </c>
      <c r="D61" s="683">
        <f t="shared" ref="D61:Q61" ca="1" si="8">D46+D52+D56</f>
        <v>0</v>
      </c>
      <c r="E61" s="683">
        <f t="shared" ca="1" si="8"/>
        <v>15001.48786888926</v>
      </c>
      <c r="F61" s="683">
        <f t="shared" si="8"/>
        <v>491.30810147097634</v>
      </c>
      <c r="G61" s="683">
        <f t="shared" ca="1" si="8"/>
        <v>10777.48510449618</v>
      </c>
      <c r="H61" s="683">
        <f t="shared" si="8"/>
        <v>40370.945339532016</v>
      </c>
      <c r="I61" s="683">
        <f t="shared" si="8"/>
        <v>4730.253167588583</v>
      </c>
      <c r="J61" s="683">
        <f t="shared" si="8"/>
        <v>0</v>
      </c>
      <c r="K61" s="683">
        <f t="shared" si="8"/>
        <v>295.79889790694983</v>
      </c>
      <c r="L61" s="683">
        <f t="shared" si="8"/>
        <v>0</v>
      </c>
      <c r="M61" s="683">
        <f t="shared" ca="1" si="8"/>
        <v>0</v>
      </c>
      <c r="N61" s="683">
        <f t="shared" si="8"/>
        <v>0</v>
      </c>
      <c r="O61" s="683">
        <f t="shared" ca="1" si="8"/>
        <v>0</v>
      </c>
      <c r="P61" s="683">
        <f t="shared" si="8"/>
        <v>0</v>
      </c>
      <c r="Q61" s="683">
        <f t="shared" si="8"/>
        <v>0</v>
      </c>
      <c r="R61" s="683">
        <f ca="1">R46+R52+R56</f>
        <v>74309.677775838616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6.1491961720387421E-2</v>
      </c>
      <c r="D63" s="726">
        <f t="shared" ca="1" si="9"/>
        <v>0</v>
      </c>
      <c r="E63" s="946">
        <f t="shared" ca="1" si="9"/>
        <v>0.20200000000000007</v>
      </c>
      <c r="F63" s="726">
        <f t="shared" si="9"/>
        <v>0.22700000000000006</v>
      </c>
      <c r="G63" s="726">
        <f t="shared" ca="1" si="9"/>
        <v>0.26700000000000002</v>
      </c>
      <c r="H63" s="726">
        <f t="shared" si="9"/>
        <v>0.26700000000000002</v>
      </c>
      <c r="I63" s="726">
        <f t="shared" si="9"/>
        <v>0.249</v>
      </c>
      <c r="J63" s="726">
        <f t="shared" si="9"/>
        <v>0</v>
      </c>
      <c r="K63" s="726">
        <f t="shared" si="9"/>
        <v>0.35400000000000009</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25394.132829999999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4677.0055104904595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538.76250000000005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633.83823529411779</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405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1012.5</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31014.90084049046</v>
      </c>
      <c r="C78" s="698">
        <f>SUM(C72:C77)</f>
        <v>0</v>
      </c>
      <c r="D78" s="699">
        <f t="shared" ref="D78:H78" si="10">SUM(D76:D77)</f>
        <v>0</v>
      </c>
      <c r="E78" s="699">
        <f t="shared" si="10"/>
        <v>0</v>
      </c>
      <c r="F78" s="699">
        <f t="shared" si="10"/>
        <v>0</v>
      </c>
      <c r="G78" s="699">
        <f t="shared" si="10"/>
        <v>0</v>
      </c>
      <c r="H78" s="699">
        <f t="shared" si="10"/>
        <v>0</v>
      </c>
      <c r="I78" s="699">
        <f>SUM(I76:I77)</f>
        <v>1012.5</v>
      </c>
      <c r="J78" s="699">
        <f>SUM(J76:J77)</f>
        <v>633.83823529411779</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769.66071428571422</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905.48319327731087</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769.66071428571422</v>
      </c>
      <c r="C90" s="698">
        <f>SUM(C87:C89)</f>
        <v>0</v>
      </c>
      <c r="D90" s="698">
        <f t="shared" ref="D90:H90" si="12">SUM(D87:D89)</f>
        <v>0</v>
      </c>
      <c r="E90" s="698">
        <f t="shared" si="12"/>
        <v>0</v>
      </c>
      <c r="F90" s="698">
        <f t="shared" si="12"/>
        <v>0</v>
      </c>
      <c r="G90" s="698">
        <f t="shared" si="12"/>
        <v>0</v>
      </c>
      <c r="H90" s="698">
        <f t="shared" si="12"/>
        <v>0</v>
      </c>
      <c r="I90" s="698">
        <f>SUM(I87:I89)</f>
        <v>0</v>
      </c>
      <c r="J90" s="698">
        <f>SUM(J87:J89)</f>
        <v>905.48319327731087</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21881.463938335695</v>
      </c>
      <c r="C4" s="448">
        <f>huishoudens!C8</f>
        <v>0</v>
      </c>
      <c r="D4" s="448">
        <f>huishoudens!D8</f>
        <v>52212.221292000002</v>
      </c>
      <c r="E4" s="448">
        <f>huishoudens!E8</f>
        <v>884.98300824993817</v>
      </c>
      <c r="F4" s="448">
        <f>huishoudens!F8</f>
        <v>27120.722669370716</v>
      </c>
      <c r="G4" s="448">
        <f>huishoudens!G8</f>
        <v>0</v>
      </c>
      <c r="H4" s="448">
        <f>huishoudens!H8</f>
        <v>0</v>
      </c>
      <c r="I4" s="448">
        <f>huishoudens!I8</f>
        <v>0</v>
      </c>
      <c r="J4" s="448">
        <f>huishoudens!J8</f>
        <v>513.61248526954273</v>
      </c>
      <c r="K4" s="448">
        <f>huishoudens!K8</f>
        <v>0</v>
      </c>
      <c r="L4" s="448">
        <f>huishoudens!L8</f>
        <v>0</v>
      </c>
      <c r="M4" s="448">
        <f>huishoudens!M8</f>
        <v>0</v>
      </c>
      <c r="N4" s="448">
        <f>huishoudens!N8</f>
        <v>7421.6529367284074</v>
      </c>
      <c r="O4" s="448">
        <f>huishoudens!O8</f>
        <v>209.48666666666671</v>
      </c>
      <c r="P4" s="449">
        <f>huishoudens!P8</f>
        <v>152.53333333333333</v>
      </c>
      <c r="Q4" s="450">
        <f>SUM(B4:P4)</f>
        <v>110396.67632995431</v>
      </c>
    </row>
    <row r="5" spans="1:17">
      <c r="A5" s="447" t="s">
        <v>149</v>
      </c>
      <c r="B5" s="448">
        <f ca="1">tertiair!B16</f>
        <v>12035.369999999999</v>
      </c>
      <c r="C5" s="448">
        <f ca="1">tertiair!C16</f>
        <v>712.5</v>
      </c>
      <c r="D5" s="448">
        <f ca="1">tertiair!D16</f>
        <v>11813.521962000001</v>
      </c>
      <c r="E5" s="448">
        <f>tertiair!E16</f>
        <v>51.607146843851424</v>
      </c>
      <c r="F5" s="448">
        <f ca="1">tertiair!F16</f>
        <v>1480.8630215995008</v>
      </c>
      <c r="G5" s="448">
        <f>tertiair!G16</f>
        <v>0</v>
      </c>
      <c r="H5" s="448">
        <f>tertiair!H16</f>
        <v>0</v>
      </c>
      <c r="I5" s="448">
        <f>tertiair!I16</f>
        <v>0</v>
      </c>
      <c r="J5" s="448">
        <f>tertiair!J16</f>
        <v>22.52875152559232</v>
      </c>
      <c r="K5" s="448">
        <f>tertiair!K16</f>
        <v>0</v>
      </c>
      <c r="L5" s="448">
        <f ca="1">tertiair!L16</f>
        <v>0</v>
      </c>
      <c r="M5" s="448">
        <f>tertiair!M16</f>
        <v>0</v>
      </c>
      <c r="N5" s="448">
        <f ca="1">tertiair!N16</f>
        <v>277.40103406437538</v>
      </c>
      <c r="O5" s="448">
        <f>tertiair!O16</f>
        <v>1.5633333333333335</v>
      </c>
      <c r="P5" s="449">
        <f>tertiair!P16</f>
        <v>19.066666666666666</v>
      </c>
      <c r="Q5" s="447">
        <f t="shared" ref="Q5:Q14" ca="1" si="0">SUM(B5:P5)</f>
        <v>26414.42191603332</v>
      </c>
    </row>
    <row r="6" spans="1:17">
      <c r="A6" s="447" t="s">
        <v>187</v>
      </c>
      <c r="B6" s="448">
        <f>'openbare verlichting'!B8</f>
        <v>1052.6400000000001</v>
      </c>
      <c r="C6" s="448"/>
      <c r="D6" s="448"/>
      <c r="E6" s="448"/>
      <c r="F6" s="448"/>
      <c r="G6" s="448"/>
      <c r="H6" s="448"/>
      <c r="I6" s="448"/>
      <c r="J6" s="448"/>
      <c r="K6" s="448"/>
      <c r="L6" s="448"/>
      <c r="M6" s="448"/>
      <c r="N6" s="448"/>
      <c r="O6" s="448"/>
      <c r="P6" s="449"/>
      <c r="Q6" s="447">
        <f t="shared" si="0"/>
        <v>1052.6400000000001</v>
      </c>
    </row>
    <row r="7" spans="1:17">
      <c r="A7" s="447" t="s">
        <v>105</v>
      </c>
      <c r="B7" s="448">
        <f>landbouw!B8</f>
        <v>2561.527</v>
      </c>
      <c r="C7" s="448">
        <f>landbouw!C8</f>
        <v>57.160714285714278</v>
      </c>
      <c r="D7" s="448">
        <f>landbouw!D8</f>
        <v>1484.6018000000001</v>
      </c>
      <c r="E7" s="448">
        <f>landbouw!E8</f>
        <v>53.189365712943271</v>
      </c>
      <c r="F7" s="448">
        <f>landbouw!F8</f>
        <v>9052.5017806872493</v>
      </c>
      <c r="G7" s="448">
        <f>landbouw!G8</f>
        <v>0</v>
      </c>
      <c r="H7" s="448">
        <f>landbouw!H8</f>
        <v>0</v>
      </c>
      <c r="I7" s="448">
        <f>landbouw!I8</f>
        <v>0</v>
      </c>
      <c r="J7" s="448">
        <f>landbouw!J8</f>
        <v>293.79094567634883</v>
      </c>
      <c r="K7" s="448">
        <f>landbouw!K8</f>
        <v>0</v>
      </c>
      <c r="L7" s="448">
        <f>landbouw!L8</f>
        <v>0</v>
      </c>
      <c r="M7" s="448">
        <f>landbouw!M8</f>
        <v>0</v>
      </c>
      <c r="N7" s="448">
        <f>landbouw!N8</f>
        <v>0</v>
      </c>
      <c r="O7" s="448">
        <f>landbouw!O8</f>
        <v>0</v>
      </c>
      <c r="P7" s="449">
        <f>landbouw!P8</f>
        <v>0</v>
      </c>
      <c r="Q7" s="447">
        <f t="shared" si="0"/>
        <v>13502.771606362254</v>
      </c>
    </row>
    <row r="8" spans="1:17">
      <c r="A8" s="447" t="s">
        <v>614</v>
      </c>
      <c r="B8" s="448">
        <f>industrie!B18</f>
        <v>4860.4399999999996</v>
      </c>
      <c r="C8" s="448">
        <f>industrie!C18</f>
        <v>0</v>
      </c>
      <c r="D8" s="448">
        <f>industrie!D18</f>
        <v>5717.161032</v>
      </c>
      <c r="E8" s="448">
        <f>industrie!E18</f>
        <v>764.83440082136735</v>
      </c>
      <c r="F8" s="448">
        <f>industrie!F18</f>
        <v>2711.0252792645506</v>
      </c>
      <c r="G8" s="448">
        <f>industrie!G18</f>
        <v>0</v>
      </c>
      <c r="H8" s="448">
        <f>industrie!H18</f>
        <v>0</v>
      </c>
      <c r="I8" s="448">
        <f>industrie!I18</f>
        <v>0</v>
      </c>
      <c r="J8" s="448">
        <f>industrie!J18</f>
        <v>5.6579246102951934</v>
      </c>
      <c r="K8" s="448">
        <f>industrie!K18</f>
        <v>0</v>
      </c>
      <c r="L8" s="448">
        <f>industrie!L18</f>
        <v>0</v>
      </c>
      <c r="M8" s="448">
        <f>industrie!M18</f>
        <v>0</v>
      </c>
      <c r="N8" s="448">
        <f>industrie!N18</f>
        <v>388.04988339043695</v>
      </c>
      <c r="O8" s="448">
        <f>industrie!O18</f>
        <v>0</v>
      </c>
      <c r="P8" s="449">
        <f>industrie!P18</f>
        <v>0</v>
      </c>
      <c r="Q8" s="447">
        <f t="shared" si="0"/>
        <v>14447.16852008665</v>
      </c>
    </row>
    <row r="9" spans="1:17" s="453" customFormat="1">
      <c r="A9" s="451" t="s">
        <v>555</v>
      </c>
      <c r="B9" s="452">
        <f>transport!B14</f>
        <v>11.864381275457118</v>
      </c>
      <c r="C9" s="452">
        <f>transport!C14</f>
        <v>0</v>
      </c>
      <c r="D9" s="452">
        <f>transport!D14</f>
        <v>10.030344144831769</v>
      </c>
      <c r="E9" s="452">
        <f>transport!E14</f>
        <v>409.738948288095</v>
      </c>
      <c r="F9" s="452">
        <f>transport!F14</f>
        <v>0</v>
      </c>
      <c r="G9" s="452">
        <f>transport!G14</f>
        <v>149836.33579953053</v>
      </c>
      <c r="H9" s="452">
        <f>transport!H14</f>
        <v>18997.000673046517</v>
      </c>
      <c r="I9" s="452">
        <f>transport!I14</f>
        <v>0</v>
      </c>
      <c r="J9" s="452">
        <f>transport!J14</f>
        <v>0</v>
      </c>
      <c r="K9" s="452">
        <f>transport!K14</f>
        <v>0</v>
      </c>
      <c r="L9" s="452">
        <f>transport!L14</f>
        <v>0</v>
      </c>
      <c r="M9" s="452">
        <f>transport!M14</f>
        <v>7631.213782509948</v>
      </c>
      <c r="N9" s="452">
        <f>transport!N14</f>
        <v>0</v>
      </c>
      <c r="O9" s="452">
        <f>transport!O14</f>
        <v>0</v>
      </c>
      <c r="P9" s="452">
        <f>transport!P14</f>
        <v>0</v>
      </c>
      <c r="Q9" s="451">
        <f>SUM(B9:P9)</f>
        <v>176896.18392879536</v>
      </c>
    </row>
    <row r="10" spans="1:17">
      <c r="A10" s="447" t="s">
        <v>545</v>
      </c>
      <c r="B10" s="448">
        <f>transport!B54</f>
        <v>7.0164211266131957</v>
      </c>
      <c r="C10" s="448">
        <f>transport!C54</f>
        <v>0</v>
      </c>
      <c r="D10" s="448">
        <f>transport!D54</f>
        <v>0</v>
      </c>
      <c r="E10" s="448">
        <f>transport!E54</f>
        <v>0</v>
      </c>
      <c r="F10" s="448">
        <f>transport!F54</f>
        <v>0</v>
      </c>
      <c r="G10" s="448">
        <f>transport!G54</f>
        <v>1365.7066706268288</v>
      </c>
      <c r="H10" s="448">
        <f>transport!H54</f>
        <v>0</v>
      </c>
      <c r="I10" s="448">
        <f>transport!I54</f>
        <v>0</v>
      </c>
      <c r="J10" s="448">
        <f>transport!J54</f>
        <v>0</v>
      </c>
      <c r="K10" s="448">
        <f>transport!K54</f>
        <v>0</v>
      </c>
      <c r="L10" s="448">
        <f>transport!L54</f>
        <v>0</v>
      </c>
      <c r="M10" s="448">
        <f>transport!M54</f>
        <v>61.239434666862458</v>
      </c>
      <c r="N10" s="448">
        <f>transport!N54</f>
        <v>0</v>
      </c>
      <c r="O10" s="448">
        <f>transport!O54</f>
        <v>0</v>
      </c>
      <c r="P10" s="449">
        <f>transport!P54</f>
        <v>0</v>
      </c>
      <c r="Q10" s="447">
        <f t="shared" si="0"/>
        <v>1433.9625264203046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561.13699999999994</v>
      </c>
      <c r="C14" s="455"/>
      <c r="D14" s="455">
        <f>'SEAP template'!E25</f>
        <v>3027.2550000000001</v>
      </c>
      <c r="E14" s="455"/>
      <c r="F14" s="455"/>
      <c r="G14" s="455"/>
      <c r="H14" s="455"/>
      <c r="I14" s="455"/>
      <c r="J14" s="455"/>
      <c r="K14" s="455"/>
      <c r="L14" s="455"/>
      <c r="M14" s="455"/>
      <c r="N14" s="455"/>
      <c r="O14" s="455"/>
      <c r="P14" s="456"/>
      <c r="Q14" s="447">
        <f t="shared" si="0"/>
        <v>3588.3919999999998</v>
      </c>
    </row>
    <row r="15" spans="1:17" s="460" customFormat="1">
      <c r="A15" s="457" t="s">
        <v>549</v>
      </c>
      <c r="B15" s="458">
        <f ca="1">SUM(B4:B14)</f>
        <v>42971.458740737777</v>
      </c>
      <c r="C15" s="458">
        <f t="shared" ref="C15:Q15" ca="1" si="1">SUM(C4:C14)</f>
        <v>769.66071428571422</v>
      </c>
      <c r="D15" s="458">
        <f t="shared" ca="1" si="1"/>
        <v>74264.791430144833</v>
      </c>
      <c r="E15" s="458">
        <f t="shared" si="1"/>
        <v>2164.3528699161952</v>
      </c>
      <c r="F15" s="458">
        <f t="shared" ca="1" si="1"/>
        <v>40365.11275092201</v>
      </c>
      <c r="G15" s="458">
        <f t="shared" si="1"/>
        <v>151202.04247015735</v>
      </c>
      <c r="H15" s="458">
        <f t="shared" si="1"/>
        <v>18997.000673046517</v>
      </c>
      <c r="I15" s="458">
        <f t="shared" si="1"/>
        <v>0</v>
      </c>
      <c r="J15" s="458">
        <f t="shared" si="1"/>
        <v>835.59010708177902</v>
      </c>
      <c r="K15" s="458">
        <f t="shared" si="1"/>
        <v>0</v>
      </c>
      <c r="L15" s="458">
        <f t="shared" ca="1" si="1"/>
        <v>0</v>
      </c>
      <c r="M15" s="458">
        <f t="shared" si="1"/>
        <v>7692.4532171768105</v>
      </c>
      <c r="N15" s="458">
        <f t="shared" ca="1" si="1"/>
        <v>8087.1038541832195</v>
      </c>
      <c r="O15" s="458">
        <f t="shared" si="1"/>
        <v>211.05000000000004</v>
      </c>
      <c r="P15" s="458">
        <f t="shared" si="1"/>
        <v>171.6</v>
      </c>
      <c r="Q15" s="458">
        <f t="shared" ca="1" si="1"/>
        <v>347732.21682765224</v>
      </c>
    </row>
    <row r="17" spans="1:17">
      <c r="A17" s="461" t="s">
        <v>550</v>
      </c>
      <c r="B17" s="731">
        <f ca="1">huishoudens!B10</f>
        <v>6.1491961720387421E-2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1345.5341428821764</v>
      </c>
      <c r="C22" s="448">
        <f t="shared" ref="C22:C32" ca="1" si="3">C4*$C$17</f>
        <v>0</v>
      </c>
      <c r="D22" s="448">
        <f t="shared" ref="D22:D32" si="4">D4*$D$17</f>
        <v>10546.868700984001</v>
      </c>
      <c r="E22" s="448">
        <f t="shared" ref="E22:E32" si="5">E4*$E$17</f>
        <v>200.89114287273597</v>
      </c>
      <c r="F22" s="448">
        <f t="shared" ref="F22:F32" si="6">F4*$F$17</f>
        <v>7241.2329527219817</v>
      </c>
      <c r="G22" s="448">
        <f t="shared" ref="G22:G32" si="7">G4*$G$17</f>
        <v>0</v>
      </c>
      <c r="H22" s="448">
        <f t="shared" ref="H22:H32" si="8">H4*$H$17</f>
        <v>0</v>
      </c>
      <c r="I22" s="448">
        <f t="shared" ref="I22:I32" si="9">I4*$I$17</f>
        <v>0</v>
      </c>
      <c r="J22" s="448">
        <f t="shared" ref="J22:J32" si="10">J4*$J$17</f>
        <v>181.81881978541813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19516.345759246313</v>
      </c>
    </row>
    <row r="23" spans="1:17">
      <c r="A23" s="447" t="s">
        <v>149</v>
      </c>
      <c r="B23" s="448">
        <f t="shared" ca="1" si="2"/>
        <v>740.07851133069914</v>
      </c>
      <c r="C23" s="448">
        <f t="shared" ca="1" si="3"/>
        <v>0</v>
      </c>
      <c r="D23" s="448">
        <f t="shared" ca="1" si="4"/>
        <v>2386.3314363240002</v>
      </c>
      <c r="E23" s="448">
        <f t="shared" si="5"/>
        <v>11.714822333554274</v>
      </c>
      <c r="F23" s="448">
        <f t="shared" ca="1" si="6"/>
        <v>395.39042676706674</v>
      </c>
      <c r="G23" s="448">
        <f t="shared" si="7"/>
        <v>0</v>
      </c>
      <c r="H23" s="448">
        <f t="shared" si="8"/>
        <v>0</v>
      </c>
      <c r="I23" s="448">
        <f t="shared" si="9"/>
        <v>0</v>
      </c>
      <c r="J23" s="448">
        <f t="shared" si="10"/>
        <v>7.9751780400596806</v>
      </c>
      <c r="K23" s="448">
        <f t="shared" si="11"/>
        <v>0</v>
      </c>
      <c r="L23" s="448">
        <f t="shared" ca="1" si="12"/>
        <v>0</v>
      </c>
      <c r="M23" s="448">
        <f t="shared" si="13"/>
        <v>0</v>
      </c>
      <c r="N23" s="448">
        <f t="shared" ca="1" si="14"/>
        <v>0</v>
      </c>
      <c r="O23" s="448">
        <f t="shared" si="15"/>
        <v>0</v>
      </c>
      <c r="P23" s="449">
        <f t="shared" si="16"/>
        <v>0</v>
      </c>
      <c r="Q23" s="447">
        <f t="shared" ref="Q23:Q32" ca="1" si="17">SUM(B23:P23)</f>
        <v>3541.4903747953804</v>
      </c>
    </row>
    <row r="24" spans="1:17">
      <c r="A24" s="447" t="s">
        <v>187</v>
      </c>
      <c r="B24" s="448">
        <f t="shared" ca="1" si="2"/>
        <v>64.728898585348617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64.728898585348617</v>
      </c>
    </row>
    <row r="25" spans="1:17">
      <c r="A25" s="447" t="s">
        <v>105</v>
      </c>
      <c r="B25" s="448">
        <f t="shared" ca="1" si="2"/>
        <v>157.51332022973884</v>
      </c>
      <c r="C25" s="448">
        <f t="shared" ca="1" si="3"/>
        <v>0</v>
      </c>
      <c r="D25" s="448">
        <f t="shared" si="4"/>
        <v>299.88956360000003</v>
      </c>
      <c r="E25" s="448">
        <f t="shared" si="5"/>
        <v>12.073986016838123</v>
      </c>
      <c r="F25" s="448">
        <f t="shared" si="6"/>
        <v>2417.0179754434957</v>
      </c>
      <c r="G25" s="448">
        <f t="shared" si="7"/>
        <v>0</v>
      </c>
      <c r="H25" s="448">
        <f t="shared" si="8"/>
        <v>0</v>
      </c>
      <c r="I25" s="448">
        <f t="shared" si="9"/>
        <v>0</v>
      </c>
      <c r="J25" s="448">
        <f t="shared" si="10"/>
        <v>104.00199476942748</v>
      </c>
      <c r="K25" s="448">
        <f t="shared" si="11"/>
        <v>0</v>
      </c>
      <c r="L25" s="448">
        <f t="shared" si="12"/>
        <v>0</v>
      </c>
      <c r="M25" s="448">
        <f t="shared" si="13"/>
        <v>0</v>
      </c>
      <c r="N25" s="448">
        <f t="shared" si="14"/>
        <v>0</v>
      </c>
      <c r="O25" s="448">
        <f t="shared" si="15"/>
        <v>0</v>
      </c>
      <c r="P25" s="449">
        <f t="shared" si="16"/>
        <v>0</v>
      </c>
      <c r="Q25" s="447">
        <f t="shared" ca="1" si="17"/>
        <v>2990.4968400594998</v>
      </c>
    </row>
    <row r="26" spans="1:17">
      <c r="A26" s="447" t="s">
        <v>614</v>
      </c>
      <c r="B26" s="448">
        <f t="shared" ca="1" si="2"/>
        <v>298.87799042423984</v>
      </c>
      <c r="C26" s="448">
        <f t="shared" ca="1" si="3"/>
        <v>0</v>
      </c>
      <c r="D26" s="448">
        <f t="shared" si="4"/>
        <v>1154.8665284640001</v>
      </c>
      <c r="E26" s="448">
        <f t="shared" si="5"/>
        <v>173.61740898645039</v>
      </c>
      <c r="F26" s="448">
        <f t="shared" si="6"/>
        <v>723.84374956363501</v>
      </c>
      <c r="G26" s="448">
        <f t="shared" si="7"/>
        <v>0</v>
      </c>
      <c r="H26" s="448">
        <f t="shared" si="8"/>
        <v>0</v>
      </c>
      <c r="I26" s="448">
        <f t="shared" si="9"/>
        <v>0</v>
      </c>
      <c r="J26" s="448">
        <f t="shared" si="10"/>
        <v>2.0029053120444984</v>
      </c>
      <c r="K26" s="448">
        <f t="shared" si="11"/>
        <v>0</v>
      </c>
      <c r="L26" s="448">
        <f t="shared" si="12"/>
        <v>0</v>
      </c>
      <c r="M26" s="448">
        <f t="shared" si="13"/>
        <v>0</v>
      </c>
      <c r="N26" s="448">
        <f t="shared" si="14"/>
        <v>0</v>
      </c>
      <c r="O26" s="448">
        <f t="shared" si="15"/>
        <v>0</v>
      </c>
      <c r="P26" s="449">
        <f t="shared" si="16"/>
        <v>0</v>
      </c>
      <c r="Q26" s="447">
        <f t="shared" ca="1" si="17"/>
        <v>2353.2085827503697</v>
      </c>
    </row>
    <row r="27" spans="1:17" s="453" customFormat="1">
      <c r="A27" s="451" t="s">
        <v>555</v>
      </c>
      <c r="B27" s="725">
        <f t="shared" ca="1" si="2"/>
        <v>0.72956407922649036</v>
      </c>
      <c r="C27" s="452">
        <f t="shared" ca="1" si="3"/>
        <v>0</v>
      </c>
      <c r="D27" s="452">
        <f t="shared" si="4"/>
        <v>2.0261295172560176</v>
      </c>
      <c r="E27" s="452">
        <f t="shared" si="5"/>
        <v>93.01074126139757</v>
      </c>
      <c r="F27" s="452">
        <f t="shared" si="6"/>
        <v>0</v>
      </c>
      <c r="G27" s="452">
        <f t="shared" si="7"/>
        <v>40006.301658474651</v>
      </c>
      <c r="H27" s="452">
        <f t="shared" si="8"/>
        <v>4730.253167588583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44832.321260921111</v>
      </c>
    </row>
    <row r="28" spans="1:17">
      <c r="A28" s="447" t="s">
        <v>545</v>
      </c>
      <c r="B28" s="448">
        <f t="shared" ca="1" si="2"/>
        <v>0.4314534993318162</v>
      </c>
      <c r="C28" s="448">
        <f t="shared" ca="1" si="3"/>
        <v>0</v>
      </c>
      <c r="D28" s="448">
        <f t="shared" si="4"/>
        <v>0</v>
      </c>
      <c r="E28" s="448">
        <f t="shared" si="5"/>
        <v>0</v>
      </c>
      <c r="F28" s="448">
        <f t="shared" si="6"/>
        <v>0</v>
      </c>
      <c r="G28" s="448">
        <f t="shared" si="7"/>
        <v>364.64368105736332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365.07513455669516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34.505414923893035</v>
      </c>
      <c r="C32" s="448">
        <f t="shared" ca="1" si="3"/>
        <v>0</v>
      </c>
      <c r="D32" s="448">
        <f t="shared" si="4"/>
        <v>611.50551000000007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646.01092492389307</v>
      </c>
    </row>
    <row r="33" spans="1:17" s="460" customFormat="1">
      <c r="A33" s="457" t="s">
        <v>549</v>
      </c>
      <c r="B33" s="458">
        <f ca="1">SUM(B22:B32)</f>
        <v>2642.399295954654</v>
      </c>
      <c r="C33" s="458">
        <f t="shared" ref="C33:Q33" ca="1" si="18">SUM(C22:C32)</f>
        <v>0</v>
      </c>
      <c r="D33" s="458">
        <f t="shared" ca="1" si="18"/>
        <v>15001.487868889259</v>
      </c>
      <c r="E33" s="458">
        <f t="shared" si="18"/>
        <v>491.30810147097634</v>
      </c>
      <c r="F33" s="458">
        <f t="shared" ca="1" si="18"/>
        <v>10777.48510449618</v>
      </c>
      <c r="G33" s="458">
        <f t="shared" si="18"/>
        <v>40370.945339532016</v>
      </c>
      <c r="H33" s="458">
        <f t="shared" si="18"/>
        <v>4730.253167588583</v>
      </c>
      <c r="I33" s="458">
        <f t="shared" si="18"/>
        <v>0</v>
      </c>
      <c r="J33" s="458">
        <f t="shared" si="18"/>
        <v>295.79889790694983</v>
      </c>
      <c r="K33" s="458">
        <f t="shared" si="18"/>
        <v>0</v>
      </c>
      <c r="L33" s="458">
        <f t="shared" ca="1" si="18"/>
        <v>0</v>
      </c>
      <c r="M33" s="458">
        <f t="shared" si="18"/>
        <v>0</v>
      </c>
      <c r="N33" s="458">
        <f t="shared" ca="1" si="18"/>
        <v>0</v>
      </c>
      <c r="O33" s="458">
        <f t="shared" si="18"/>
        <v>0</v>
      </c>
      <c r="P33" s="458">
        <f t="shared" si="18"/>
        <v>0</v>
      </c>
      <c r="Q33" s="458">
        <f t="shared" ca="1" si="18"/>
        <v>74309.677775838602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25394.132829999999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4677.0055104904595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538.76250000000005</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633.83823529411779</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405</v>
      </c>
      <c r="C9" s="982">
        <f>'SEAP template'!C77</f>
        <v>0</v>
      </c>
      <c r="D9" s="982">
        <f>'SEAP template'!D77</f>
        <v>0</v>
      </c>
      <c r="E9" s="982">
        <f>'SEAP template'!E77</f>
        <v>0</v>
      </c>
      <c r="F9" s="982">
        <f>'SEAP template'!F77</f>
        <v>0</v>
      </c>
      <c r="G9" s="982">
        <f>'SEAP template'!G77</f>
        <v>0</v>
      </c>
      <c r="H9" s="982">
        <f>'SEAP template'!H77</f>
        <v>0</v>
      </c>
      <c r="I9" s="982">
        <f>'SEAP template'!I77</f>
        <v>1012.5</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31014.90084049046</v>
      </c>
      <c r="C10" s="986">
        <f>SUM(C4:C9)</f>
        <v>0</v>
      </c>
      <c r="D10" s="986">
        <f t="shared" ref="D10:H10" si="0">SUM(D8:D9)</f>
        <v>0</v>
      </c>
      <c r="E10" s="986">
        <f t="shared" si="0"/>
        <v>0</v>
      </c>
      <c r="F10" s="986">
        <f t="shared" si="0"/>
        <v>0</v>
      </c>
      <c r="G10" s="986">
        <f t="shared" si="0"/>
        <v>0</v>
      </c>
      <c r="H10" s="986">
        <f t="shared" si="0"/>
        <v>0</v>
      </c>
      <c r="I10" s="986">
        <f>SUM(I8:I9)</f>
        <v>1012.5</v>
      </c>
      <c r="J10" s="986">
        <f>SUM(J8:J9)</f>
        <v>633.83823529411779</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6.1491961720387421E-2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769.66071428571422</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905.48319327731087</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769.66071428571422</v>
      </c>
      <c r="C20" s="986">
        <f>SUM(C17:C19)</f>
        <v>0</v>
      </c>
      <c r="D20" s="986">
        <f t="shared" ref="D20:H20" si="2">SUM(D17:D19)</f>
        <v>0</v>
      </c>
      <c r="E20" s="986">
        <f t="shared" si="2"/>
        <v>0</v>
      </c>
      <c r="F20" s="986">
        <f t="shared" si="2"/>
        <v>0</v>
      </c>
      <c r="G20" s="986">
        <f t="shared" si="2"/>
        <v>0</v>
      </c>
      <c r="H20" s="986">
        <f t="shared" si="2"/>
        <v>0</v>
      </c>
      <c r="I20" s="986">
        <f>SUM(I17:I19)</f>
        <v>0</v>
      </c>
      <c r="J20" s="986">
        <f>SUM(J17:J19)</f>
        <v>905.48319327731087</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6.1491961720387421E-2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2022-07-26T12:04:15Z</dcterms:modified>
</cp:coreProperties>
</file>