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EB290406-12D8-47BE-9C82-301E6E6F1E6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<sst xmlns="http://schemas.openxmlformats.org/spreadsheetml/2006/main" count="2451" uniqueCount="914">
  <si>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</si>
  <si>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</si>
  <si>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</si>
  <si>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</si>
  <si>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</si>
  <si>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</si>
  <si>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</si>
  <si>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</si>
  <si>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</si>
  <si>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</si>
  <si>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</si>
  <si>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</si>
  <si>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</si>
  <si>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</si>
  <si>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</si>
  <si>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</si>
  <si>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</si>
  <si>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</si>
  <si>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</si>
  <si>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</si>
  <si>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</si>
  <si>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</si>
  <si>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</si>
  <si>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</si>
  <si>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</si>
  <si>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</si>
  <si>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</si>
  <si>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</si>
  <si>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</si>
  <si>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</si>
  <si>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</si>
  <si>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</si>
  <si>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</si>
  <si>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</si>
  <si>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</si>
  <si>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</si>
  <si>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</si>
  <si>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</si>
  <si>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</si>
  <si>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</si>
  <si>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</si>
  <si>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</si>
  <si>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</si>
  <si>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</si>
  <si>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</si>
  <si>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</si>
  <si>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</si>
  <si>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</si>
  <si>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</si>
  <si>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</si>
  <si>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</si>
  <si>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</si>
  <si>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</si>
  <si>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</si>
  <si>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</si>
  <si>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</si>
  <si>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</si>
  <si>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</si>
  <si>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</si>
  <si>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</si>
  <si>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</si>
  <si>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</si>
  <si>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</si>
  <si>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</si>
  <si>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</si>
  <si>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</si>
  <si>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</si>
  <si>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</si>
  <si>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</si>
  <si>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</si>
  <si>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</si>
  <si>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</si>
  <si>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</si>
  <si>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</si>
  <si>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</si>
  <si>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</si>
  <si>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</si>
  <si>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</si>
  <si>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</si>
  <si>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</si>
  <si>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</si>
  <si>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</si>
  <si>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</si>
  <si>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</si>
  <si>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</si>
  <si>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</si>
  <si>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</si>
  <si>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</si>
  <si>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</si>
  <si>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</si>
  <si>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</si>
  <si>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</si>
  <si>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</si>
  <si>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</si>
  <si>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</si>
  <si>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</si>
  <si>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</si>
  <si>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</si>
  <si>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</si>
  <si>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</si>
  <si>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</si>
  <si>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</si>
  <si>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</si>
  <si>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</si>
  <si>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</si>
  <si>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</si>
  <si>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</si>
  <si>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</si>
  <si>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</si>
  <si>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</si>
  <si>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</si>
  <si>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</si>
  <si>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</si>
  <si>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</si>
  <si>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</si>
  <si>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</si>
  <si>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</si>
  <si>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</si>
  <si>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</si>
  <si>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</si>
  <si>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</si>
  <si>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</si>
  <si>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</si>
  <si>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</si>
  <si>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</si>
  <si>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</si>
  <si>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</si>
  <si>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</si>
  <si>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</si>
  <si>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</si>
  <si>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</si>
  <si>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</si>
  <si>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</si>
  <si>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</si>
  <si>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</si>
  <si>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</si>
  <si>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</si>
  <si>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</si>
  <si>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</si>
  <si>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</si>
  <si>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</si>
  <si>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</si>
  <si>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</si>
  <si>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</si>
  <si>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</si>
  <si>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</si>
  <si>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</si>
  <si>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</si>
  <si>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</si>
  <si>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</si>
  <si>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</si>
  <si>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</si>
  <si>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</si>
  <si>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</si>
  <si>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</si>
  <si>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</si>
  <si>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</si>
  <si>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</si>
  <si>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</si>
  <si>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</si>
  <si>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</si>
  <si>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</si>
  <si>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</si>
  <si>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</si>
  <si>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</si>
  <si>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</si>
  <si>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</si>
  <si>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</si>
  <si>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</si>
  <si>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</si>
  <si>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</si>
  <si>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</si>
  <si>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</si>
  <si>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</si>
  <si>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</si>
  <si>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</si>
  <si>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</si>
  <si>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</si>
  <si>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</si>
  <si>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</si>
  <si>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</si>
  <si>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</si>
  <si>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</si>
  <si>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</si>
  <si>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</si>
  <si>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</si>
  <si>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</si>
  <si>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</si>
  <si>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</si>
  <si>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</si>
  <si>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</si>
  <si>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</si>
  <si>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</si>
  <si>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</si>
  <si>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</si>
  <si>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</si>
  <si>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</si>
  <si>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</si>
  <si>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</si>
  <si>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</si>
  <si>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</si>
  <si>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</si>
  <si>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</si>
  <si>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</si>
  <si>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</si>
  <si>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</si>
  <si>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</si>
  <si>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</si>
  <si>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</si>
  <si>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</si>
  <si>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</si>
  <si>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</si>
  <si>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</si>
  <si>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</si>
  <si>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</si>
  <si>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</si>
  <si>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</si>
  <si>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</si>
  <si>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</si>
  <si>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</si>
  <si>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</si>
  <si>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</si>
  <si>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</si>
  <si>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</si>
  <si>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</si>
  <si>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</si>
  <si>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</si>
  <si>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</si>
  <si>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</si>
  <si>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</si>
  <si>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</si>
  <si>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</si>
  <si>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</si>
  <si>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</si>
  <si>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</si>
  <si>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</si>
  <si>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</si>
  <si>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</si>
  <si>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</si>
  <si>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</si>
  <si>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</si>
  <si>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</si>
  <si>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</si>
  <si>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</si>
  <si>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</si>
  <si>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</si>
  <si>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</si>
  <si>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</si>
  <si>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</si>
  <si>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</si>
  <si>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</si>
  <si>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</si>
  <si>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</si>
  <si>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</si>
  <si>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</si>
  <si>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</si>
  <si>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</si>
  <si>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</si>
  <si>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</si>
  <si>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</si>
  <si>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</si>
  <si>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</si>
  <si>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</si>
  <si>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</si>
  <si>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</si>
  <si>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</si>
  <si>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</si>
  <si>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</si>
  <si>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</si>
  <si>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</si>
  <si>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</si>
  <si>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</si>
  <si>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</si>
  <si>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</si>
  <si>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</si>
  <si>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</si>
  <si>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</si>
  <si>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</si>
  <si>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</si>
  <si>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</si>
  <si>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</si>
  <si>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</si>
  <si>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</si>
  <si>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</si>
  <si>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</si>
  <si>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</si>
  <si>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</si>
  <si>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</si>
  <si>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</si>
  <si>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</si>
  <si>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</si>
  <si>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</si>
  <si>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</si>
  <si>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</si>
  <si>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</si>
  <si>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</si>
  <si>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</si>
  <si>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</si>
  <si>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</si>
  <si>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</si>
  <si>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</si>
  <si>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</si>
  <si>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</si>
  <si>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</si>
  <si>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</si>
  <si>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</si>
  <si>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</si>
  <si>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</si>
  <si>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</si>
  <si>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</si>
  <si>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</si>
  <si>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</si>
  <si>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</si>
  <si>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</si>
  <si>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</si>
  <si>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</si>
  <si>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</si>
  <si>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</si>
  <si>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</si>
  <si>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</si>
  <si>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</si>
  <si>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</si>
  <si>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</si>
  <si>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</si>
  <si>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</si>
  <si>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</si>
  <si>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</si>
  <si>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</si>
  <si>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</si>
  <si>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</si>
  <si>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</si>
  <si>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</si>
  <si>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</si>
  <si>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</si>
  <si>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</si>
  <si>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</si>
  <si>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</si>
  <si>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</si>
  <si>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</si>
  <si>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</si>
  <si>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</si>
  <si>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</si>
  <si>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</si>
  <si>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</si>
  <si>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</si>
  <si>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</si>
  <si>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</si>
  <si>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</si>
  <si>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</si>
  <si>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</si>
  <si>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</si>
  <si>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</si>
  <si>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</si>
  <si>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</si>
  <si>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</si>
  <si>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</si>
  <si>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</si>
  <si>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</si>
  <si>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</si>
  <si>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</si>
  <si>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</si>
  <si>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</si>
  <si>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</si>
  <si>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</si>
  <si>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</si>
  <si>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</si>
  <si>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</si>
  <si>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</si>
  <si>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</si>
  <si>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</si>
  <si>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</si>
  <si>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</si>
  <si>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</si>
  <si>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</si>
  <si>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</si>
  <si>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</si>
  <si>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</si>
  <si>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</si>
  <si>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</si>
  <si>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</si>
  <si>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</si>
  <si>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</si>
  <si>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</si>
  <si>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</si>
  <si>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</si>
  <si>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</si>
  <si>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</si>
  <si>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</si>
  <si>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</si>
  <si>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</si>
  <si>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</si>
  <si>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</si>
  <si>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</si>
  <si>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</si>
  <si>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</si>
  <si>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</si>
  <si>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</si>
  <si>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</si>
  <si>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</si>
  <si>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</si>
  <si>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</si>
  <si>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</si>
  <si>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</si>
  <si>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</si>
  <si>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</si>
  <si>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</si>
  <si>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</si>
  <si>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</si>
  <si>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</si>
  <si>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</si>
  <si>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</si>
  <si>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</si>
  <si>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</si>
  <si>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</si>
  <si>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</si>
  <si>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</si>
  <si>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</si>
  <si>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</si>
  <si>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</si>
  <si>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</si>
  <si>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</si>
  <si>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</si>
  <si>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</si>
  <si>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</si>
  <si>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</si>
  <si>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</si>
  <si>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</si>
  <si>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</si>
  <si>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</si>
  <si>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</si>
  <si>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</si>
  <si>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</si>
  <si>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</si>
  <si>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</si>
  <si>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</si>
  <si>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</si>
  <si>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</si>
  <si>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</si>
  <si>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</si>
  <si>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</si>
  <si>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</si>
  <si>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</si>
  <si>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</si>
  <si>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</si>
  <si>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</si>
  <si>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</si>
  <si>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</si>
  <si>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</si>
  <si>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</si>
  <si>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</si>
  <si>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</si>
  <si>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</si>
  <si>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</si>
  <si>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</si>
  <si>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</si>
  <si>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</si>
  <si>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</si>
  <si>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</si>
  <si>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</si>
  <si>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</si>
  <si>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</si>
  <si>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</si>
  <si>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</si>
  <si>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</si>
  <si>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</si>
  <si>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</si>
  <si>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</si>
  <si>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</si>
  <si>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</si>
  <si>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</si>
  <si>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</si>
  <si>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</si>
  <si>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</si>
  <si>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</si>
  <si>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</si>
  <si>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</si>
  <si>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</si>
  <si>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</si>
  <si>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</si>
  <si>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</si>
  <si>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</si>
  <si>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</si>
  <si>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</si>
  <si>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</si>
  <si>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</si>
  <si>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</si>
  <si>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</si>
  <si>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</si>
  <si>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</si>
  <si>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</si>
  <si>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</si>
  <si>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</si>
  <si>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</si>
  <si>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</si>
  <si>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</si>
  <si>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</si>
  <si>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</si>
  <si>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</si>
  <si>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</si>
  <si>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</si>
  <si>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</si>
  <si>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</si>
  <si>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</si>
  <si>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</si>
  <si>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</si>
  <si>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</si>
  <si>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</si>
  <si>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</si>
  <si>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</si>
  <si>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</si>
  <si>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</si>
  <si>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</si>
  <si>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</si>
  <si>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</si>
  <si>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</si>
  <si>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</si>
  <si>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</si>
  <si>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</si>
  <si>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</si>
  <si>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</si>
  <si>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</si>
  <si>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</si>
  <si>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</si>
  <si>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</si>
  <si>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</si>
  <si>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</si>
  <si>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</si>
  <si>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</si>
  <si>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</si>
  <si>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</si>
  <si>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</si>
  <si>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</si>
  <si>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</si>
  <si>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</si>
  <si>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</si>
  <si>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</si>
  <si>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</si>
  <si>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</si>
  <si>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</si>
  <si>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</si>
  <si>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</si>
  <si>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</si>
  <si>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</si>
  <si>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</si>
  <si>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</si>
  <si>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</si>
  <si>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</si>
  <si>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</si>
  <si>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</si>
  <si>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</si>
  <si>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</si>
  <si>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</si>
  <si>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</si>
  <si>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</si>
  <si>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</si>
  <si>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</si>
  <si>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</si>
  <si>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</si>
  <si>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</si>
  <si>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</si>
  <si>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</si>
  <si>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</si>
  <si>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</si>
  <si>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</si>
  <si>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</si>
  <si>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</si>
  <si>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</si>
  <si>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</si>
  <si>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</si>
  <si>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</si>
  <si>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</si>
  <si>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</si>
  <si>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</si>
  <si>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</si>
  <si>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</si>
  <si>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</si>
  <si>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</si>
  <si>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</si>
  <si>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</si>
  <si>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</si>
  <si>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</si>
  <si>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</si>
  <si>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</si>
  <si>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</si>
  <si>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</si>
  <si>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</si>
  <si>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</si>
  <si>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</si>
  <si>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</si>
  <si>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</si>
  <si>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</si>
  <si>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</si>
  <si>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</si>
  <si>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</si>
  <si>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</si>
  <si>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</si>
  <si>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</si>
  <si>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</si>
  <si>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</si>
  <si>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</si>
  <si>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</si>
  <si>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</si>
  <si>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</si>
  <si>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</si>
  <si>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</si>
  <si>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</si>
  <si>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</si>
  <si>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</si>
  <si>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</si>
  <si>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</si>
  <si>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</si>
  <si>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</si>
  <si>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</si>
  <si>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</si>
  <si>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</si>
  <si>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</si>
  <si>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</si>
  <si>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</si>
  <si>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</si>
  <si>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</si>
  <si>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</si>
  <si>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</si>
  <si>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</si>
  <si>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</si>
  <si>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</si>
  <si>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</si>
  <si>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</si>
  <si>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</si>
  <si>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</si>
  <si>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</si>
  <si>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</si>
  <si>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</si>
  <si>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</si>
  <si>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</si>
  <si>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</si>
  <si>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</si>
  <si>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</si>
  <si>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</si>
  <si>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</si>
  <si>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</si>
  <si>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</si>
  <si>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</si>
  <si>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</si>
  <si>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</si>
  <si>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</si>
  <si>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</si>
  <si>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</si>
  <si>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</si>
  <si>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</si>
  <si>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</si>
  <si>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</si>
  <si>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</si>
  <si>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</si>
  <si>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</si>
  <si>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</si>
  <si>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</si>
  <si>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</si>
  <si>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</si>
  <si>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</si>
  <si>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</si>
  <si>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</si>
  <si>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</si>
  <si>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</si>
  <si>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</si>
  <si>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</si>
  <si>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</si>
  <si>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</si>
  <si>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</si>
  <si>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</si>
  <si>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</si>
  <si>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</si>
  <si>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</si>
  <si>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</si>
  <si>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</si>
  <si>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</si>
  <si>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</si>
  <si>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</si>
  <si>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</si>
  <si>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</si>
  <si>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</si>
  <si>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</si>
  <si>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</si>
  <si>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</si>
  <si>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</si>
  <si>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</si>
  <si>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</si>
  <si>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</si>
  <si>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</si>
  <si>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</si>
  <si>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</si>
  <si>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</si>
  <si>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</si>
  <si>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</si>
  <si>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</si>
  <si>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</si>
  <si>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</si>
  <si>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</si>
  <si>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</si>
  <si>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</si>
  <si>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</si>
  <si>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</si>
  <si>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</si>
  <si>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</si>
  <si>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</si>
  <si>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</si>
  <si>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</si>
  <si>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</si>
  <si>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</si>
  <si>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</si>
  <si>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</si>
  <si>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</si>
  <si>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</si>
  <si>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</si>
  <si>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</si>
  <si>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</si>
  <si>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</si>
  <si>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</si>
  <si>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</si>
  <si>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</si>
  <si>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</si>
  <si>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</si>
  <si>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</si>
  <si>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</si>
  <si>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</si>
  <si>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</si>
  <si>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</si>
  <si>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</si>
  <si>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</si>
  <si>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</si>
  <si>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</si>
  <si>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</si>
  <si>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</si>
  <si>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</si>
  <si>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</si>
  <si>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</si>
  <si>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</si>
  <si>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</si>
  <si>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</si>
  <si>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</si>
  <si>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</si>
  <si>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</si>
  <si>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</si>
  <si>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</si>
  <si>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</si>
  <si>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</si>
  <si>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</si>
  <si>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</si>
  <si>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</si>
  <si>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</si>
  <si>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</si>
  <si>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</si>
  <si>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</si>
  <si>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</si>
  <si>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</si>
  <si>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</si>
  <si>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</si>
  <si>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</si>
  <si>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</si>
  <si>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</si>
  <si>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</si>
  <si>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</si>
  <si>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</si>
  <si>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</si>
  <si>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</si>
  <si>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</si>
  <si>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</si>
  <si>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</si>
  <si>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</si>
  <si>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</si>
  <si>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</si>
  <si>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</si>
  <si>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</si>
  <si>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</si>
  <si>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</si>
  <si>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</si>
  <si>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</si>
  <si>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</si>
  <si>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</si>
  <si>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</si>
  <si>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</si>
  <si>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</si>
  <si>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</si>
  <si>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</si>
  <si>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</si>
  <si>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</si>
  <si>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</si>
  <si>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</si>
  <si>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</si>
  <si>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</si>
  <si>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</si>
  <si>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</si>
  <si>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</si>
  <si>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</si>
  <si>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</si>
  <si>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</si>
  <si>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</si>
  <si>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</si>
  <si>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</si>
  <si>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</si>
  <si>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</si>
  <si>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</si>
  <si>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</si>
  <si>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</si>
  <si>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</si>
  <si>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</si>
  <si>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</si>
  <si>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</si>
  <si>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</si>
  <si>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</si>
  <si>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</si>
  <si>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</si>
  <si>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</si>
  <si>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</si>
  <si>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</si>
  <si>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</si>
  <si>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</si>
  <si>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</si>
  <si>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</si>
  <si>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</si>
  <si>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</si>
  <si>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</si>
  <si>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</si>
  <si>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</si>
  <si>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</si>
  <si>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</si>
  <si>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</si>
  <si>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</si>
  <si>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</si>
  <si>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</si>
  <si>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</si>
  <si>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</si>
  <si>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</si>
  <si>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</si>
  <si>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</si>
  <si>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</si>
  <si>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</si>
  <si>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</si>
  <si>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</si>
  <si>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</si>
  <si>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</si>
  <si>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</si>
  <si>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</si>
  <si>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</si>
  <si>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</si>
  <si>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</si>
  <si>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</si>
  <si>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</si>
  <si>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</si>
  <si>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</si>
  <si>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</si>
  <si>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</si>
  <si>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</si>
  <si>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</si>
  <si>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</si>
  <si>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</si>
  <si>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</si>
  <si>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</si>
  <si>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</si>
  <si>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</si>
  <si>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</si>
  <si>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</si>
  <si>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</si>
  <si>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</si>
  <si>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</si>
  <si>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</si>
  <si>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</si>
  <si>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</si>
  <si>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</si>
  <si>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</si>
  <si>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</si>
  <si>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</si>
  <si>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</si>
  <si>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</si>
  <si>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</si>
  <si>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</si>
  <si>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</si>
  <si>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</si>
  <si>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</si>
  <si>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</si>
  <si>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</si>
  <si>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</si>
  <si>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</si>
  <si>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</si>
  <si>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</si>
  <si>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</si>
  <si>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</si>
  <si>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</si>
  <si>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</si>
  <si>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</si>
  <si>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</si>
  <si>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</si>
  <si>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</si>
  <si>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</si>
  <si>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</si>
  <si>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</si>
  <si>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</si>
  <si>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</si>
  <si>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</si>
  <si>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</si>
  <si>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</si>
  <si>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</si>
  <si>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</si>
  <si>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24062</t>
  </si>
  <si>
    <t>LEUVEN</t>
  </si>
  <si>
    <t>Cultuurgrond (ha)</t>
  </si>
  <si>
    <t>Paarden&amp;pony's 200 - 600 kg</t>
  </si>
  <si>
    <t>Paarden&amp;pony's &lt; 200 kg</t>
  </si>
  <si>
    <t>vloeibaar gas (MWh)</t>
  </si>
  <si>
    <t>interne verbrandingsmotor</t>
  </si>
  <si>
    <t>WKK interne verbrandinsgmotor (gas)</t>
  </si>
  <si>
    <t>IVERLEK</t>
  </si>
  <si>
    <t>biogas - RWZI</t>
  </si>
  <si>
    <t>niet WKK interne verbrandingsmotor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</si>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</sst>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424E888F-080E-4D44-9990-EBCEDC193CE5}"/>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1063089.0167817089</c:v>
                </c:pt>
                <c:pt idx="1">
                  <c:v>1068565.6815836141</c:v>
                </c:pt>
                <c:pt idx="2">
                  <c:v>5540.8969999999999</c:v>
                </c:pt>
                <c:pt idx="3">
                  <c:v>8009.0272156817364</c:v>
                </c:pt>
                <c:pt idx="4">
                  <c:v>343621.61627984996</c:v>
                </c:pt>
                <c:pt idx="5">
                  <c:v>556544.67265687103</c:v>
                </c:pt>
                <c:pt idx="6">
                  <c:v>25424.249998246694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1063089.0167817089</c:v>
                </c:pt>
                <c:pt idx="1">
                  <c:v>1068565.6815836141</c:v>
                </c:pt>
                <c:pt idx="2">
                  <c:v>5540.8969999999999</c:v>
                </c:pt>
                <c:pt idx="3">
                  <c:v>8009.0272156817364</c:v>
                </c:pt>
                <c:pt idx="4">
                  <c:v>343621.61627984996</c:v>
                </c:pt>
                <c:pt idx="5">
                  <c:v>556544.67265687103</c:v>
                </c:pt>
                <c:pt idx="6">
                  <c:v>25424.249998246694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226532.16038198458</c:v>
                </c:pt>
                <c:pt idx="2">
                  <c:v>226041.78547673777</c:v>
                </c:pt>
                <c:pt idx="3">
                  <c:v>1205.1962484094192</c:v>
                </c:pt>
                <c:pt idx="4">
                  <c:v>1991.8225432448601</c:v>
                </c:pt>
                <c:pt idx="5">
                  <c:v>73948.740003272236</c:v>
                </c:pt>
                <c:pt idx="6">
                  <c:v>140548.3971745515</c:v>
                </c:pt>
                <c:pt idx="7">
                  <c:v>6492.2149697012264</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226532.16038198458</c:v>
                </c:pt>
                <c:pt idx="2">
                  <c:v>226041.78547673777</c:v>
                </c:pt>
                <c:pt idx="3">
                  <c:v>1205.1962484094192</c:v>
                </c:pt>
                <c:pt idx="4">
                  <c:v>1991.8225432448601</c:v>
                </c:pt>
                <c:pt idx="5">
                  <c:v>73948.740003272236</c:v>
                </c:pt>
                <c:pt idx="6">
                  <c:v>140548.3971745515</c:v>
                </c:pt>
                <c:pt idx="7">
                  <c:v>6492.2149697012264</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24062</v>
      </c>
      <c r="B6" s="385"/>
      <c r="C6" s="386"/>
    </row>
    <row r="7" spans="1:7" s="383" customFormat="1" ht="15.75" customHeight="1">
      <c r="A7" s="387" t="str">
        <f>txtMunicipality</f>
        <v>LEUVEN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0.21750923152143403</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0.21750923152143403</v>
      </c>
      <c r="C29" s="499">
        <f ca="1">'EF ele_warmte'!B22</f>
        <v>0.23764705882352946</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48100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1093</v>
      </c>
      <c r="C14" s="327"/>
      <c r="D14" s="327"/>
      <c r="E14" s="327"/>
      <c r="F14" s="327"/>
    </row>
    <row r="15" spans="1:6">
      <c r="A15" s="1258" t="s">
        <v>177</v>
      </c>
      <c r="B15" s="1259">
        <v>1</v>
      </c>
      <c r="C15" s="327"/>
      <c r="D15" s="327"/>
      <c r="E15" s="327"/>
      <c r="F15" s="327"/>
    </row>
    <row r="16" spans="1:6">
      <c r="A16" s="1258" t="s">
        <v>6</v>
      </c>
      <c r="B16" s="1259">
        <v>115</v>
      </c>
      <c r="C16" s="327"/>
      <c r="D16" s="327"/>
      <c r="E16" s="327"/>
      <c r="F16" s="327"/>
    </row>
    <row r="17" spans="1:6">
      <c r="A17" s="1258" t="s">
        <v>7</v>
      </c>
      <c r="B17" s="1259">
        <v>136</v>
      </c>
      <c r="C17" s="327"/>
      <c r="D17" s="327"/>
      <c r="E17" s="327"/>
      <c r="F17" s="327"/>
    </row>
    <row r="18" spans="1:6">
      <c r="A18" s="1258" t="s">
        <v>8</v>
      </c>
      <c r="B18" s="1259">
        <v>176</v>
      </c>
      <c r="C18" s="327"/>
      <c r="D18" s="327"/>
      <c r="E18" s="327"/>
      <c r="F18" s="327"/>
    </row>
    <row r="19" spans="1:6">
      <c r="A19" s="1258" t="s">
        <v>9</v>
      </c>
      <c r="B19" s="1259">
        <v>143</v>
      </c>
      <c r="C19" s="327"/>
      <c r="D19" s="327"/>
      <c r="E19" s="327"/>
      <c r="F19" s="327"/>
    </row>
    <row r="20" spans="1:6">
      <c r="A20" s="1258" t="s">
        <v>10</v>
      </c>
      <c r="B20" s="1259">
        <v>127</v>
      </c>
      <c r="C20" s="327"/>
      <c r="D20" s="327"/>
      <c r="E20" s="327"/>
      <c r="F20" s="327"/>
    </row>
    <row r="21" spans="1:6">
      <c r="A21" s="1258" t="s">
        <v>11</v>
      </c>
      <c r="B21" s="1259">
        <v>0</v>
      </c>
      <c r="C21" s="327"/>
      <c r="D21" s="327"/>
      <c r="E21" s="327"/>
      <c r="F21" s="327"/>
    </row>
    <row r="22" spans="1:6">
      <c r="A22" s="1258" t="s">
        <v>12</v>
      </c>
      <c r="B22" s="1259">
        <v>50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244</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75</v>
      </c>
      <c r="C29" s="327"/>
      <c r="D29" s="327"/>
      <c r="E29" s="327"/>
      <c r="F29" s="327"/>
    </row>
    <row r="30" spans="1:6">
      <c r="A30" s="1253" t="s">
        <v>906</v>
      </c>
      <c r="B30" s="1261">
        <v>11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22</v>
      </c>
      <c r="D36" s="1259">
        <v>4710201.6405131603</v>
      </c>
      <c r="E36" s="1259">
        <v>28</v>
      </c>
      <c r="F36" s="1259">
        <v>740568.95066104201</v>
      </c>
    </row>
    <row r="37" spans="1:6">
      <c r="A37" s="1258" t="s">
        <v>24</v>
      </c>
      <c r="B37" s="1258" t="s">
        <v>27</v>
      </c>
      <c r="C37" s="1259">
        <v>0</v>
      </c>
      <c r="D37" s="1259">
        <v>0</v>
      </c>
      <c r="E37" s="1259">
        <v>0</v>
      </c>
      <c r="F37" s="1259">
        <v>0</v>
      </c>
    </row>
    <row r="38" spans="1:6">
      <c r="A38" s="1258" t="s">
        <v>24</v>
      </c>
      <c r="B38" s="1258" t="s">
        <v>28</v>
      </c>
      <c r="C38" s="1259">
        <v>7</v>
      </c>
      <c r="D38" s="1259">
        <v>1547917.1798600301</v>
      </c>
      <c r="E38" s="1259">
        <v>8</v>
      </c>
      <c r="F38" s="1259">
        <v>145320.193939141</v>
      </c>
    </row>
    <row r="39" spans="1:6">
      <c r="A39" s="1258" t="s">
        <v>29</v>
      </c>
      <c r="B39" s="1258" t="s">
        <v>30</v>
      </c>
      <c r="C39" s="1259">
        <v>28740</v>
      </c>
      <c r="D39" s="1259">
        <v>499589967.54689997</v>
      </c>
      <c r="E39" s="1259">
        <v>46114</v>
      </c>
      <c r="F39" s="1259">
        <v>143524772.617342</v>
      </c>
    </row>
    <row r="40" spans="1:6">
      <c r="A40" s="1258" t="s">
        <v>29</v>
      </c>
      <c r="B40" s="1258" t="s">
        <v>28</v>
      </c>
      <c r="C40" s="1259">
        <v>0</v>
      </c>
      <c r="D40" s="1259">
        <v>0</v>
      </c>
      <c r="E40" s="1259">
        <v>0</v>
      </c>
      <c r="F40" s="1259">
        <v>0</v>
      </c>
    </row>
    <row r="41" spans="1:6">
      <c r="A41" s="1258" t="s">
        <v>31</v>
      </c>
      <c r="B41" s="1258" t="s">
        <v>32</v>
      </c>
      <c r="C41" s="1259">
        <v>248</v>
      </c>
      <c r="D41" s="1259">
        <v>34850740.423423499</v>
      </c>
      <c r="E41" s="1259">
        <v>533</v>
      </c>
      <c r="F41" s="1259">
        <v>36666286.067494601</v>
      </c>
    </row>
    <row r="42" spans="1:6">
      <c r="A42" s="1258" t="s">
        <v>31</v>
      </c>
      <c r="B42" s="1258" t="s">
        <v>33</v>
      </c>
      <c r="C42" s="1259">
        <v>0</v>
      </c>
      <c r="D42" s="1259">
        <v>0</v>
      </c>
      <c r="E42" s="1259">
        <v>3</v>
      </c>
      <c r="F42" s="1259">
        <v>31353.995812347199</v>
      </c>
    </row>
    <row r="43" spans="1:6">
      <c r="A43" s="1258" t="s">
        <v>31</v>
      </c>
      <c r="B43" s="1258" t="s">
        <v>34</v>
      </c>
      <c r="C43" s="1259">
        <v>0</v>
      </c>
      <c r="D43" s="1259">
        <v>0</v>
      </c>
      <c r="E43" s="1259">
        <v>0</v>
      </c>
      <c r="F43" s="1259">
        <v>0</v>
      </c>
    </row>
    <row r="44" spans="1:6">
      <c r="A44" s="1258" t="s">
        <v>31</v>
      </c>
      <c r="B44" s="1258" t="s">
        <v>35</v>
      </c>
      <c r="C44" s="1259">
        <v>7</v>
      </c>
      <c r="D44" s="1259">
        <v>277556.61021116201</v>
      </c>
      <c r="E44" s="1259">
        <v>45</v>
      </c>
      <c r="F44" s="1259">
        <v>2995766.98463772</v>
      </c>
    </row>
    <row r="45" spans="1:6">
      <c r="A45" s="1258" t="s">
        <v>31</v>
      </c>
      <c r="B45" s="1258" t="s">
        <v>36</v>
      </c>
      <c r="C45" s="1259">
        <v>3</v>
      </c>
      <c r="D45" s="1259">
        <v>85056.118096604507</v>
      </c>
      <c r="E45" s="1259">
        <v>8</v>
      </c>
      <c r="F45" s="1259">
        <v>54910.7029449521</v>
      </c>
    </row>
    <row r="46" spans="1:6">
      <c r="A46" s="1258" t="s">
        <v>31</v>
      </c>
      <c r="B46" s="1258" t="s">
        <v>37</v>
      </c>
      <c r="C46" s="1259">
        <v>0</v>
      </c>
      <c r="D46" s="1259">
        <v>0</v>
      </c>
      <c r="E46" s="1259">
        <v>0</v>
      </c>
      <c r="F46" s="1259">
        <v>0</v>
      </c>
    </row>
    <row r="47" spans="1:6">
      <c r="A47" s="1258" t="s">
        <v>31</v>
      </c>
      <c r="B47" s="1258" t="s">
        <v>38</v>
      </c>
      <c r="C47" s="1259">
        <v>28</v>
      </c>
      <c r="D47" s="1259">
        <v>1304919.83736158</v>
      </c>
      <c r="E47" s="1259">
        <v>43</v>
      </c>
      <c r="F47" s="1259">
        <v>1040869.66544294</v>
      </c>
    </row>
    <row r="48" spans="1:6">
      <c r="A48" s="1258" t="s">
        <v>31</v>
      </c>
      <c r="B48" s="1258" t="s">
        <v>28</v>
      </c>
      <c r="C48" s="1259">
        <v>104</v>
      </c>
      <c r="D48" s="1259">
        <v>85387659.3658081</v>
      </c>
      <c r="E48" s="1259">
        <v>111</v>
      </c>
      <c r="F48" s="1259">
        <v>46062141.086603202</v>
      </c>
    </row>
    <row r="49" spans="1:6">
      <c r="A49" s="1258" t="s">
        <v>31</v>
      </c>
      <c r="B49" s="1258" t="s">
        <v>39</v>
      </c>
      <c r="C49" s="1259">
        <v>6</v>
      </c>
      <c r="D49" s="1259">
        <v>224137.70111591701</v>
      </c>
      <c r="E49" s="1259">
        <v>11</v>
      </c>
      <c r="F49" s="1259">
        <v>113118.7867925</v>
      </c>
    </row>
    <row r="50" spans="1:6">
      <c r="A50" s="1258" t="s">
        <v>31</v>
      </c>
      <c r="B50" s="1258" t="s">
        <v>40</v>
      </c>
      <c r="C50" s="1259">
        <v>45</v>
      </c>
      <c r="D50" s="1259">
        <v>8718335.6413133703</v>
      </c>
      <c r="E50" s="1259">
        <v>69</v>
      </c>
      <c r="F50" s="1259">
        <v>29404490.802696899</v>
      </c>
    </row>
    <row r="51" spans="1:6">
      <c r="A51" s="1258" t="s">
        <v>41</v>
      </c>
      <c r="B51" s="1258" t="s">
        <v>42</v>
      </c>
      <c r="C51" s="1259">
        <v>6</v>
      </c>
      <c r="D51" s="1259">
        <v>474521.10302734701</v>
      </c>
      <c r="E51" s="1259">
        <v>22</v>
      </c>
      <c r="F51" s="1259">
        <v>627695.16068332002</v>
      </c>
    </row>
    <row r="52" spans="1:6">
      <c r="A52" s="1258" t="s">
        <v>41</v>
      </c>
      <c r="B52" s="1258" t="s">
        <v>28</v>
      </c>
      <c r="C52" s="1259">
        <v>10</v>
      </c>
      <c r="D52" s="1259">
        <v>1047835.64300563</v>
      </c>
      <c r="E52" s="1259">
        <v>21</v>
      </c>
      <c r="F52" s="1259">
        <v>793417.22977631702</v>
      </c>
    </row>
    <row r="53" spans="1:6">
      <c r="A53" s="1258" t="s">
        <v>43</v>
      </c>
      <c r="B53" s="1258" t="s">
        <v>44</v>
      </c>
      <c r="C53" s="1259">
        <v>1289</v>
      </c>
      <c r="D53" s="1259">
        <v>40541611.913348898</v>
      </c>
      <c r="E53" s="1259">
        <v>2545</v>
      </c>
      <c r="F53" s="1259">
        <v>18173866.816826899</v>
      </c>
    </row>
    <row r="54" spans="1:6">
      <c r="A54" s="1258" t="s">
        <v>45</v>
      </c>
      <c r="B54" s="1258" t="s">
        <v>46</v>
      </c>
      <c r="C54" s="1259">
        <v>0</v>
      </c>
      <c r="D54" s="1259">
        <v>0</v>
      </c>
      <c r="E54" s="1259">
        <v>1</v>
      </c>
      <c r="F54" s="1259">
        <v>5540897</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284</v>
      </c>
      <c r="D57" s="1259">
        <v>22137516.5023285</v>
      </c>
      <c r="E57" s="1259">
        <v>509</v>
      </c>
      <c r="F57" s="1259">
        <v>23896932.730904099</v>
      </c>
    </row>
    <row r="58" spans="1:6">
      <c r="A58" s="1258" t="s">
        <v>48</v>
      </c>
      <c r="B58" s="1258" t="s">
        <v>50</v>
      </c>
      <c r="C58" s="1259">
        <v>284</v>
      </c>
      <c r="D58" s="1259">
        <v>24287366.514539901</v>
      </c>
      <c r="E58" s="1259">
        <v>417</v>
      </c>
      <c r="F58" s="1259">
        <v>8569532.7762845401</v>
      </c>
    </row>
    <row r="59" spans="1:6">
      <c r="A59" s="1258" t="s">
        <v>48</v>
      </c>
      <c r="B59" s="1258" t="s">
        <v>51</v>
      </c>
      <c r="C59" s="1259">
        <v>636</v>
      </c>
      <c r="D59" s="1259">
        <v>33389299.991730001</v>
      </c>
      <c r="E59" s="1259">
        <v>1192</v>
      </c>
      <c r="F59" s="1259">
        <v>46562277.171921298</v>
      </c>
    </row>
    <row r="60" spans="1:6">
      <c r="A60" s="1258" t="s">
        <v>48</v>
      </c>
      <c r="B60" s="1258" t="s">
        <v>52</v>
      </c>
      <c r="C60" s="1259">
        <v>597</v>
      </c>
      <c r="D60" s="1259">
        <v>214986044.869315</v>
      </c>
      <c r="E60" s="1259">
        <v>713</v>
      </c>
      <c r="F60" s="1259">
        <v>227958854.910925</v>
      </c>
    </row>
    <row r="61" spans="1:6">
      <c r="A61" s="1258" t="s">
        <v>48</v>
      </c>
      <c r="B61" s="1258" t="s">
        <v>53</v>
      </c>
      <c r="C61" s="1259">
        <v>1674</v>
      </c>
      <c r="D61" s="1259">
        <v>192746443.347363</v>
      </c>
      <c r="E61" s="1259">
        <v>3526</v>
      </c>
      <c r="F61" s="1259">
        <v>107954023.782858</v>
      </c>
    </row>
    <row r="62" spans="1:6">
      <c r="A62" s="1258" t="s">
        <v>48</v>
      </c>
      <c r="B62" s="1258" t="s">
        <v>54</v>
      </c>
      <c r="C62" s="1259">
        <v>82</v>
      </c>
      <c r="D62" s="1259">
        <v>16887497.741773002</v>
      </c>
      <c r="E62" s="1259">
        <v>124</v>
      </c>
      <c r="F62" s="1259">
        <v>14884791.7632211</v>
      </c>
    </row>
    <row r="63" spans="1:6">
      <c r="A63" s="1258" t="s">
        <v>48</v>
      </c>
      <c r="B63" s="1258" t="s">
        <v>28</v>
      </c>
      <c r="C63" s="1259">
        <v>418</v>
      </c>
      <c r="D63" s="1259">
        <v>63924104.524457403</v>
      </c>
      <c r="E63" s="1259">
        <v>448</v>
      </c>
      <c r="F63" s="1259">
        <v>19683321.584959999</v>
      </c>
    </row>
    <row r="64" spans="1:6">
      <c r="A64" s="1258" t="s">
        <v>55</v>
      </c>
      <c r="B64" s="1258" t="s">
        <v>56</v>
      </c>
      <c r="C64" s="1259">
        <v>0</v>
      </c>
      <c r="D64" s="1259">
        <v>0</v>
      </c>
      <c r="E64" s="1259">
        <v>0</v>
      </c>
      <c r="F64" s="1259">
        <v>0</v>
      </c>
    </row>
    <row r="65" spans="1:6">
      <c r="A65" s="1258" t="s">
        <v>55</v>
      </c>
      <c r="B65" s="1258" t="s">
        <v>28</v>
      </c>
      <c r="C65" s="1259">
        <v>6</v>
      </c>
      <c r="D65" s="1259">
        <v>181186.94735029599</v>
      </c>
      <c r="E65" s="1259">
        <v>11</v>
      </c>
      <c r="F65" s="1259">
        <v>80540.314473552906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10</v>
      </c>
      <c r="D68" s="1261">
        <v>438067.74968045799</v>
      </c>
      <c r="E68" s="1261">
        <v>13</v>
      </c>
      <c r="F68" s="1261">
        <v>254128.91301042301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173938861</v>
      </c>
      <c r="E73" s="446"/>
      <c r="F73" s="327"/>
    </row>
    <row r="74" spans="1:6">
      <c r="A74" s="1258" t="s">
        <v>63</v>
      </c>
      <c r="B74" s="1258" t="s">
        <v>681</v>
      </c>
      <c r="C74" s="1271" t="s">
        <v>682</v>
      </c>
      <c r="D74" s="1259">
        <v>5587926.6165573839</v>
      </c>
      <c r="E74" s="446"/>
      <c r="F74" s="327"/>
    </row>
    <row r="75" spans="1:6">
      <c r="A75" s="1258" t="s">
        <v>64</v>
      </c>
      <c r="B75" s="1258" t="s">
        <v>679</v>
      </c>
      <c r="C75" s="1271" t="s">
        <v>683</v>
      </c>
      <c r="D75" s="1259">
        <v>110269643</v>
      </c>
      <c r="E75" s="446"/>
      <c r="F75" s="327"/>
    </row>
    <row r="76" spans="1:6">
      <c r="A76" s="1258" t="s">
        <v>64</v>
      </c>
      <c r="B76" s="1258" t="s">
        <v>681</v>
      </c>
      <c r="C76" s="1271" t="s">
        <v>684</v>
      </c>
      <c r="D76" s="1259">
        <v>390157.61655738438</v>
      </c>
      <c r="E76" s="446"/>
      <c r="F76" s="327"/>
    </row>
    <row r="77" spans="1:6">
      <c r="A77" s="1258" t="s">
        <v>65</v>
      </c>
      <c r="B77" s="1258" t="s">
        <v>679</v>
      </c>
      <c r="C77" s="1271" t="s">
        <v>685</v>
      </c>
      <c r="D77" s="1259">
        <v>362383566</v>
      </c>
      <c r="E77" s="446"/>
      <c r="F77" s="327"/>
    </row>
    <row r="78" spans="1:6">
      <c r="A78" s="1253" t="s">
        <v>65</v>
      </c>
      <c r="B78" s="1253" t="s">
        <v>681</v>
      </c>
      <c r="C78" s="1253" t="s">
        <v>686</v>
      </c>
      <c r="D78" s="1261">
        <v>33287574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6729046.7668852312</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63.898654708520183</v>
      </c>
      <c r="C89" s="327"/>
      <c r="D89" s="327"/>
      <c r="E89" s="327"/>
      <c r="F89" s="327"/>
    </row>
    <row r="90" spans="1:6">
      <c r="A90" s="1258" t="s">
        <v>543</v>
      </c>
      <c r="B90" s="1259">
        <v>0</v>
      </c>
      <c r="C90" s="327"/>
      <c r="D90" s="327"/>
      <c r="E90" s="327"/>
      <c r="F90" s="327"/>
    </row>
    <row r="91" spans="1:6">
      <c r="A91" s="1258" t="s">
        <v>67</v>
      </c>
      <c r="B91" s="1259">
        <v>7327.6565651389519</v>
      </c>
      <c r="C91" s="327"/>
      <c r="D91" s="327"/>
      <c r="E91" s="327"/>
      <c r="F91" s="327"/>
    </row>
    <row r="92" spans="1:6">
      <c r="A92" s="1253" t="s">
        <v>68</v>
      </c>
      <c r="B92" s="1254">
        <v>2951.2637540821847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21126</v>
      </c>
      <c r="C97" s="327"/>
      <c r="D97" s="327"/>
      <c r="E97" s="327"/>
      <c r="F97" s="327"/>
    </row>
    <row r="98" spans="1:6">
      <c r="A98" s="1258" t="s">
        <v>71</v>
      </c>
      <c r="B98" s="1259">
        <v>27</v>
      </c>
      <c r="C98" s="327"/>
      <c r="D98" s="327"/>
      <c r="E98" s="327"/>
      <c r="F98" s="327"/>
    </row>
    <row r="99" spans="1:6">
      <c r="A99" s="1258" t="s">
        <v>72</v>
      </c>
      <c r="B99" s="1259">
        <v>177</v>
      </c>
      <c r="C99" s="327"/>
      <c r="D99" s="327"/>
      <c r="E99" s="327"/>
      <c r="F99" s="327"/>
    </row>
    <row r="100" spans="1:6">
      <c r="A100" s="1258" t="s">
        <v>73</v>
      </c>
      <c r="B100" s="1259">
        <v>3087</v>
      </c>
      <c r="C100" s="327"/>
      <c r="D100" s="327"/>
      <c r="E100" s="327"/>
      <c r="F100" s="327"/>
    </row>
    <row r="101" spans="1:6">
      <c r="A101" s="1258" t="s">
        <v>74</v>
      </c>
      <c r="B101" s="1259">
        <v>75</v>
      </c>
      <c r="C101" s="327"/>
      <c r="D101" s="327"/>
      <c r="E101" s="327"/>
      <c r="F101" s="327"/>
    </row>
    <row r="102" spans="1:6">
      <c r="A102" s="1258" t="s">
        <v>75</v>
      </c>
      <c r="B102" s="1259">
        <v>1071</v>
      </c>
      <c r="C102" s="327"/>
      <c r="D102" s="327"/>
      <c r="E102" s="327"/>
      <c r="F102" s="327"/>
    </row>
    <row r="103" spans="1:6">
      <c r="A103" s="1258" t="s">
        <v>76</v>
      </c>
      <c r="B103" s="1259">
        <v>267</v>
      </c>
      <c r="C103" s="327"/>
      <c r="D103" s="327"/>
      <c r="E103" s="327"/>
      <c r="F103" s="327"/>
    </row>
    <row r="104" spans="1:6">
      <c r="A104" s="1258" t="s">
        <v>77</v>
      </c>
      <c r="B104" s="1259">
        <v>12359</v>
      </c>
      <c r="C104" s="327"/>
      <c r="D104" s="327"/>
      <c r="E104" s="327"/>
      <c r="F104" s="327"/>
    </row>
    <row r="105" spans="1:6">
      <c r="A105" s="1253" t="s">
        <v>78</v>
      </c>
      <c r="B105" s="1261">
        <v>69</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2</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3</v>
      </c>
      <c r="C121" s="1259">
        <v>0</v>
      </c>
      <c r="D121" s="327"/>
      <c r="E121" s="327"/>
      <c r="F121" s="327"/>
    </row>
    <row r="122" spans="1:6">
      <c r="A122" s="1258" t="s">
        <v>86</v>
      </c>
      <c r="B122" s="1259">
        <v>0</v>
      </c>
      <c r="C122" s="1259">
        <v>0</v>
      </c>
      <c r="D122" s="327"/>
      <c r="E122" s="327"/>
      <c r="F122" s="327"/>
    </row>
    <row r="123" spans="1:6">
      <c r="A123" s="1258" t="s">
        <v>87</v>
      </c>
      <c r="B123" s="1259">
        <v>19</v>
      </c>
      <c r="C123" s="1259">
        <v>33</v>
      </c>
      <c r="D123" s="327"/>
      <c r="E123" s="327"/>
      <c r="F123" s="327"/>
    </row>
    <row r="124" spans="1:6">
      <c r="A124" s="1258" t="s">
        <v>88</v>
      </c>
      <c r="B124" s="1259">
        <v>1</v>
      </c>
      <c r="C124" s="1259">
        <v>2</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341</v>
      </c>
      <c r="C129" s="327"/>
      <c r="D129" s="327"/>
      <c r="E129" s="327"/>
      <c r="F129" s="327"/>
    </row>
    <row r="130" spans="1:6">
      <c r="A130" s="1258" t="s">
        <v>284</v>
      </c>
      <c r="B130" s="1259">
        <v>6</v>
      </c>
      <c r="C130" s="327"/>
      <c r="D130" s="327"/>
      <c r="E130" s="327"/>
      <c r="F130" s="327"/>
    </row>
    <row r="131" spans="1:6">
      <c r="A131" s="1258" t="s">
        <v>285</v>
      </c>
      <c r="B131" s="1259">
        <v>10</v>
      </c>
      <c r="C131" s="327"/>
      <c r="D131" s="327"/>
      <c r="E131" s="327"/>
      <c r="F131" s="327"/>
    </row>
    <row r="132" spans="1:6">
      <c r="A132" s="1253" t="s">
        <v>286</v>
      </c>
      <c r="B132" s="1254">
        <v>18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743487.52676843188</v>
      </c>
      <c r="C3" s="43" t="s">
        <v>163</v>
      </c>
      <c r="D3" s="43"/>
      <c r="E3" s="156"/>
      <c r="F3" s="43"/>
      <c r="G3" s="43"/>
      <c r="H3" s="43"/>
      <c r="I3" s="43"/>
      <c r="J3" s="43"/>
      <c r="K3" s="96"/>
    </row>
    <row r="4" spans="1:11">
      <c r="A4" s="353" t="s">
        <v>164</v>
      </c>
      <c r="B4" s="49">
        <f>IF(ISERROR('SEAP template'!B78+'SEAP template'!C78),0,'SEAP template'!B78+'SEAP template'!C78)</f>
        <v>11789.118973929657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10.052470588235296</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0.21750923152143403</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14.360672268907567</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60.428571428571438</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0.23764705882352946</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5540.8969999999999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5540.8969999999999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0.21750923152143403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1205.1962484094192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143524.77261734201</v>
      </c>
      <c r="C5" s="17">
        <f>IF(ISERROR('Eigen informatie GS &amp; warmtenet'!B57),0,'Eigen informatie GS &amp; warmtenet'!B57)</f>
        <v>0</v>
      </c>
      <c r="D5" s="30">
        <f>(SUM(HH_hh_gas_kWh,HH_rest_gas_kWh)/1000)*0.902</f>
        <v>450630.15072730382</v>
      </c>
      <c r="E5" s="17">
        <f>B32*B41</f>
        <v>11920.554305720056</v>
      </c>
      <c r="F5" s="17">
        <f>B36*B45</f>
        <v>365311.02221942483</v>
      </c>
      <c r="G5" s="18"/>
      <c r="H5" s="17"/>
      <c r="I5" s="17"/>
      <c r="J5" s="17">
        <f>B35*B44+C35*C44</f>
        <v>6918.2633628851418</v>
      </c>
      <c r="K5" s="17"/>
      <c r="L5" s="17"/>
      <c r="M5" s="17"/>
      <c r="N5" s="17">
        <f>B34*B43+C34*C43</f>
        <v>76144.250317227532</v>
      </c>
      <c r="O5" s="17">
        <f>B52*B53*B54</f>
        <v>587.81333333333339</v>
      </c>
      <c r="P5" s="17">
        <f>B60*B61*B62/1000-B60*B61*B62/1000/B63</f>
        <v>724.5333333333333</v>
      </c>
    </row>
    <row r="6" spans="1:16">
      <c r="A6" s="16" t="s">
        <v>592</v>
      </c>
      <c r="B6" s="733">
        <f>kWh_PV_kleiner_dan_10kW</f>
        <v>7327.6565651389519</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150852.42918248096</v>
      </c>
      <c r="C8" s="21">
        <f>C5</f>
        <v>0</v>
      </c>
      <c r="D8" s="21">
        <f>D5</f>
        <v>450630.15072730382</v>
      </c>
      <c r="E8" s="21">
        <f>E5</f>
        <v>11920.554305720056</v>
      </c>
      <c r="F8" s="21">
        <f>F5</f>
        <v>365311.02221942483</v>
      </c>
      <c r="G8" s="21"/>
      <c r="H8" s="21"/>
      <c r="I8" s="21"/>
      <c r="J8" s="21">
        <f>J5</f>
        <v>6918.2633628851418</v>
      </c>
      <c r="K8" s="21"/>
      <c r="L8" s="21">
        <f>L5</f>
        <v>0</v>
      </c>
      <c r="M8" s="21">
        <f>M5</f>
        <v>0</v>
      </c>
      <c r="N8" s="21">
        <f>N5</f>
        <v>76144.250317227532</v>
      </c>
      <c r="O8" s="21">
        <f>O5</f>
        <v>587.81333333333339</v>
      </c>
      <c r="P8" s="21">
        <f>P5</f>
        <v>724.5333333333333</v>
      </c>
    </row>
    <row r="9" spans="1:16">
      <c r="B9" s="19"/>
      <c r="C9" s="19"/>
      <c r="D9" s="257"/>
      <c r="E9" s="19"/>
      <c r="F9" s="19"/>
      <c r="G9" s="19"/>
      <c r="H9" s="19"/>
      <c r="I9" s="19"/>
      <c r="J9" s="19"/>
      <c r="K9" s="19"/>
      <c r="L9" s="19"/>
      <c r="M9" s="19"/>
      <c r="N9" s="19"/>
      <c r="O9" s="19"/>
      <c r="P9" s="19"/>
    </row>
    <row r="10" spans="1:16">
      <c r="A10" s="24" t="s">
        <v>207</v>
      </c>
      <c r="B10" s="25">
        <f ca="1">'EF ele_warmte'!B12</f>
        <v>0.21750923152143403</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32811.79594462298</v>
      </c>
      <c r="C12" s="23">
        <f ca="1">C10*C8</f>
        <v>0</v>
      </c>
      <c r="D12" s="23">
        <f>D8*D10</f>
        <v>91027.290446915373</v>
      </c>
      <c r="E12" s="23">
        <f>E10*E8</f>
        <v>2705.9658273984528</v>
      </c>
      <c r="F12" s="23">
        <f>F10*F8</f>
        <v>97538.042932586439</v>
      </c>
      <c r="G12" s="23"/>
      <c r="H12" s="23"/>
      <c r="I12" s="23"/>
      <c r="J12" s="23">
        <f>J10*J8</f>
        <v>2449.06523046134</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48100</v>
      </c>
      <c r="C26" s="36"/>
      <c r="D26" s="227"/>
    </row>
    <row r="27" spans="1:5" s="15" customFormat="1">
      <c r="A27" s="229" t="s">
        <v>697</v>
      </c>
      <c r="B27" s="37">
        <f>SUM(HH_hh_gas_aantal,HH_rest_gas_aantal)</f>
        <v>28740</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27303</v>
      </c>
      <c r="C31" s="34" t="s">
        <v>104</v>
      </c>
      <c r="D31" s="173"/>
    </row>
    <row r="32" spans="1:5">
      <c r="A32" s="170" t="s">
        <v>72</v>
      </c>
      <c r="B32" s="33">
        <f>IF((B21*($B$26-($B$27-0.05*$B$27)-$B$60))&lt;0,0,B21*($B$26-($B$27-0.05*$B$27)-$B$60))</f>
        <v>519.83778673310485</v>
      </c>
      <c r="C32" s="34" t="s">
        <v>104</v>
      </c>
      <c r="D32" s="173"/>
    </row>
    <row r="33" spans="1:6">
      <c r="A33" s="170" t="s">
        <v>73</v>
      </c>
      <c r="B33" s="33">
        <f>IF((B22*($B$26-($B$27-0.05*$B$27)-$B$60))&lt;0,0,B22*($B$26-($B$27-0.05*$B$27)-$B$60))</f>
        <v>3499.1179910068786</v>
      </c>
      <c r="C33" s="34" t="s">
        <v>104</v>
      </c>
      <c r="D33" s="173"/>
    </row>
    <row r="34" spans="1:6">
      <c r="A34" s="170" t="s">
        <v>74</v>
      </c>
      <c r="B34" s="33">
        <f>IF((B24*($B$26-($B$27-0.05*$B$27)-$B$60))&lt;0,0,B24*($B$26-($B$27-0.05*$B$27)-$B$60))</f>
        <v>887.77366317564952</v>
      </c>
      <c r="C34" s="33">
        <f>B26*C24</f>
        <v>9839.3392529442644</v>
      </c>
      <c r="D34" s="232"/>
    </row>
    <row r="35" spans="1:6">
      <c r="A35" s="170" t="s">
        <v>76</v>
      </c>
      <c r="B35" s="33">
        <f>IF((B19*($B$26-($B$27-0.05*$B$27)-$B$60))&lt;0,0,B19*($B$26-($B$27-0.05*$B$27)-$B$60))</f>
        <v>329.9258545634284</v>
      </c>
      <c r="C35" s="33">
        <f>B35/2</f>
        <v>164.9629272817142</v>
      </c>
      <c r="D35" s="232"/>
    </row>
    <row r="36" spans="1:6">
      <c r="A36" s="170" t="s">
        <v>77</v>
      </c>
      <c r="B36" s="33">
        <f>IF((B18*($B$26-($B$27-0.05*$B$27)-$B$60))&lt;0,0,B18*($B$26-($B$27-0.05*$B$27)-$B$60))</f>
        <v>15522.34470452094</v>
      </c>
      <c r="C36" s="34" t="s">
        <v>104</v>
      </c>
      <c r="D36" s="173"/>
    </row>
    <row r="37" spans="1:6">
      <c r="A37" s="170" t="s">
        <v>78</v>
      </c>
      <c r="B37" s="33">
        <f>B60</f>
        <v>38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376</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449509.734721074</v>
      </c>
      <c r="C5" s="17">
        <f>IF(ISERROR('Eigen informatie GS &amp; warmtenet'!B58),0,'Eigen informatie GS &amp; warmtenet'!B58)</f>
        <v>0</v>
      </c>
      <c r="D5" s="30">
        <f>SUM(D6:D12)</f>
        <v>512659.16268933925</v>
      </c>
      <c r="E5" s="17">
        <f>SUM(E6:E12)</f>
        <v>4258.6505419274345</v>
      </c>
      <c r="F5" s="17">
        <f>SUM(F6:F12)</f>
        <v>87242.760124147419</v>
      </c>
      <c r="G5" s="18"/>
      <c r="H5" s="17"/>
      <c r="I5" s="17"/>
      <c r="J5" s="17">
        <f>SUM(J6:J12)</f>
        <v>415.41213497355909</v>
      </c>
      <c r="K5" s="17"/>
      <c r="L5" s="17"/>
      <c r="M5" s="17"/>
      <c r="N5" s="17">
        <f>SUM(N6:N12)</f>
        <v>16848.271848342971</v>
      </c>
      <c r="O5" s="17">
        <f>B38*B39*B40</f>
        <v>9.3800000000000008</v>
      </c>
      <c r="P5" s="17">
        <f>B46*B47*B48/1000-B46*B47*B48/1000/B49</f>
        <v>247.86666666666667</v>
      </c>
      <c r="R5" s="32"/>
    </row>
    <row r="6" spans="1:18">
      <c r="A6" s="32" t="s">
        <v>53</v>
      </c>
      <c r="B6" s="37">
        <f>B26</f>
        <v>107954.023782858</v>
      </c>
      <c r="C6" s="33"/>
      <c r="D6" s="37">
        <f>IF(ISERROR(TER_kantoor_gas_kWh/1000),0,TER_kantoor_gas_kWh/1000)*0.902</f>
        <v>173857.29189932143</v>
      </c>
      <c r="E6" s="33">
        <f>$C$26*'E Balans VL '!I12/100/3.6*1000000</f>
        <v>911.22611724096964</v>
      </c>
      <c r="F6" s="33">
        <f>$C$26*('E Balans VL '!L12+'E Balans VL '!N12)/100/3.6*1000000</f>
        <v>14475.439313080005</v>
      </c>
      <c r="G6" s="34"/>
      <c r="H6" s="33"/>
      <c r="I6" s="33"/>
      <c r="J6" s="33">
        <f>$C$26*('E Balans VL '!D12+'E Balans VL '!E12)/100/3.6*1000000</f>
        <v>0</v>
      </c>
      <c r="K6" s="33"/>
      <c r="L6" s="33"/>
      <c r="M6" s="33"/>
      <c r="N6" s="33">
        <f>$C$26*'E Balans VL '!Y12/100/3.6*1000000</f>
        <v>949.42225111272955</v>
      </c>
      <c r="O6" s="33"/>
      <c r="P6" s="33"/>
      <c r="R6" s="32"/>
    </row>
    <row r="7" spans="1:18">
      <c r="A7" s="32" t="s">
        <v>52</v>
      </c>
      <c r="B7" s="37">
        <f t="shared" ref="B7:B12" si="0">B27</f>
        <v>227958.854910925</v>
      </c>
      <c r="C7" s="33"/>
      <c r="D7" s="37">
        <f>IF(ISERROR(TER_horeca_gas_kWh/1000),0,TER_horeca_gas_kWh/1000)*0.902</f>
        <v>193917.41247212215</v>
      </c>
      <c r="E7" s="33">
        <f>$C$27*'E Balans VL '!I9/100/3.6*1000000</f>
        <v>2997.2038390817925</v>
      </c>
      <c r="F7" s="33">
        <f>$C$27*('E Balans VL '!L9+'E Balans VL '!N9)/100/3.6*1000000</f>
        <v>57248.982212200717</v>
      </c>
      <c r="G7" s="34"/>
      <c r="H7" s="33"/>
      <c r="I7" s="33"/>
      <c r="J7" s="33">
        <f>$C$27*('E Balans VL '!D9+'E Balans VL '!E9)/100/3.6*1000000</f>
        <v>0</v>
      </c>
      <c r="K7" s="33"/>
      <c r="L7" s="33"/>
      <c r="M7" s="33"/>
      <c r="N7" s="33">
        <f>$C$27*'E Balans VL '!Y9/100/3.6*1000000</f>
        <v>62.059000082687788</v>
      </c>
      <c r="O7" s="33"/>
      <c r="P7" s="33"/>
      <c r="R7" s="32"/>
    </row>
    <row r="8" spans="1:18">
      <c r="A8" s="6" t="s">
        <v>51</v>
      </c>
      <c r="B8" s="37">
        <f t="shared" si="0"/>
        <v>46562.277171921298</v>
      </c>
      <c r="C8" s="33"/>
      <c r="D8" s="37">
        <f>IF(ISERROR(TER_handel_gas_kWh/1000),0,TER_handel_gas_kWh/1000)*0.902</f>
        <v>30117.148592540463</v>
      </c>
      <c r="E8" s="33">
        <f>$C$28*'E Balans VL '!I13/100/3.6*1000000</f>
        <v>203.91334055625458</v>
      </c>
      <c r="F8" s="33">
        <f>$C$28*('E Balans VL '!L13+'E Balans VL '!N13)/100/3.6*1000000</f>
        <v>3129.6658474645224</v>
      </c>
      <c r="G8" s="34"/>
      <c r="H8" s="33"/>
      <c r="I8" s="33"/>
      <c r="J8" s="33">
        <f>$C$28*('E Balans VL '!D13+'E Balans VL '!E13)/100/3.6*1000000</f>
        <v>0</v>
      </c>
      <c r="K8" s="33"/>
      <c r="L8" s="33"/>
      <c r="M8" s="33"/>
      <c r="N8" s="33">
        <f>$C$28*'E Balans VL '!Y13/100/3.6*1000000</f>
        <v>137.55685310714421</v>
      </c>
      <c r="O8" s="33"/>
      <c r="P8" s="33"/>
      <c r="R8" s="32"/>
    </row>
    <row r="9" spans="1:18">
      <c r="A9" s="32" t="s">
        <v>50</v>
      </c>
      <c r="B9" s="37">
        <f t="shared" si="0"/>
        <v>8569.5327762845409</v>
      </c>
      <c r="C9" s="33"/>
      <c r="D9" s="37">
        <f>IF(ISERROR(TER_gezond_gas_kWh/1000),0,TER_gezond_gas_kWh/1000)*0.902</f>
        <v>21907.204596114992</v>
      </c>
      <c r="E9" s="33">
        <f>$C$29*'E Balans VL '!I10/100/3.6*1000000</f>
        <v>2.9471001565495212</v>
      </c>
      <c r="F9" s="33">
        <f>$C$29*('E Balans VL '!L10+'E Balans VL '!N10)/100/3.6*1000000</f>
        <v>749.01091835149009</v>
      </c>
      <c r="G9" s="34"/>
      <c r="H9" s="33"/>
      <c r="I9" s="33"/>
      <c r="J9" s="33">
        <f>$C$29*('E Balans VL '!D10+'E Balans VL '!E10)/100/3.6*1000000</f>
        <v>355.47156867705695</v>
      </c>
      <c r="K9" s="33"/>
      <c r="L9" s="33"/>
      <c r="M9" s="33"/>
      <c r="N9" s="33">
        <f>$C$29*'E Balans VL '!Y10/100/3.6*1000000</f>
        <v>89.848384396010317</v>
      </c>
      <c r="O9" s="33"/>
      <c r="P9" s="33"/>
      <c r="R9" s="32"/>
    </row>
    <row r="10" spans="1:18">
      <c r="A10" s="32" t="s">
        <v>49</v>
      </c>
      <c r="B10" s="37">
        <f t="shared" si="0"/>
        <v>23896.9327309041</v>
      </c>
      <c r="C10" s="33"/>
      <c r="D10" s="37">
        <f>IF(ISERROR(TER_ander_gas_kWh/1000),0,TER_ander_gas_kWh/1000)*0.902</f>
        <v>19968.039885100308</v>
      </c>
      <c r="E10" s="33">
        <f>$C$30*'E Balans VL '!I14/100/3.6*1000000</f>
        <v>14.212377843260922</v>
      </c>
      <c r="F10" s="33">
        <f>$C$30*('E Balans VL '!L14+'E Balans VL '!N14)/100/3.6*1000000</f>
        <v>4231.0269516851668</v>
      </c>
      <c r="G10" s="34"/>
      <c r="H10" s="33"/>
      <c r="I10" s="33"/>
      <c r="J10" s="33">
        <f>$C$30*('E Balans VL '!D14+'E Balans VL '!E14)/100/3.6*1000000</f>
        <v>0</v>
      </c>
      <c r="K10" s="33"/>
      <c r="L10" s="33"/>
      <c r="M10" s="33"/>
      <c r="N10" s="33">
        <f>$C$30*'E Balans VL '!Y14/100/3.6*1000000</f>
        <v>14189.183993807861</v>
      </c>
      <c r="O10" s="33"/>
      <c r="P10" s="33"/>
      <c r="R10" s="32"/>
    </row>
    <row r="11" spans="1:18">
      <c r="A11" s="32" t="s">
        <v>54</v>
      </c>
      <c r="B11" s="37">
        <f t="shared" si="0"/>
        <v>14884.791763221099</v>
      </c>
      <c r="C11" s="33"/>
      <c r="D11" s="37">
        <f>IF(ISERROR(TER_onderwijs_gas_kWh/1000),0,TER_onderwijs_gas_kWh/1000)*0.902</f>
        <v>15232.522963079247</v>
      </c>
      <c r="E11" s="33">
        <f>$C$31*'E Balans VL '!I11/100/3.6*1000000</f>
        <v>9.9006344702090896</v>
      </c>
      <c r="F11" s="33">
        <f>$C$31*('E Balans VL '!L11+'E Balans VL '!N11)/100/3.6*1000000</f>
        <v>4768.7972535469789</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19683.321584959998</v>
      </c>
      <c r="C12" s="33"/>
      <c r="D12" s="37">
        <f>IF(ISERROR(TER_rest_gas_kWh/1000),0,TER_rest_gas_kWh/1000)*0.902</f>
        <v>57659.542281060581</v>
      </c>
      <c r="E12" s="33">
        <f>$C$32*'E Balans VL '!I8/100/3.6*1000000</f>
        <v>119.24713257839778</v>
      </c>
      <c r="F12" s="33">
        <f>$C$32*('E Balans VL '!L8+'E Balans VL '!N8)/100/3.6*1000000</f>
        <v>2639.837627818551</v>
      </c>
      <c r="G12" s="34"/>
      <c r="H12" s="33"/>
      <c r="I12" s="33"/>
      <c r="J12" s="33">
        <f>$C$32*('E Balans VL '!D8+'E Balans VL '!E8)/100/3.6*1000000</f>
        <v>59.940566296502155</v>
      </c>
      <c r="K12" s="33"/>
      <c r="L12" s="33"/>
      <c r="M12" s="33"/>
      <c r="N12" s="33">
        <f>$C$32*'E Balans VL '!Y8/100/3.6*1000000</f>
        <v>1420.2013658365377</v>
      </c>
      <c r="O12" s="33"/>
      <c r="P12" s="33"/>
      <c r="R12" s="32"/>
    </row>
    <row r="13" spans="1:18">
      <c r="A13" s="16" t="s">
        <v>483</v>
      </c>
      <c r="B13" s="245">
        <f ca="1">'lokale energieproductie'!N38+'lokale energieproductie'!N31</f>
        <v>1446.3</v>
      </c>
      <c r="C13" s="245">
        <f ca="1">'lokale energieproductie'!O38+'lokale energieproductie'!O31</f>
        <v>60.428571428571438</v>
      </c>
      <c r="D13" s="305">
        <f ca="1">('lokale energieproductie'!P31+'lokale energieproductie'!P38)*(-1)</f>
        <v>-120.85714285714288</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-4011.4285714285716</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450956.03472107399</v>
      </c>
      <c r="C16" s="21">
        <f t="shared" ca="1" si="1"/>
        <v>60.428571428571438</v>
      </c>
      <c r="D16" s="21">
        <f t="shared" ca="1" si="1"/>
        <v>512538.30554648209</v>
      </c>
      <c r="E16" s="21">
        <f t="shared" si="1"/>
        <v>4258.6505419274345</v>
      </c>
      <c r="F16" s="21">
        <f t="shared" ca="1" si="1"/>
        <v>87242.760124147419</v>
      </c>
      <c r="G16" s="21">
        <f t="shared" si="1"/>
        <v>0</v>
      </c>
      <c r="H16" s="21">
        <f t="shared" si="1"/>
        <v>0</v>
      </c>
      <c r="I16" s="21">
        <f t="shared" si="1"/>
        <v>0</v>
      </c>
      <c r="J16" s="21">
        <f t="shared" si="1"/>
        <v>415.41213497355909</v>
      </c>
      <c r="K16" s="21">
        <f t="shared" si="1"/>
        <v>0</v>
      </c>
      <c r="L16" s="21">
        <f t="shared" ca="1" si="1"/>
        <v>0</v>
      </c>
      <c r="M16" s="21">
        <f t="shared" si="1"/>
        <v>0</v>
      </c>
      <c r="N16" s="21">
        <f t="shared" ca="1" si="1"/>
        <v>12836.843276914398</v>
      </c>
      <c r="O16" s="21">
        <f>O5</f>
        <v>9.3800000000000008</v>
      </c>
      <c r="P16" s="21">
        <f>P5</f>
        <v>247.86666666666667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0.21750923152143403</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98087.100562133928</v>
      </c>
      <c r="C20" s="23">
        <f t="shared" ref="C20:P20" ca="1" si="2">C16*C18</f>
        <v>14.360672268907567</v>
      </c>
      <c r="D20" s="23">
        <f t="shared" ca="1" si="2"/>
        <v>103532.73772038938</v>
      </c>
      <c r="E20" s="23">
        <f t="shared" si="2"/>
        <v>966.71367301752764</v>
      </c>
      <c r="F20" s="23">
        <f t="shared" ca="1" si="2"/>
        <v>23293.816953147361</v>
      </c>
      <c r="G20" s="23">
        <f t="shared" si="2"/>
        <v>0</v>
      </c>
      <c r="H20" s="23">
        <f t="shared" si="2"/>
        <v>0</v>
      </c>
      <c r="I20" s="23">
        <f t="shared" si="2"/>
        <v>0</v>
      </c>
      <c r="J20" s="23">
        <f t="shared" si="2"/>
        <v>147.0558957806399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107954.023782858</v>
      </c>
      <c r="C26" s="39">
        <f>IF(ISERROR(B26*3.6/1000000/'E Balans VL '!Z12*100),0,B26*3.6/1000000/'E Balans VL '!Z12*100)</f>
        <v>2.2625823180108582</v>
      </c>
      <c r="D26" s="235" t="s">
        <v>647</v>
      </c>
      <c r="F26" s="6"/>
    </row>
    <row r="27" spans="1:18">
      <c r="A27" s="230" t="s">
        <v>52</v>
      </c>
      <c r="B27" s="33">
        <f>IF(ISERROR(TER_horeca_ele_kWh/1000),0,TER_horeca_ele_kWh/1000)</f>
        <v>227958.854910925</v>
      </c>
      <c r="C27" s="39">
        <f>IF(ISERROR(B27*3.6/1000000/'E Balans VL '!Z9*100),0,B27*3.6/1000000/'E Balans VL '!Z9*100)</f>
        <v>17.477566181012222</v>
      </c>
      <c r="D27" s="235" t="s">
        <v>647</v>
      </c>
      <c r="F27" s="6"/>
    </row>
    <row r="28" spans="1:18">
      <c r="A28" s="170" t="s">
        <v>51</v>
      </c>
      <c r="B28" s="33">
        <f>IF(ISERROR(TER_handel_ele_kWh/1000),0,TER_handel_ele_kWh/1000)</f>
        <v>46562.277171921298</v>
      </c>
      <c r="C28" s="39">
        <f>IF(ISERROR(B28*3.6/1000000/'E Balans VL '!Z13*100),0,B28*3.6/1000000/'E Balans VL '!Z13*100)</f>
        <v>1.3135905286071285</v>
      </c>
      <c r="D28" s="235" t="s">
        <v>647</v>
      </c>
      <c r="F28" s="6"/>
    </row>
    <row r="29" spans="1:18">
      <c r="A29" s="230" t="s">
        <v>50</v>
      </c>
      <c r="B29" s="33">
        <f>IF(ISERROR(TER_gezond_ele_kWh/1000),0,TER_gezond_ele_kWh/1000)</f>
        <v>8569.5327762845409</v>
      </c>
      <c r="C29" s="39">
        <f>IF(ISERROR(B29*3.6/1000000/'E Balans VL '!Z10*100),0,B29*3.6/1000000/'E Balans VL '!Z10*100)</f>
        <v>0.95154003527285536</v>
      </c>
      <c r="D29" s="235" t="s">
        <v>647</v>
      </c>
      <c r="F29" s="6"/>
    </row>
    <row r="30" spans="1:18">
      <c r="A30" s="230" t="s">
        <v>49</v>
      </c>
      <c r="B30" s="33">
        <f>IF(ISERROR(TER_ander_ele_kWh/1000),0,TER_ander_ele_kWh/1000)</f>
        <v>23896.9327309041</v>
      </c>
      <c r="C30" s="39">
        <f>IF(ISERROR(B30*3.6/1000000/'E Balans VL '!Z14*100),0,B30*3.6/1000000/'E Balans VL '!Z14*100)</f>
        <v>1.7242934482054135</v>
      </c>
      <c r="D30" s="235" t="s">
        <v>647</v>
      </c>
      <c r="F30" s="6"/>
    </row>
    <row r="31" spans="1:18">
      <c r="A31" s="230" t="s">
        <v>54</v>
      </c>
      <c r="B31" s="33">
        <f>IF(ISERROR(TER_onderwijs_ele_kWh/1000),0,TER_onderwijs_ele_kWh/1000)</f>
        <v>14884.791763221099</v>
      </c>
      <c r="C31" s="39">
        <f>IF(ISERROR(B31*3.6/1000000/'E Balans VL '!Z11*100),0,B31*3.6/1000000/'E Balans VL '!Z11*100)</f>
        <v>4.1259463727797154</v>
      </c>
      <c r="D31" s="235" t="s">
        <v>647</v>
      </c>
    </row>
    <row r="32" spans="1:18">
      <c r="A32" s="230" t="s">
        <v>249</v>
      </c>
      <c r="B32" s="33">
        <f>IF(ISERROR(TER_rest_ele_kWh/1000),0,TER_rest_ele_kWh/1000)</f>
        <v>19683.321584959998</v>
      </c>
      <c r="C32" s="39">
        <f>IF(ISERROR(B32*3.6/1000000/'E Balans VL '!Z8*100),0,B32*3.6/1000000/'E Balans VL '!Z8*100)</f>
        <v>0.16045122477816279</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6</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13</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116368.93809242515</v>
      </c>
      <c r="C5" s="17">
        <f>IF(ISERROR('Eigen informatie GS &amp; warmtenet'!B59),0,'Eigen informatie GS &amp; warmtenet'!B59)</f>
        <v>0</v>
      </c>
      <c r="D5" s="30">
        <f>SUM(D6:D15)</f>
        <v>118025.26193899187</v>
      </c>
      <c r="E5" s="17">
        <f>SUM(E6:E15)</f>
        <v>14990.235340553085</v>
      </c>
      <c r="F5" s="17">
        <f>SUM(F6:F15)</f>
        <v>79968.155293267424</v>
      </c>
      <c r="G5" s="18"/>
      <c r="H5" s="17"/>
      <c r="I5" s="17"/>
      <c r="J5" s="17">
        <f>SUM(J6:J15)</f>
        <v>118.7511540655404</v>
      </c>
      <c r="K5" s="17"/>
      <c r="L5" s="17"/>
      <c r="M5" s="17"/>
      <c r="N5" s="17">
        <f>SUM(N6:N15)</f>
        <v>14150.274460546918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2995.7669846377203</v>
      </c>
      <c r="C8" s="33"/>
      <c r="D8" s="37">
        <f>IF( ISERROR(IND_metaal_Gas_kWH/1000),0,IND_metaal_Gas_kWH/1000)*0.902</f>
        <v>250.35606241046816</v>
      </c>
      <c r="E8" s="33">
        <f>C30*'E Balans VL '!I18/100/3.6*1000000</f>
        <v>86.049672528568408</v>
      </c>
      <c r="F8" s="33">
        <f>C30*'E Balans VL '!L18/100/3.6*1000000+C30*'E Balans VL '!N18/100/3.6*1000000</f>
        <v>768.35661468026467</v>
      </c>
      <c r="G8" s="34"/>
      <c r="H8" s="33"/>
      <c r="I8" s="33"/>
      <c r="J8" s="40">
        <f>C30*'E Balans VL '!D18/100/3.6*1000000+C30*'E Balans VL '!E18/100/3.6*1000000</f>
        <v>0</v>
      </c>
      <c r="K8" s="33"/>
      <c r="L8" s="33"/>
      <c r="M8" s="33"/>
      <c r="N8" s="33">
        <f>C30*'E Balans VL '!Y18/100/3.6*1000000</f>
        <v>81.341188859721129</v>
      </c>
      <c r="O8" s="33"/>
      <c r="P8" s="33"/>
      <c r="R8" s="32"/>
    </row>
    <row r="9" spans="1:18">
      <c r="A9" s="6" t="s">
        <v>32</v>
      </c>
      <c r="B9" s="37">
        <f t="shared" si="0"/>
        <v>36666.286067494599</v>
      </c>
      <c r="C9" s="33"/>
      <c r="D9" s="37">
        <f>IF( ISERROR(IND_andere_gas_kWh/1000),0,IND_andere_gas_kWh/1000)*0.902</f>
        <v>31435.367861927996</v>
      </c>
      <c r="E9" s="33">
        <f>C31*'E Balans VL '!I19/100/3.6*1000000</f>
        <v>9924.6621230122491</v>
      </c>
      <c r="F9" s="33">
        <f>C31*'E Balans VL '!L19/100/3.6*1000000+C31*'E Balans VL '!N19/100/3.6*1000000</f>
        <v>24423.626624533146</v>
      </c>
      <c r="G9" s="34"/>
      <c r="H9" s="33"/>
      <c r="I9" s="33"/>
      <c r="J9" s="40">
        <f>C31*'E Balans VL '!D19/100/3.6*1000000+C31*'E Balans VL '!E19/100/3.6*1000000</f>
        <v>0</v>
      </c>
      <c r="K9" s="33"/>
      <c r="L9" s="33"/>
      <c r="M9" s="33"/>
      <c r="N9" s="33">
        <f>C31*'E Balans VL '!Y19/100/3.6*1000000</f>
        <v>3099.8916005975875</v>
      </c>
      <c r="O9" s="33"/>
      <c r="P9" s="33"/>
      <c r="R9" s="32"/>
    </row>
    <row r="10" spans="1:18">
      <c r="A10" s="6" t="s">
        <v>40</v>
      </c>
      <c r="B10" s="37">
        <f t="shared" si="0"/>
        <v>29404.490802696899</v>
      </c>
      <c r="C10" s="33"/>
      <c r="D10" s="37">
        <f>IF( ISERROR(IND_voed_gas_kWh/1000),0,IND_voed_gas_kWh/1000)*0.902</f>
        <v>7863.9387484646595</v>
      </c>
      <c r="E10" s="33">
        <f>C32*'E Balans VL '!I20/100/3.6*1000000</f>
        <v>2398.2978249277039</v>
      </c>
      <c r="F10" s="33">
        <f>C32*'E Balans VL '!L20/100/3.6*1000000+C32*'E Balans VL '!N20/100/3.6*1000000</f>
        <v>43844.763595983582</v>
      </c>
      <c r="G10" s="34"/>
      <c r="H10" s="33"/>
      <c r="I10" s="33"/>
      <c r="J10" s="40">
        <f>C32*'E Balans VL '!D20/100/3.6*1000000+C32*'E Balans VL '!E20/100/3.6*1000000</f>
        <v>0.3889857210559845</v>
      </c>
      <c r="K10" s="33"/>
      <c r="L10" s="33"/>
      <c r="M10" s="33"/>
      <c r="N10" s="33">
        <f>C32*'E Balans VL '!Y20/100/3.6*1000000</f>
        <v>8638.0018252311547</v>
      </c>
      <c r="O10" s="33"/>
      <c r="P10" s="33"/>
      <c r="R10" s="32"/>
    </row>
    <row r="11" spans="1:18">
      <c r="A11" s="6" t="s">
        <v>39</v>
      </c>
      <c r="B11" s="37">
        <f t="shared" si="0"/>
        <v>113.1187867925</v>
      </c>
      <c r="C11" s="33"/>
      <c r="D11" s="37">
        <f>IF( ISERROR(IND_textiel_gas_kWh/1000),0,IND_textiel_gas_kWh/1000)*0.902</f>
        <v>202.17220640655714</v>
      </c>
      <c r="E11" s="33">
        <f>C33*'E Balans VL '!I21/100/3.6*1000000</f>
        <v>2.2422457919818183E-2</v>
      </c>
      <c r="F11" s="33">
        <f>C33*'E Balans VL '!L21/100/3.6*1000000+C33*'E Balans VL '!N21/100/3.6*1000000</f>
        <v>4.1663013958197217</v>
      </c>
      <c r="G11" s="34"/>
      <c r="H11" s="33"/>
      <c r="I11" s="33"/>
      <c r="J11" s="40">
        <f>C33*'E Balans VL '!D21/100/3.6*1000000+C33*'E Balans VL '!E21/100/3.6*1000000</f>
        <v>0</v>
      </c>
      <c r="K11" s="33"/>
      <c r="L11" s="33"/>
      <c r="M11" s="33"/>
      <c r="N11" s="33">
        <f>C33*'E Balans VL '!Y21/100/3.6*1000000</f>
        <v>0.52597380266969496</v>
      </c>
      <c r="O11" s="33"/>
      <c r="P11" s="33"/>
      <c r="R11" s="32"/>
    </row>
    <row r="12" spans="1:18">
      <c r="A12" s="6" t="s">
        <v>36</v>
      </c>
      <c r="B12" s="37">
        <f t="shared" si="0"/>
        <v>54.910702944952099</v>
      </c>
      <c r="C12" s="33"/>
      <c r="D12" s="37">
        <f>IF( ISERROR(IND_min_gas_kWh/1000),0,IND_min_gas_kWh/1000)*0.902</f>
        <v>76.720618523137261</v>
      </c>
      <c r="E12" s="33">
        <f>C34*'E Balans VL '!I22/100/3.6*1000000</f>
        <v>0.42774241140828206</v>
      </c>
      <c r="F12" s="33">
        <f>C34*'E Balans VL '!L22/100/3.6*1000000+C34*'E Balans VL '!N22/100/3.6*1000000</f>
        <v>20.708942785079262</v>
      </c>
      <c r="G12" s="34"/>
      <c r="H12" s="33"/>
      <c r="I12" s="33"/>
      <c r="J12" s="40">
        <f>C34*'E Balans VL '!D22/100/3.6*1000000+C34*'E Balans VL '!E22/100/3.6*1000000</f>
        <v>0.30200406519373058</v>
      </c>
      <c r="K12" s="33"/>
      <c r="L12" s="33"/>
      <c r="M12" s="33"/>
      <c r="N12" s="33">
        <f>C34*'E Balans VL '!Y22/100/3.6*1000000</f>
        <v>0</v>
      </c>
      <c r="O12" s="33"/>
      <c r="P12" s="33"/>
      <c r="R12" s="32"/>
    </row>
    <row r="13" spans="1:18">
      <c r="A13" s="6" t="s">
        <v>38</v>
      </c>
      <c r="B13" s="37">
        <f t="shared" si="0"/>
        <v>1040.86966544294</v>
      </c>
      <c r="C13" s="33"/>
      <c r="D13" s="37">
        <f>IF( ISERROR(IND_papier_gas_kWh/1000),0,IND_papier_gas_kWh/1000)*0.902</f>
        <v>1177.0376933001453</v>
      </c>
      <c r="E13" s="33">
        <f>C35*'E Balans VL '!I23/100/3.6*1000000</f>
        <v>10.905005978628463</v>
      </c>
      <c r="F13" s="33">
        <f>C35*'E Balans VL '!L23/100/3.6*1000000+C35*'E Balans VL '!N23/100/3.6*1000000</f>
        <v>77.66987892537125</v>
      </c>
      <c r="G13" s="34"/>
      <c r="H13" s="33"/>
      <c r="I13" s="33"/>
      <c r="J13" s="40">
        <f>C35*'E Balans VL '!D23/100/3.6*1000000+C35*'E Balans VL '!E23/100/3.6*1000000</f>
        <v>0</v>
      </c>
      <c r="K13" s="33"/>
      <c r="L13" s="33"/>
      <c r="M13" s="33"/>
      <c r="N13" s="33">
        <f>C35*'E Balans VL '!Y23/100/3.6*1000000</f>
        <v>192.01794708918189</v>
      </c>
      <c r="O13" s="33"/>
      <c r="P13" s="33"/>
      <c r="R13" s="32"/>
    </row>
    <row r="14" spans="1:18">
      <c r="A14" s="6" t="s">
        <v>33</v>
      </c>
      <c r="B14" s="37">
        <f t="shared" si="0"/>
        <v>31.3539958123472</v>
      </c>
      <c r="C14" s="33"/>
      <c r="D14" s="37">
        <f>IF( ISERROR(IND_chemie_gas_kWh/1000),0,IND_chemie_gas_kWh/1000)*0.902</f>
        <v>0</v>
      </c>
      <c r="E14" s="33">
        <f>C36*'E Balans VL '!I24/100/3.6*1000000</f>
        <v>0.14821770107096482</v>
      </c>
      <c r="F14" s="33">
        <f>C36*'E Balans VL '!L24/100/3.6*1000000+C36*'E Balans VL '!N24/100/3.6*1000000</f>
        <v>0.59257369124951209</v>
      </c>
      <c r="G14" s="34"/>
      <c r="H14" s="33"/>
      <c r="I14" s="33"/>
      <c r="J14" s="40">
        <f>C36*'E Balans VL '!D24/100/3.6*1000000+C36*'E Balans VL '!E24/100/3.6*1000000</f>
        <v>0</v>
      </c>
      <c r="K14" s="33"/>
      <c r="L14" s="33"/>
      <c r="M14" s="33"/>
      <c r="N14" s="33">
        <f>C36*'E Balans VL '!Y24/100/3.6*1000000</f>
        <v>0.76116894677909552</v>
      </c>
      <c r="O14" s="33"/>
      <c r="P14" s="33"/>
      <c r="R14" s="32"/>
    </row>
    <row r="15" spans="1:18">
      <c r="A15" s="6" t="s">
        <v>259</v>
      </c>
      <c r="B15" s="37">
        <f t="shared" si="0"/>
        <v>46062.141086603202</v>
      </c>
      <c r="C15" s="33"/>
      <c r="D15" s="37">
        <f>IF( ISERROR(IND_rest_gas_kWh/1000),0,IND_rest_gas_kWh/1000)*0.902</f>
        <v>77019.668747958902</v>
      </c>
      <c r="E15" s="33">
        <f>C37*'E Balans VL '!I15/100/3.6*1000000</f>
        <v>2569.7223315355377</v>
      </c>
      <c r="F15" s="33">
        <f>C37*'E Balans VL '!L15/100/3.6*1000000+C37*'E Balans VL '!N15/100/3.6*1000000</f>
        <v>10828.27076127291</v>
      </c>
      <c r="G15" s="34"/>
      <c r="H15" s="33"/>
      <c r="I15" s="33"/>
      <c r="J15" s="40">
        <f>C37*'E Balans VL '!D15/100/3.6*1000000+C37*'E Balans VL '!E15/100/3.6*1000000</f>
        <v>118.06016427929069</v>
      </c>
      <c r="K15" s="33"/>
      <c r="L15" s="33"/>
      <c r="M15" s="33"/>
      <c r="N15" s="33">
        <f>C37*'E Balans VL '!Y15/100/3.6*1000000</f>
        <v>2137.7347560198255</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116368.93809242515</v>
      </c>
      <c r="C18" s="21">
        <f>C5+C16</f>
        <v>0</v>
      </c>
      <c r="D18" s="21">
        <f>MAX((D5+D16),0)</f>
        <v>118025.26193899187</v>
      </c>
      <c r="E18" s="21">
        <f>MAX((E5+E16),0)</f>
        <v>14990.235340553085</v>
      </c>
      <c r="F18" s="21">
        <f>MAX((F5+F16),0)</f>
        <v>79968.155293267424</v>
      </c>
      <c r="G18" s="21"/>
      <c r="H18" s="21"/>
      <c r="I18" s="21"/>
      <c r="J18" s="21">
        <f>MAX((J5+J16),0)</f>
        <v>118.7511540655404</v>
      </c>
      <c r="K18" s="21"/>
      <c r="L18" s="21">
        <f>MAX((L5+L16),0)</f>
        <v>0</v>
      </c>
      <c r="M18" s="21"/>
      <c r="N18" s="21">
        <f>MAX((N5+N16),0)</f>
        <v>14150.274460546918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0.21750923152143403</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25311.318297448724</v>
      </c>
      <c r="C22" s="23">
        <f ca="1">C18*C20</f>
        <v>0</v>
      </c>
      <c r="D22" s="23">
        <f>D18*D20</f>
        <v>23841.10291167636</v>
      </c>
      <c r="E22" s="23">
        <f>E18*E20</f>
        <v>3402.7834223055502</v>
      </c>
      <c r="F22" s="23">
        <f>F18*F20</f>
        <v>21351.497463302403</v>
      </c>
      <c r="G22" s="23"/>
      <c r="H22" s="23"/>
      <c r="I22" s="23"/>
      <c r="J22" s="23">
        <f>J18*J20</f>
        <v>42.037908539201304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2995.7669846377203</v>
      </c>
      <c r="C30" s="39">
        <f>IF(ISERROR(B30*3.6/1000000/'E Balans VL '!Z18*100),0,B30*3.6/1000000/'E Balans VL '!Z18*100)</f>
        <v>0.29477582390987728</v>
      </c>
      <c r="D30" s="235" t="s">
        <v>647</v>
      </c>
    </row>
    <row r="31" spans="1:18">
      <c r="A31" s="6" t="s">
        <v>32</v>
      </c>
      <c r="B31" s="37">
        <f>IF( ISERROR(IND_ander_ele_kWh/1000),0,IND_ander_ele_kWh/1000)</f>
        <v>36666.286067494599</v>
      </c>
      <c r="C31" s="39">
        <f>IF(ISERROR(B31*3.6/1000000/'E Balans VL '!Z19*100),0,B31*3.6/1000000/'E Balans VL '!Z19*100)</f>
        <v>1.5967875098311095</v>
      </c>
      <c r="D31" s="235" t="s">
        <v>647</v>
      </c>
    </row>
    <row r="32" spans="1:18">
      <c r="A32" s="170" t="s">
        <v>40</v>
      </c>
      <c r="B32" s="37">
        <f>IF( ISERROR(IND_voed_ele_kWh/1000),0,IND_voed_ele_kWh/1000)</f>
        <v>29404.490802696899</v>
      </c>
      <c r="C32" s="39">
        <f>IF(ISERROR(B32*3.6/1000000/'E Balans VL '!Z20*100),0,B32*3.6/1000000/'E Balans VL '!Z20*100)</f>
        <v>5.5790780709222672</v>
      </c>
      <c r="D32" s="235" t="s">
        <v>647</v>
      </c>
    </row>
    <row r="33" spans="1:5">
      <c r="A33" s="170" t="s">
        <v>39</v>
      </c>
      <c r="B33" s="37">
        <f>IF( ISERROR(IND_textiel_ele_kWh/1000),0,IND_textiel_ele_kWh/1000)</f>
        <v>113.1187867925</v>
      </c>
      <c r="C33" s="39">
        <f>IF(ISERROR(B33*3.6/1000000/'E Balans VL '!Z21*100),0,B33*3.6/1000000/'E Balans VL '!Z21*100)</f>
        <v>6.4585090715973178E-3</v>
      </c>
      <c r="D33" s="235" t="s">
        <v>647</v>
      </c>
    </row>
    <row r="34" spans="1:5">
      <c r="A34" s="170" t="s">
        <v>36</v>
      </c>
      <c r="B34" s="37">
        <f>IF( ISERROR(IND_min_ele_kWh/1000),0,IND_min_ele_kWh/1000)</f>
        <v>54.910702944952099</v>
      </c>
      <c r="C34" s="39">
        <f>IF(ISERROR(B34*3.6/1000000/'E Balans VL '!Z22*100),0,B34*3.6/1000000/'E Balans VL '!Z22*100)</f>
        <v>7.7209962301524257E-3</v>
      </c>
      <c r="D34" s="235" t="s">
        <v>647</v>
      </c>
    </row>
    <row r="35" spans="1:5">
      <c r="A35" s="170" t="s">
        <v>38</v>
      </c>
      <c r="B35" s="37">
        <f>IF( ISERROR(IND_papier_ele_kWh/1000),0,IND_papier_ele_kWh/1000)</f>
        <v>1040.86966544294</v>
      </c>
      <c r="C35" s="39">
        <f>IF(ISERROR(B35*3.6/1000000/'E Balans VL '!Z22*100),0,B35*3.6/1000000/'E Balans VL '!Z22*100)</f>
        <v>0.14635672704867003</v>
      </c>
      <c r="D35" s="235" t="s">
        <v>647</v>
      </c>
    </row>
    <row r="36" spans="1:5">
      <c r="A36" s="170" t="s">
        <v>33</v>
      </c>
      <c r="B36" s="37">
        <f>IF( ISERROR(IND_chemie_ele_kWh/1000),0,IND_chemie_ele_kWh/1000)</f>
        <v>31.3539958123472</v>
      </c>
      <c r="C36" s="39">
        <f>IF(ISERROR(B36*3.6/1000000/'E Balans VL '!Z24*100),0,B36*3.6/1000000/'E Balans VL '!Z24*100)</f>
        <v>9.1374808722448125E-4</v>
      </c>
      <c r="D36" s="235" t="s">
        <v>647</v>
      </c>
    </row>
    <row r="37" spans="1:5">
      <c r="A37" s="170" t="s">
        <v>259</v>
      </c>
      <c r="B37" s="37">
        <f>IF( ISERROR(IND_rest_ele_kWh/1000),0,IND_rest_ele_kWh/1000)</f>
        <v>46062.141086603202</v>
      </c>
      <c r="C37" s="39">
        <f>IF(ISERROR(B37*3.6/1000000/'E Balans VL '!Z15*100),0,B37*3.6/1000000/'E Balans VL '!Z15*100)</f>
        <v>0.35496537304345471</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1421.1123904596373</v>
      </c>
      <c r="C5" s="17">
        <f>'Eigen informatie GS &amp; warmtenet'!B60</f>
        <v>0</v>
      </c>
      <c r="D5" s="30">
        <f>IF(ISERROR(SUM(LB_lb_gas_kWh,LB_rest_gas_kWh)/1000),0,SUM(LB_lb_gas_kWh,LB_rest_gas_kWh)/1000)*0.902</f>
        <v>1373.1657849217454</v>
      </c>
      <c r="E5" s="17">
        <f>B17*'E Balans VL '!I25/3.6*1000000/100</f>
        <v>29.508986887646582</v>
      </c>
      <c r="F5" s="17">
        <f>B17*('E Balans VL '!L25/3.6*1000000+'E Balans VL '!N25/3.6*1000000)/100</f>
        <v>5022.2474505217315</v>
      </c>
      <c r="G5" s="18"/>
      <c r="H5" s="17"/>
      <c r="I5" s="17"/>
      <c r="J5" s="17">
        <f>('E Balans VL '!D25+'E Balans VL '!E25)/3.6*1000000*landbouw!B17/100</f>
        <v>162.99260289097617</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1421.1123904596373</v>
      </c>
      <c r="C8" s="21">
        <f>C5+C6</f>
        <v>0</v>
      </c>
      <c r="D8" s="21">
        <f>MAX((D5+D6),0)</f>
        <v>1373.1657849217454</v>
      </c>
      <c r="E8" s="21">
        <f>MAX((E5+E6),0)</f>
        <v>29.508986887646582</v>
      </c>
      <c r="F8" s="21">
        <f>MAX((F5+F6),0)</f>
        <v>5022.2474505217315</v>
      </c>
      <c r="G8" s="21"/>
      <c r="H8" s="21"/>
      <c r="I8" s="21"/>
      <c r="J8" s="21">
        <f>MAX((J5+J6),0)</f>
        <v>162.99260289097617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0.21750923152143403</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309.10506395446379</v>
      </c>
      <c r="C12" s="23">
        <f ca="1">C8*C10</f>
        <v>0</v>
      </c>
      <c r="D12" s="23">
        <f>D8*D10</f>
        <v>277.37948855419256</v>
      </c>
      <c r="E12" s="23">
        <f>E8*E10</f>
        <v>6.6985400234957746</v>
      </c>
      <c r="F12" s="23">
        <f>F8*F10</f>
        <v>1340.9400692893023</v>
      </c>
      <c r="G12" s="23"/>
      <c r="H12" s="23"/>
      <c r="I12" s="23"/>
      <c r="J12" s="23">
        <f>J8*J10</f>
        <v>57.699381423405562</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0.19820038760651595</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44.654992743199806</v>
      </c>
      <c r="C26" s="245">
        <f>B26*'GWP N2O_CH4'!B5</f>
        <v>937.75484760719587</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5.5005654005117206</v>
      </c>
      <c r="C27" s="245">
        <f>B27*'GWP N2O_CH4'!B5</f>
        <v>115.51187341074613</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0.65001605137692242</v>
      </c>
      <c r="C28" s="245">
        <f>B28*'GWP N2O_CH4'!B4</f>
        <v>201.50497592684596</v>
      </c>
      <c r="D28" s="50"/>
    </row>
    <row r="29" spans="1:4">
      <c r="A29" s="41" t="s">
        <v>266</v>
      </c>
      <c r="B29" s="245">
        <f>B34*'ha_N2O bodem landbouw'!B4</f>
        <v>6.5105902021565871</v>
      </c>
      <c r="C29" s="245">
        <f>B29*'GWP N2O_CH4'!B4</f>
        <v>2018.282962668542</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1.6256293178454834E-3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1.7944904399358488E-4</v>
      </c>
      <c r="C5" s="434" t="s">
        <v>204</v>
      </c>
      <c r="D5" s="419">
        <f>SUM(D6:D11)</f>
        <v>1.6702335669252364E-4</v>
      </c>
      <c r="E5" s="419">
        <f>SUM(E6:E11)</f>
        <v>6.6321562144074165E-3</v>
      </c>
      <c r="F5" s="432" t="s">
        <v>204</v>
      </c>
      <c r="G5" s="419">
        <f>SUM(G6:G11)</f>
        <v>1.5975769858675322</v>
      </c>
      <c r="H5" s="419">
        <f>SUM(H6:H11)</f>
        <v>0.3126221068248014</v>
      </c>
      <c r="I5" s="434" t="s">
        <v>204</v>
      </c>
      <c r="J5" s="434" t="s">
        <v>204</v>
      </c>
      <c r="K5" s="434" t="s">
        <v>204</v>
      </c>
      <c r="L5" s="434" t="s">
        <v>204</v>
      </c>
      <c r="M5" s="419">
        <f>SUM(M6:M11)</f>
        <v>8.6383100257308609E-2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4.5348670276254239E-5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4.0224630770169E-5</v>
      </c>
      <c r="E6" s="836">
        <f>vkm_GW_PW*SUMIFS(TableVerdeelsleutelVkm[LPG],TableVerdeelsleutelVkm[Voertuigtype],"Lichte voertuigen")*SUMIFS(TableECFTransport[EnergieConsumptieFactor (PJ per km)],TableECFTransport[Index],CONCATENATE($A6,"_LPG_LPG"))</f>
        <v>1.4444332924415759E-3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0.28714529467845573</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7.4124810431258556E-2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1.6343927816048872E-2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3.3797327378411911E-7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5.2887792156945154E-2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1.3912445406094018E-6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2.3879737717510579E-3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3.1091301959145741E-5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4.3388683744341472E-5</v>
      </c>
      <c r="E8" s="422">
        <f>vkm_NGW_PW*SUMIFS(TableVerdeelsleutelVkm[LPG],TableVerdeelsleutelVkm[Voertuigtype],"Lichte voertuigen")*SUMIFS(TableECFTransport[EnergieConsumptieFactor (PJ per km)],TableECFTransport[Index],CONCATENATE($A8,"_LPG_LPG"))</f>
        <v>1.4791853265069799E-3</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0.27741897487272837</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7.6638507844518269E-2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1.6019373080476056E-2</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2.3597812929216035E-8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4.7433468555550659E-3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1.1724904519654093E-7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2.141698352387034E-4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1.0063417602834262E-4</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8.3410042178013146E-5</v>
      </c>
      <c r="E10" s="422">
        <f>vkm_SW_PW*SUMIFS(TableVerdeelsleutelVkm[LPG],TableVerdeelsleutelVkm[Voertuigtype],"Lichte voertuigen")*SUMIFS(TableECFTransport[EnergieConsumptieFactor (PJ per km)],TableECFTransport[Index],CONCATENATE($A10,"_LPG_LPG"))</f>
        <v>3.7085375954588606E-3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0.67519975884942496</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0.16184874973465277</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3.7863907180666678E-2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2.0133246431289447E-6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0.30018181845442282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8.5303207859514838E-6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1.3553748573127241E-2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49.846956664884686</v>
      </c>
      <c r="C14" s="21"/>
      <c r="D14" s="21">
        <f t="shared" ref="D14:M14" si="0">((D5)*10^9/3600)+D12</f>
        <v>46.395376859034343</v>
      </c>
      <c r="E14" s="21">
        <f t="shared" si="0"/>
        <v>1842.2656151131712</v>
      </c>
      <c r="F14" s="21"/>
      <c r="G14" s="21">
        <f t="shared" si="0"/>
        <v>443771.3849632034</v>
      </c>
      <c r="H14" s="21">
        <f t="shared" si="0"/>
        <v>86839.474118000391</v>
      </c>
      <c r="I14" s="21"/>
      <c r="J14" s="21"/>
      <c r="K14" s="21"/>
      <c r="L14" s="21"/>
      <c r="M14" s="21">
        <f t="shared" si="0"/>
        <v>23995.305627030168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0.21750923152143403</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10.842173237861292</v>
      </c>
      <c r="C18" s="23"/>
      <c r="D18" s="23">
        <f t="shared" ref="D18:M18" si="1">D14*D16</f>
        <v>9.3718661255249387</v>
      </c>
      <c r="E18" s="23">
        <f t="shared" si="1"/>
        <v>418.19429463068985</v>
      </c>
      <c r="F18" s="23"/>
      <c r="G18" s="23">
        <f t="shared" si="1"/>
        <v>118486.95978517532</v>
      </c>
      <c r="H18" s="23">
        <f t="shared" si="1"/>
        <v>21623.029055382096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4.4784579060146601E-4</v>
      </c>
      <c r="C50" s="316">
        <f t="shared" ref="C50:P50" si="2">SUM(C51:C52)</f>
        <v>0</v>
      </c>
      <c r="D50" s="316">
        <f t="shared" si="2"/>
        <v>0</v>
      </c>
      <c r="E50" s="316">
        <f t="shared" si="2"/>
        <v>0</v>
      </c>
      <c r="F50" s="316">
        <f t="shared" si="2"/>
        <v>0</v>
      </c>
      <c r="G50" s="316">
        <f t="shared" si="2"/>
        <v>8.7170649053073326E-2</v>
      </c>
      <c r="H50" s="316">
        <f t="shared" si="2"/>
        <v>0</v>
      </c>
      <c r="I50" s="316">
        <f t="shared" si="2"/>
        <v>0</v>
      </c>
      <c r="J50" s="316">
        <f t="shared" si="2"/>
        <v>0</v>
      </c>
      <c r="K50" s="316">
        <f t="shared" si="2"/>
        <v>0</v>
      </c>
      <c r="L50" s="316">
        <f t="shared" si="2"/>
        <v>0</v>
      </c>
      <c r="M50" s="316">
        <f t="shared" si="2"/>
        <v>3.9088051500133086E-3</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4.4784579060146601E-4</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8.7170649053073326E-2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3.9088051500133086E-3</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124.40160850040724</v>
      </c>
      <c r="C54" s="21">
        <f t="shared" ref="C54:P54" si="3">(C50)*10^9/3600</f>
        <v>0</v>
      </c>
      <c r="D54" s="21">
        <f t="shared" si="3"/>
        <v>0</v>
      </c>
      <c r="E54" s="21">
        <f t="shared" si="3"/>
        <v>0</v>
      </c>
      <c r="F54" s="21">
        <f t="shared" si="3"/>
        <v>0</v>
      </c>
      <c r="G54" s="21">
        <f t="shared" si="3"/>
        <v>24214.069181409257</v>
      </c>
      <c r="H54" s="21">
        <f t="shared" si="3"/>
        <v>0</v>
      </c>
      <c r="I54" s="21">
        <f t="shared" si="3"/>
        <v>0</v>
      </c>
      <c r="J54" s="21">
        <f t="shared" si="3"/>
        <v>0</v>
      </c>
      <c r="K54" s="21">
        <f t="shared" si="3"/>
        <v>0</v>
      </c>
      <c r="L54" s="21">
        <f t="shared" si="3"/>
        <v>0</v>
      </c>
      <c r="M54" s="21">
        <f t="shared" si="3"/>
        <v>1085.7792083370302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0.21750923152143403</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27.058498264953872</v>
      </c>
      <c r="C58" s="23">
        <f t="shared" ref="C58:P58" ca="1" si="4">C54*C56</f>
        <v>0</v>
      </c>
      <c r="D58" s="23">
        <f t="shared" si="4"/>
        <v>0</v>
      </c>
      <c r="E58" s="23">
        <f t="shared" si="4"/>
        <v>0</v>
      </c>
      <c r="F58" s="23">
        <f t="shared" si="4"/>
        <v>0</v>
      </c>
      <c r="G58" s="23">
        <f t="shared" si="4"/>
        <v>6465.1564714362721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63.898654708520183</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10278.920319221137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42.300000000000004</v>
      </c>
      <c r="C8" s="546">
        <f>B48</f>
        <v>49.764705882352949</v>
      </c>
      <c r="D8" s="963"/>
      <c r="E8" s="963">
        <f>E48</f>
        <v>0</v>
      </c>
      <c r="F8" s="964"/>
      <c r="G8" s="547"/>
      <c r="H8" s="963">
        <f>I48</f>
        <v>0</v>
      </c>
      <c r="I8" s="963">
        <f>G48+F48</f>
        <v>0</v>
      </c>
      <c r="J8" s="963">
        <f>H48+D48+C48</f>
        <v>0</v>
      </c>
      <c r="K8" s="963"/>
      <c r="L8" s="963"/>
      <c r="M8" s="963"/>
      <c r="N8" s="548"/>
      <c r="O8" s="549">
        <f>C8*$C$12+D8*$D$12+E8*$E$12+F8*$F$12+G8*$G$12+H8*$H$12+I8*$I$12+J8*$J$12</f>
        <v>10.052470588235296</v>
      </c>
      <c r="P8" s="1206"/>
      <c r="Q8" s="1207"/>
      <c r="S8" s="975"/>
      <c r="T8" s="1227"/>
      <c r="U8" s="1227"/>
    </row>
    <row r="9" spans="1:21" s="534" customFormat="1" ht="17.45" customHeight="1" thickBot="1">
      <c r="A9" s="550" t="s">
        <v>237</v>
      </c>
      <c r="B9" s="551">
        <f>N36+'Eigen informatie GS &amp; warmtenet'!B12</f>
        <v>1404</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4011.4285714285716</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11789.118973929657</v>
      </c>
      <c r="C10" s="559">
        <f t="shared" ref="C10:L10" si="0">SUM(C8:C9)</f>
        <v>49.764705882352949</v>
      </c>
      <c r="D10" s="559">
        <f t="shared" si="0"/>
        <v>0</v>
      </c>
      <c r="E10" s="559">
        <f t="shared" si="0"/>
        <v>0</v>
      </c>
      <c r="F10" s="559">
        <f t="shared" si="0"/>
        <v>0</v>
      </c>
      <c r="G10" s="559">
        <f t="shared" si="0"/>
        <v>0</v>
      </c>
      <c r="H10" s="559">
        <f t="shared" si="0"/>
        <v>0</v>
      </c>
      <c r="I10" s="559">
        <f t="shared" si="0"/>
        <v>0</v>
      </c>
      <c r="J10" s="559">
        <f t="shared" si="0"/>
        <v>4011.4285714285716</v>
      </c>
      <c r="K10" s="559">
        <f t="shared" si="0"/>
        <v>0</v>
      </c>
      <c r="L10" s="559">
        <f t="shared" si="0"/>
        <v>0</v>
      </c>
      <c r="M10" s="966"/>
      <c r="N10" s="966"/>
      <c r="O10" s="560">
        <f>SUM(O4:O9)</f>
        <v>10.052470588235296</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60.428571428571438</v>
      </c>
      <c r="C17" s="571">
        <f>B49</f>
        <v>71.092436974789933</v>
      </c>
      <c r="D17" s="572"/>
      <c r="E17" s="572">
        <f>E49</f>
        <v>0</v>
      </c>
      <c r="F17" s="969"/>
      <c r="G17" s="573"/>
      <c r="H17" s="571">
        <f>I49</f>
        <v>0</v>
      </c>
      <c r="I17" s="572">
        <f>G49+F49</f>
        <v>0</v>
      </c>
      <c r="J17" s="572">
        <f>H49+D49+C49</f>
        <v>0</v>
      </c>
      <c r="K17" s="572"/>
      <c r="L17" s="572"/>
      <c r="M17" s="572"/>
      <c r="N17" s="970"/>
      <c r="O17" s="574">
        <f>C17*$C$22+E17*$E$22+H17*$H$22+I17*$I$22+J17*$J$22+D17*$D$22+F17*$F$22+G17*$G$22+K17*$K$22+L17*$L$22</f>
        <v>14.360672268907567</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60.428571428571438</v>
      </c>
      <c r="C20" s="558">
        <f>SUM(C17:C19)</f>
        <v>71.092436974789933</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14.360672268907567</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51" hidden="1">
      <c r="A28" s="582"/>
      <c r="B28" s="741">
        <v>24062</v>
      </c>
      <c r="C28" s="741">
        <v>3001</v>
      </c>
      <c r="D28" s="630"/>
      <c r="E28" s="629"/>
      <c r="F28" s="629"/>
      <c r="G28" s="629" t="s">
        <v>908</v>
      </c>
      <c r="H28" s="629" t="s">
        <v>909</v>
      </c>
      <c r="I28" s="629"/>
      <c r="J28" s="740"/>
      <c r="K28" s="740"/>
      <c r="L28" s="629" t="s">
        <v>910</v>
      </c>
      <c r="M28" s="629">
        <v>9.4</v>
      </c>
      <c r="N28" s="629">
        <v>42.300000000000004</v>
      </c>
      <c r="O28" s="629">
        <v>60.428571428571438</v>
      </c>
      <c r="P28" s="629">
        <v>120.85714285714288</v>
      </c>
      <c r="Q28" s="629">
        <v>0</v>
      </c>
      <c r="R28" s="629">
        <v>0</v>
      </c>
      <c r="S28" s="629">
        <v>0</v>
      </c>
      <c r="T28" s="629">
        <v>0</v>
      </c>
      <c r="U28" s="629">
        <v>0</v>
      </c>
      <c r="V28" s="629">
        <v>0</v>
      </c>
      <c r="W28" s="629">
        <v>0</v>
      </c>
      <c r="X28" s="629"/>
      <c r="Y28" s="629">
        <v>1500</v>
      </c>
      <c r="Z28" s="629" t="s">
        <v>50</v>
      </c>
      <c r="AA28" s="631" t="s">
        <v>149</v>
      </c>
    </row>
    <row r="29" spans="1:27" s="566" customFormat="1" hidden="1">
      <c r="A29" s="585" t="s">
        <v>269</v>
      </c>
      <c r="B29" s="586"/>
      <c r="C29" s="586"/>
      <c r="D29" s="586"/>
      <c r="E29" s="586"/>
      <c r="F29" s="586"/>
      <c r="G29" s="586"/>
      <c r="H29" s="586"/>
      <c r="I29" s="586"/>
      <c r="J29" s="586"/>
      <c r="K29" s="586"/>
      <c r="L29" s="587"/>
      <c r="M29" s="587">
        <f>SUM(M28:M28)</f>
        <v>9.4</v>
      </c>
      <c r="N29" s="587">
        <f>SUM(N28:N28)</f>
        <v>42.300000000000004</v>
      </c>
      <c r="O29" s="587">
        <f>SUM(O28:O28)</f>
        <v>60.428571428571438</v>
      </c>
      <c r="P29" s="587">
        <f>SUM(P28:P28)</f>
        <v>120.85714285714288</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9.4</v>
      </c>
      <c r="N31" s="587">
        <f ca="1">SUMIF($AA$28:AE28,"tertiair",N28:N28)</f>
        <v>42.300000000000004</v>
      </c>
      <c r="O31" s="587">
        <f ca="1">SUMIF($AA$28:AF28,"tertiair",O28:O28)</f>
        <v>60.428571428571438</v>
      </c>
      <c r="P31" s="587">
        <f ca="1">SUMIF($AA$28:AG28,"tertiair",P28:P28)</f>
        <v>120.85714285714288</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63.75" hidden="1">
      <c r="A35" s="584"/>
      <c r="B35" s="741">
        <v>24062</v>
      </c>
      <c r="C35" s="741">
        <v>3010</v>
      </c>
      <c r="D35" s="632"/>
      <c r="E35" s="632"/>
      <c r="F35" s="632"/>
      <c r="G35" s="632" t="s">
        <v>911</v>
      </c>
      <c r="H35" s="632" t="s">
        <v>912</v>
      </c>
      <c r="I35" s="632"/>
      <c r="J35" s="740"/>
      <c r="K35" s="740"/>
      <c r="L35" s="632" t="s">
        <v>913</v>
      </c>
      <c r="M35" s="632">
        <v>312</v>
      </c>
      <c r="N35" s="632">
        <v>1404</v>
      </c>
      <c r="O35" s="632">
        <v>0</v>
      </c>
      <c r="P35" s="632">
        <v>0</v>
      </c>
      <c r="Q35" s="632">
        <v>4011.4285714285716</v>
      </c>
      <c r="R35" s="632">
        <v>0</v>
      </c>
      <c r="S35" s="632">
        <v>0</v>
      </c>
      <c r="T35" s="632">
        <v>0</v>
      </c>
      <c r="U35" s="632">
        <v>0</v>
      </c>
      <c r="V35" s="632">
        <v>0</v>
      </c>
      <c r="W35" s="632">
        <v>0</v>
      </c>
      <c r="X35" s="632"/>
      <c r="Y35" s="632">
        <v>1600</v>
      </c>
      <c r="Z35" s="632" t="s">
        <v>49</v>
      </c>
      <c r="AA35" s="633" t="s">
        <v>149</v>
      </c>
    </row>
    <row r="36" spans="1:28" s="566" customFormat="1" hidden="1">
      <c r="A36" s="585" t="s">
        <v>269</v>
      </c>
      <c r="B36" s="586"/>
      <c r="C36" s="586"/>
      <c r="D36" s="586"/>
      <c r="E36" s="586"/>
      <c r="F36" s="586"/>
      <c r="G36" s="586"/>
      <c r="H36" s="586"/>
      <c r="I36" s="586"/>
      <c r="J36" s="586"/>
      <c r="K36" s="586"/>
      <c r="L36" s="587"/>
      <c r="M36" s="587">
        <f>SUM(M35:M35)</f>
        <v>312</v>
      </c>
      <c r="N36" s="587">
        <f>SUM(N35:N35)</f>
        <v>1404</v>
      </c>
      <c r="O36" s="587">
        <f>SUM(O35:O35)</f>
        <v>0</v>
      </c>
      <c r="P36" s="587">
        <f>SUM(P35:P35)</f>
        <v>0</v>
      </c>
      <c r="Q36" s="587">
        <f>SUM(Q35:Q35)</f>
        <v>4011.4285714285716</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312</v>
      </c>
      <c r="N38" s="587">
        <f>SUMIF($AA$35:$AA$36,"tertiair",N35:N36)</f>
        <v>1404</v>
      </c>
      <c r="O38" s="587">
        <f>SUMIF($AA$35:$AA$36,"tertiair",O35:O36)</f>
        <v>0</v>
      </c>
      <c r="P38" s="587">
        <f>SUMIF($AA$35:$AA$36,"tertiair",P35:P36)</f>
        <v>0</v>
      </c>
      <c r="Q38" s="587">
        <f>SUMIF($AA$35:$AA$36,"tertiair",Q35:Q36)</f>
        <v>4011.4285714285716</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49.764705882352949</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71.092436974789933</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456496.93172107398</v>
      </c>
      <c r="D10" s="640">
        <f ca="1">tertiair!C16</f>
        <v>60.428571428571438</v>
      </c>
      <c r="E10" s="640">
        <f ca="1">tertiair!D16</f>
        <v>512538.30554648209</v>
      </c>
      <c r="F10" s="640">
        <f>tertiair!E16</f>
        <v>4258.6505419274345</v>
      </c>
      <c r="G10" s="640">
        <f ca="1">tertiair!F16</f>
        <v>87242.760124147419</v>
      </c>
      <c r="H10" s="640">
        <f>tertiair!G16</f>
        <v>0</v>
      </c>
      <c r="I10" s="640">
        <f>tertiair!H16</f>
        <v>0</v>
      </c>
      <c r="J10" s="640">
        <f>tertiair!I16</f>
        <v>0</v>
      </c>
      <c r="K10" s="640">
        <f>tertiair!J16</f>
        <v>415.41213497355909</v>
      </c>
      <c r="L10" s="640">
        <f>tertiair!K16</f>
        <v>0</v>
      </c>
      <c r="M10" s="640">
        <f ca="1">tertiair!L16</f>
        <v>0</v>
      </c>
      <c r="N10" s="640">
        <f>tertiair!M16</f>
        <v>0</v>
      </c>
      <c r="O10" s="640">
        <f ca="1">tertiair!N16</f>
        <v>12836.843276914398</v>
      </c>
      <c r="P10" s="640">
        <f>tertiair!O16</f>
        <v>9.3800000000000008</v>
      </c>
      <c r="Q10" s="641">
        <f>tertiair!P16</f>
        <v>247.86666666666667</v>
      </c>
      <c r="R10" s="643">
        <f ca="1">SUM(C10:Q10)</f>
        <v>1074106.5785836142</v>
      </c>
      <c r="S10" s="67"/>
    </row>
    <row r="11" spans="1:19" s="444" customFormat="1">
      <c r="A11" s="754" t="s">
        <v>214</v>
      </c>
      <c r="B11" s="759"/>
      <c r="C11" s="640">
        <f>huishoudens!B8</f>
        <v>150852.42918248096</v>
      </c>
      <c r="D11" s="640">
        <f>huishoudens!C8</f>
        <v>0</v>
      </c>
      <c r="E11" s="640">
        <f>huishoudens!D8</f>
        <v>450630.15072730382</v>
      </c>
      <c r="F11" s="640">
        <f>huishoudens!E8</f>
        <v>11920.554305720056</v>
      </c>
      <c r="G11" s="640">
        <f>huishoudens!F8</f>
        <v>365311.02221942483</v>
      </c>
      <c r="H11" s="640">
        <f>huishoudens!G8</f>
        <v>0</v>
      </c>
      <c r="I11" s="640">
        <f>huishoudens!H8</f>
        <v>0</v>
      </c>
      <c r="J11" s="640">
        <f>huishoudens!I8</f>
        <v>0</v>
      </c>
      <c r="K11" s="640">
        <f>huishoudens!J8</f>
        <v>6918.2633628851418</v>
      </c>
      <c r="L11" s="640">
        <f>huishoudens!K8</f>
        <v>0</v>
      </c>
      <c r="M11" s="640">
        <f>huishoudens!L8</f>
        <v>0</v>
      </c>
      <c r="N11" s="640">
        <f>huishoudens!M8</f>
        <v>0</v>
      </c>
      <c r="O11" s="640">
        <f>huishoudens!N8</f>
        <v>76144.250317227532</v>
      </c>
      <c r="P11" s="640">
        <f>huishoudens!O8</f>
        <v>587.81333333333339</v>
      </c>
      <c r="Q11" s="641">
        <f>huishoudens!P8</f>
        <v>724.5333333333333</v>
      </c>
      <c r="R11" s="643">
        <f>SUM(C11:Q11)</f>
        <v>1063089.0167817089</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116368.93809242515</v>
      </c>
      <c r="D13" s="640">
        <f>industrie!C18</f>
        <v>0</v>
      </c>
      <c r="E13" s="640">
        <f>industrie!D18</f>
        <v>118025.26193899187</v>
      </c>
      <c r="F13" s="640">
        <f>industrie!E18</f>
        <v>14990.235340553085</v>
      </c>
      <c r="G13" s="640">
        <f>industrie!F18</f>
        <v>79968.155293267424</v>
      </c>
      <c r="H13" s="640">
        <f>industrie!G18</f>
        <v>0</v>
      </c>
      <c r="I13" s="640">
        <f>industrie!H18</f>
        <v>0</v>
      </c>
      <c r="J13" s="640">
        <f>industrie!I18</f>
        <v>0</v>
      </c>
      <c r="K13" s="640">
        <f>industrie!J18</f>
        <v>118.7511540655404</v>
      </c>
      <c r="L13" s="640">
        <f>industrie!K18</f>
        <v>0</v>
      </c>
      <c r="M13" s="640">
        <f>industrie!L18</f>
        <v>0</v>
      </c>
      <c r="N13" s="640">
        <f>industrie!M18</f>
        <v>0</v>
      </c>
      <c r="O13" s="640">
        <f>industrie!N18</f>
        <v>14150.274460546918</v>
      </c>
      <c r="P13" s="640">
        <f>industrie!O18</f>
        <v>0</v>
      </c>
      <c r="Q13" s="641">
        <f>industrie!P18</f>
        <v>0</v>
      </c>
      <c r="R13" s="643">
        <f>SUM(C13:Q13)</f>
        <v>343621.61627984996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723718.29899598006</v>
      </c>
      <c r="D16" s="675">
        <f t="shared" ref="D16:R16" ca="1" si="0">SUM(D9:D15)</f>
        <v>60.428571428571438</v>
      </c>
      <c r="E16" s="675">
        <f t="shared" ca="1" si="0"/>
        <v>1081193.7182127777</v>
      </c>
      <c r="F16" s="675">
        <f t="shared" si="0"/>
        <v>31169.440188200577</v>
      </c>
      <c r="G16" s="675">
        <f t="shared" ca="1" si="0"/>
        <v>532521.93763683969</v>
      </c>
      <c r="H16" s="675">
        <f t="shared" si="0"/>
        <v>0</v>
      </c>
      <c r="I16" s="675">
        <f t="shared" si="0"/>
        <v>0</v>
      </c>
      <c r="J16" s="675">
        <f t="shared" si="0"/>
        <v>0</v>
      </c>
      <c r="K16" s="675">
        <f t="shared" si="0"/>
        <v>7452.426651924241</v>
      </c>
      <c r="L16" s="675">
        <f t="shared" si="0"/>
        <v>0</v>
      </c>
      <c r="M16" s="675">
        <f t="shared" ca="1" si="0"/>
        <v>0</v>
      </c>
      <c r="N16" s="675">
        <f t="shared" si="0"/>
        <v>0</v>
      </c>
      <c r="O16" s="675">
        <f t="shared" ca="1" si="0"/>
        <v>103131.36805468885</v>
      </c>
      <c r="P16" s="675">
        <f t="shared" si="0"/>
        <v>597.19333333333338</v>
      </c>
      <c r="Q16" s="675">
        <f t="shared" si="0"/>
        <v>972.4</v>
      </c>
      <c r="R16" s="675">
        <f t="shared" ca="1" si="0"/>
        <v>2480817.2116451729</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124.40160850040724</v>
      </c>
      <c r="D19" s="640">
        <f>transport!C54</f>
        <v>0</v>
      </c>
      <c r="E19" s="640">
        <f>transport!D54</f>
        <v>0</v>
      </c>
      <c r="F19" s="640">
        <f>transport!E54</f>
        <v>0</v>
      </c>
      <c r="G19" s="640">
        <f>transport!F54</f>
        <v>0</v>
      </c>
      <c r="H19" s="640">
        <f>transport!G54</f>
        <v>24214.069181409257</v>
      </c>
      <c r="I19" s="640">
        <f>transport!H54</f>
        <v>0</v>
      </c>
      <c r="J19" s="640">
        <f>transport!I54</f>
        <v>0</v>
      </c>
      <c r="K19" s="640">
        <f>transport!J54</f>
        <v>0</v>
      </c>
      <c r="L19" s="640">
        <f>transport!K54</f>
        <v>0</v>
      </c>
      <c r="M19" s="640">
        <f>transport!L54</f>
        <v>0</v>
      </c>
      <c r="N19" s="640">
        <f>transport!M54</f>
        <v>1085.7792083370302</v>
      </c>
      <c r="O19" s="640">
        <f>transport!N54</f>
        <v>0</v>
      </c>
      <c r="P19" s="640">
        <f>transport!O54</f>
        <v>0</v>
      </c>
      <c r="Q19" s="641">
        <f>transport!P54</f>
        <v>0</v>
      </c>
      <c r="R19" s="643">
        <f>SUM(C19:Q19)</f>
        <v>25424.249998246694</v>
      </c>
      <c r="S19" s="67"/>
    </row>
    <row r="20" spans="1:19" s="444" customFormat="1">
      <c r="A20" s="754" t="s">
        <v>296</v>
      </c>
      <c r="B20" s="759"/>
      <c r="C20" s="640">
        <f>transport!B14</f>
        <v>49.846956664884686</v>
      </c>
      <c r="D20" s="640">
        <f>transport!C14</f>
        <v>0</v>
      </c>
      <c r="E20" s="640">
        <f>transport!D14</f>
        <v>46.395376859034343</v>
      </c>
      <c r="F20" s="640">
        <f>transport!E14</f>
        <v>1842.2656151131712</v>
      </c>
      <c r="G20" s="640">
        <f>transport!F14</f>
        <v>0</v>
      </c>
      <c r="H20" s="640">
        <f>transport!G14</f>
        <v>443771.3849632034</v>
      </c>
      <c r="I20" s="640">
        <f>transport!H14</f>
        <v>86839.474118000391</v>
      </c>
      <c r="J20" s="640">
        <f>transport!I14</f>
        <v>0</v>
      </c>
      <c r="K20" s="640">
        <f>transport!J14</f>
        <v>0</v>
      </c>
      <c r="L20" s="640">
        <f>transport!K14</f>
        <v>0</v>
      </c>
      <c r="M20" s="640">
        <f>transport!L14</f>
        <v>0</v>
      </c>
      <c r="N20" s="640">
        <f>transport!M14</f>
        <v>23995.305627030168</v>
      </c>
      <c r="O20" s="640">
        <f>transport!N14</f>
        <v>0</v>
      </c>
      <c r="P20" s="640">
        <f>transport!O14</f>
        <v>0</v>
      </c>
      <c r="Q20" s="641">
        <f>transport!P14</f>
        <v>0</v>
      </c>
      <c r="R20" s="643">
        <f>SUM(C20:Q20)</f>
        <v>556544.67265687103</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174.24856516529192</v>
      </c>
      <c r="D22" s="757">
        <f t="shared" ref="D22:R22" si="1">SUM(D18:D21)</f>
        <v>0</v>
      </c>
      <c r="E22" s="757">
        <f t="shared" si="1"/>
        <v>46.395376859034343</v>
      </c>
      <c r="F22" s="757">
        <f t="shared" si="1"/>
        <v>1842.2656151131712</v>
      </c>
      <c r="G22" s="757">
        <f t="shared" si="1"/>
        <v>0</v>
      </c>
      <c r="H22" s="757">
        <f t="shared" si="1"/>
        <v>467985.45414461265</v>
      </c>
      <c r="I22" s="757">
        <f t="shared" si="1"/>
        <v>86839.474118000391</v>
      </c>
      <c r="J22" s="757">
        <f t="shared" si="1"/>
        <v>0</v>
      </c>
      <c r="K22" s="757">
        <f t="shared" si="1"/>
        <v>0</v>
      </c>
      <c r="L22" s="757">
        <f t="shared" si="1"/>
        <v>0</v>
      </c>
      <c r="M22" s="757">
        <f t="shared" si="1"/>
        <v>0</v>
      </c>
      <c r="N22" s="757">
        <f t="shared" si="1"/>
        <v>25081.084835367197</v>
      </c>
      <c r="O22" s="757">
        <f t="shared" si="1"/>
        <v>0</v>
      </c>
      <c r="P22" s="757">
        <f t="shared" si="1"/>
        <v>0</v>
      </c>
      <c r="Q22" s="757">
        <f t="shared" si="1"/>
        <v>0</v>
      </c>
      <c r="R22" s="757">
        <f t="shared" si="1"/>
        <v>581968.9226551177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1421.1123904596373</v>
      </c>
      <c r="D24" s="640">
        <f>+landbouw!C8</f>
        <v>0</v>
      </c>
      <c r="E24" s="640">
        <f>+landbouw!D8</f>
        <v>1373.1657849217454</v>
      </c>
      <c r="F24" s="640">
        <f>+landbouw!E8</f>
        <v>29.508986887646582</v>
      </c>
      <c r="G24" s="640">
        <f>+landbouw!F8</f>
        <v>5022.2474505217315</v>
      </c>
      <c r="H24" s="640">
        <f>+landbouw!G8</f>
        <v>0</v>
      </c>
      <c r="I24" s="640">
        <f>+landbouw!H8</f>
        <v>0</v>
      </c>
      <c r="J24" s="640">
        <f>+landbouw!I8</f>
        <v>0</v>
      </c>
      <c r="K24" s="640">
        <f>+landbouw!J8</f>
        <v>162.99260289097617</v>
      </c>
      <c r="L24" s="640">
        <f>+landbouw!K8</f>
        <v>0</v>
      </c>
      <c r="M24" s="640">
        <f>+landbouw!L8</f>
        <v>0</v>
      </c>
      <c r="N24" s="640">
        <f>+landbouw!M8</f>
        <v>0</v>
      </c>
      <c r="O24" s="640">
        <f>+landbouw!N8</f>
        <v>0</v>
      </c>
      <c r="P24" s="640">
        <f>+landbouw!O8</f>
        <v>0</v>
      </c>
      <c r="Q24" s="641">
        <f>+landbouw!P8</f>
        <v>0</v>
      </c>
      <c r="R24" s="643">
        <f>SUM(C24:Q24)</f>
        <v>8009.0272156817364</v>
      </c>
      <c r="S24" s="67"/>
    </row>
    <row r="25" spans="1:19" s="444" customFormat="1" ht="15" thickBot="1">
      <c r="A25" s="776" t="s">
        <v>806</v>
      </c>
      <c r="B25" s="939"/>
      <c r="C25" s="940">
        <f>IF(Onbekend_ele_kWh="---",0,Onbekend_ele_kWh)/1000+IF(REST_rest_ele_kWh="---",0,REST_rest_ele_kWh)/1000</f>
        <v>18173.8668168269</v>
      </c>
      <c r="D25" s="940"/>
      <c r="E25" s="940">
        <f>IF(onbekend_gas_kWh="---",0,onbekend_gas_kWh)/1000+IF(REST_rest_gas_kWh="---",0,REST_rest_gas_kWh)/1000</f>
        <v>40541.611913348897</v>
      </c>
      <c r="F25" s="940"/>
      <c r="G25" s="940"/>
      <c r="H25" s="940"/>
      <c r="I25" s="940"/>
      <c r="J25" s="940"/>
      <c r="K25" s="940"/>
      <c r="L25" s="940"/>
      <c r="M25" s="940"/>
      <c r="N25" s="940"/>
      <c r="O25" s="940"/>
      <c r="P25" s="940"/>
      <c r="Q25" s="941"/>
      <c r="R25" s="643">
        <f>SUM(C25:Q25)</f>
        <v>58715.478730175797</v>
      </c>
      <c r="S25" s="67"/>
    </row>
    <row r="26" spans="1:19" s="444" customFormat="1" ht="15.75" thickBot="1">
      <c r="A26" s="648" t="s">
        <v>807</v>
      </c>
      <c r="B26" s="762"/>
      <c r="C26" s="757">
        <f>SUM(C24:C25)</f>
        <v>19594.979207286538</v>
      </c>
      <c r="D26" s="757">
        <f t="shared" ref="D26:R26" si="2">SUM(D24:D25)</f>
        <v>0</v>
      </c>
      <c r="E26" s="757">
        <f t="shared" si="2"/>
        <v>41914.777698270642</v>
      </c>
      <c r="F26" s="757">
        <f t="shared" si="2"/>
        <v>29.508986887646582</v>
      </c>
      <c r="G26" s="757">
        <f t="shared" si="2"/>
        <v>5022.2474505217315</v>
      </c>
      <c r="H26" s="757">
        <f t="shared" si="2"/>
        <v>0</v>
      </c>
      <c r="I26" s="757">
        <f t="shared" si="2"/>
        <v>0</v>
      </c>
      <c r="J26" s="757">
        <f t="shared" si="2"/>
        <v>0</v>
      </c>
      <c r="K26" s="757">
        <f t="shared" si="2"/>
        <v>162.99260289097617</v>
      </c>
      <c r="L26" s="757">
        <f t="shared" si="2"/>
        <v>0</v>
      </c>
      <c r="M26" s="757">
        <f t="shared" si="2"/>
        <v>0</v>
      </c>
      <c r="N26" s="757">
        <f t="shared" si="2"/>
        <v>0</v>
      </c>
      <c r="O26" s="757">
        <f t="shared" si="2"/>
        <v>0</v>
      </c>
      <c r="P26" s="757">
        <f t="shared" si="2"/>
        <v>0</v>
      </c>
      <c r="Q26" s="757">
        <f t="shared" si="2"/>
        <v>0</v>
      </c>
      <c r="R26" s="757">
        <f t="shared" si="2"/>
        <v>66724.505945857527</v>
      </c>
      <c r="S26" s="67"/>
    </row>
    <row r="27" spans="1:19" s="444" customFormat="1" ht="17.25" thickTop="1" thickBot="1">
      <c r="A27" s="649" t="s">
        <v>109</v>
      </c>
      <c r="B27" s="749"/>
      <c r="C27" s="650">
        <f ca="1">C22+C16+C26</f>
        <v>743487.52676843188</v>
      </c>
      <c r="D27" s="650">
        <f t="shared" ref="D27:R27" ca="1" si="3">D22+D16+D26</f>
        <v>60.428571428571438</v>
      </c>
      <c r="E27" s="650">
        <f t="shared" ca="1" si="3"/>
        <v>1123154.8912879075</v>
      </c>
      <c r="F27" s="650">
        <f t="shared" si="3"/>
        <v>33041.214790201397</v>
      </c>
      <c r="G27" s="650">
        <f t="shared" ca="1" si="3"/>
        <v>537544.18508736137</v>
      </c>
      <c r="H27" s="650">
        <f t="shared" si="3"/>
        <v>467985.45414461265</v>
      </c>
      <c r="I27" s="650">
        <f t="shared" si="3"/>
        <v>86839.474118000391</v>
      </c>
      <c r="J27" s="650">
        <f t="shared" si="3"/>
        <v>0</v>
      </c>
      <c r="K27" s="650">
        <f t="shared" si="3"/>
        <v>7615.4192548152168</v>
      </c>
      <c r="L27" s="650">
        <f t="shared" si="3"/>
        <v>0</v>
      </c>
      <c r="M27" s="650">
        <f t="shared" ca="1" si="3"/>
        <v>0</v>
      </c>
      <c r="N27" s="650">
        <f t="shared" si="3"/>
        <v>25081.084835367197</v>
      </c>
      <c r="O27" s="650">
        <f t="shared" ca="1" si="3"/>
        <v>103131.36805468885</v>
      </c>
      <c r="P27" s="650">
        <f t="shared" si="3"/>
        <v>597.19333333333338</v>
      </c>
      <c r="Q27" s="650">
        <f t="shared" si="3"/>
        <v>972.4</v>
      </c>
      <c r="R27" s="650">
        <f t="shared" ca="1" si="3"/>
        <v>3129510.6402461482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99292.296810543354</v>
      </c>
      <c r="D40" s="640">
        <f ca="1">tertiair!C20</f>
        <v>14.360672268907567</v>
      </c>
      <c r="E40" s="640">
        <f ca="1">tertiair!D20</f>
        <v>103532.73772038938</v>
      </c>
      <c r="F40" s="640">
        <f>tertiair!E20</f>
        <v>966.71367301752764</v>
      </c>
      <c r="G40" s="640">
        <f ca="1">tertiair!F20</f>
        <v>23293.816953147361</v>
      </c>
      <c r="H40" s="640">
        <f>tertiair!G20</f>
        <v>0</v>
      </c>
      <c r="I40" s="640">
        <f>tertiair!H20</f>
        <v>0</v>
      </c>
      <c r="J40" s="640">
        <f>tertiair!I20</f>
        <v>0</v>
      </c>
      <c r="K40" s="640">
        <f>tertiair!J20</f>
        <v>147.0558957806399</v>
      </c>
      <c r="L40" s="640">
        <f>tertiair!K20</f>
        <v>0</v>
      </c>
      <c r="M40" s="640">
        <f ca="1">tertiair!L20</f>
        <v>0</v>
      </c>
      <c r="N40" s="640">
        <f>tertiair!M20</f>
        <v>0</v>
      </c>
      <c r="O40" s="640">
        <f ca="1">tertiair!N20</f>
        <v>0</v>
      </c>
      <c r="P40" s="640">
        <f>tertiair!O20</f>
        <v>0</v>
      </c>
      <c r="Q40" s="717">
        <f>tertiair!P20</f>
        <v>0</v>
      </c>
      <c r="R40" s="795">
        <f t="shared" ca="1" si="4"/>
        <v>227246.9817251472</v>
      </c>
    </row>
    <row r="41" spans="1:18">
      <c r="A41" s="767" t="s">
        <v>214</v>
      </c>
      <c r="B41" s="774"/>
      <c r="C41" s="640">
        <f ca="1">huishoudens!B12</f>
        <v>32811.79594462298</v>
      </c>
      <c r="D41" s="640">
        <f ca="1">huishoudens!C12</f>
        <v>0</v>
      </c>
      <c r="E41" s="640">
        <f>huishoudens!D12</f>
        <v>91027.290446915373</v>
      </c>
      <c r="F41" s="640">
        <f>huishoudens!E12</f>
        <v>2705.9658273984528</v>
      </c>
      <c r="G41" s="640">
        <f>huishoudens!F12</f>
        <v>97538.042932586439</v>
      </c>
      <c r="H41" s="640">
        <f>huishoudens!G12</f>
        <v>0</v>
      </c>
      <c r="I41" s="640">
        <f>huishoudens!H12</f>
        <v>0</v>
      </c>
      <c r="J41" s="640">
        <f>huishoudens!I12</f>
        <v>0</v>
      </c>
      <c r="K41" s="640">
        <f>huishoudens!J12</f>
        <v>2449.06523046134</v>
      </c>
      <c r="L41" s="640">
        <f>huishoudens!K12</f>
        <v>0</v>
      </c>
      <c r="M41" s="640">
        <f>huishoudens!L12</f>
        <v>0</v>
      </c>
      <c r="N41" s="640">
        <f>huishoudens!M12</f>
        <v>0</v>
      </c>
      <c r="O41" s="640">
        <f>huishoudens!N12</f>
        <v>0</v>
      </c>
      <c r="P41" s="640">
        <f>huishoudens!O12</f>
        <v>0</v>
      </c>
      <c r="Q41" s="717">
        <f>huishoudens!P12</f>
        <v>0</v>
      </c>
      <c r="R41" s="795">
        <f t="shared" ca="1" si="4"/>
        <v>226532.16038198458</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25311.318297448724</v>
      </c>
      <c r="D43" s="640">
        <f ca="1">industrie!C22</f>
        <v>0</v>
      </c>
      <c r="E43" s="640">
        <f>industrie!D22</f>
        <v>23841.10291167636</v>
      </c>
      <c r="F43" s="640">
        <f>industrie!E22</f>
        <v>3402.7834223055502</v>
      </c>
      <c r="G43" s="640">
        <f>industrie!F22</f>
        <v>21351.497463302403</v>
      </c>
      <c r="H43" s="640">
        <f>industrie!G22</f>
        <v>0</v>
      </c>
      <c r="I43" s="640">
        <f>industrie!H22</f>
        <v>0</v>
      </c>
      <c r="J43" s="640">
        <f>industrie!I22</f>
        <v>0</v>
      </c>
      <c r="K43" s="640">
        <f>industrie!J22</f>
        <v>42.037908539201304</v>
      </c>
      <c r="L43" s="640">
        <f>industrie!K22</f>
        <v>0</v>
      </c>
      <c r="M43" s="640">
        <f>industrie!L22</f>
        <v>0</v>
      </c>
      <c r="N43" s="640">
        <f>industrie!M22</f>
        <v>0</v>
      </c>
      <c r="O43" s="640">
        <f>industrie!N22</f>
        <v>0</v>
      </c>
      <c r="P43" s="640">
        <f>industrie!O22</f>
        <v>0</v>
      </c>
      <c r="Q43" s="717">
        <f>industrie!P22</f>
        <v>0</v>
      </c>
      <c r="R43" s="794">
        <f t="shared" ca="1" si="4"/>
        <v>73948.740003272236</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157415.41105261506</v>
      </c>
      <c r="D46" s="675">
        <f t="shared" ref="D46:Q46" ca="1" si="5">SUM(D39:D45)</f>
        <v>14.360672268907567</v>
      </c>
      <c r="E46" s="675">
        <f t="shared" ca="1" si="5"/>
        <v>218401.13107898113</v>
      </c>
      <c r="F46" s="675">
        <f t="shared" si="5"/>
        <v>7075.46292272153</v>
      </c>
      <c r="G46" s="675">
        <f t="shared" ca="1" si="5"/>
        <v>142183.3573490362</v>
      </c>
      <c r="H46" s="675">
        <f t="shared" si="5"/>
        <v>0</v>
      </c>
      <c r="I46" s="675">
        <f t="shared" si="5"/>
        <v>0</v>
      </c>
      <c r="J46" s="675">
        <f t="shared" si="5"/>
        <v>0</v>
      </c>
      <c r="K46" s="675">
        <f t="shared" si="5"/>
        <v>2638.1590347811812</v>
      </c>
      <c r="L46" s="675">
        <f t="shared" si="5"/>
        <v>0</v>
      </c>
      <c r="M46" s="675">
        <f t="shared" ca="1" si="5"/>
        <v>0</v>
      </c>
      <c r="N46" s="675">
        <f t="shared" si="5"/>
        <v>0</v>
      </c>
      <c r="O46" s="675">
        <f t="shared" ca="1" si="5"/>
        <v>0</v>
      </c>
      <c r="P46" s="675">
        <f t="shared" si="5"/>
        <v>0</v>
      </c>
      <c r="Q46" s="675">
        <f t="shared" si="5"/>
        <v>0</v>
      </c>
      <c r="R46" s="675">
        <f ca="1">SUM(R39:R45)</f>
        <v>527727.88211040397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27.058498264953872</v>
      </c>
      <c r="D49" s="640">
        <f ca="1">transport!C58</f>
        <v>0</v>
      </c>
      <c r="E49" s="640">
        <f>transport!D58</f>
        <v>0</v>
      </c>
      <c r="F49" s="640">
        <f>transport!E58</f>
        <v>0</v>
      </c>
      <c r="G49" s="640">
        <f>transport!F58</f>
        <v>0</v>
      </c>
      <c r="H49" s="640">
        <f>transport!G58</f>
        <v>6465.1564714362721</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6492.2149697012264</v>
      </c>
    </row>
    <row r="50" spans="1:18">
      <c r="A50" s="770" t="s">
        <v>296</v>
      </c>
      <c r="B50" s="780"/>
      <c r="C50" s="646">
        <f ca="1">transport!B18</f>
        <v>10.842173237861292</v>
      </c>
      <c r="D50" s="646">
        <f>transport!C18</f>
        <v>0</v>
      </c>
      <c r="E50" s="646">
        <f>transport!D18</f>
        <v>9.3718661255249387</v>
      </c>
      <c r="F50" s="646">
        <f>transport!E18</f>
        <v>418.19429463068985</v>
      </c>
      <c r="G50" s="646">
        <f>transport!F18</f>
        <v>0</v>
      </c>
      <c r="H50" s="646">
        <f>transport!G18</f>
        <v>118486.95978517532</v>
      </c>
      <c r="I50" s="646">
        <f>transport!H18</f>
        <v>21623.029055382096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140548.3971745515</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37.900671502815165</v>
      </c>
      <c r="D52" s="675">
        <f t="shared" ref="D52:Q52" ca="1" si="6">SUM(D48:D51)</f>
        <v>0</v>
      </c>
      <c r="E52" s="675">
        <f t="shared" si="6"/>
        <v>9.3718661255249387</v>
      </c>
      <c r="F52" s="675">
        <f t="shared" si="6"/>
        <v>418.19429463068985</v>
      </c>
      <c r="G52" s="675">
        <f t="shared" si="6"/>
        <v>0</v>
      </c>
      <c r="H52" s="675">
        <f t="shared" si="6"/>
        <v>124952.1162566116</v>
      </c>
      <c r="I52" s="675">
        <f t="shared" si="6"/>
        <v>21623.029055382096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147040.61214425272</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309.10506395446379</v>
      </c>
      <c r="D54" s="646">
        <f ca="1">+landbouw!C12</f>
        <v>0</v>
      </c>
      <c r="E54" s="646">
        <f>+landbouw!D12</f>
        <v>277.37948855419256</v>
      </c>
      <c r="F54" s="646">
        <f>+landbouw!E12</f>
        <v>6.6985400234957746</v>
      </c>
      <c r="G54" s="646">
        <f>+landbouw!F12</f>
        <v>1340.9400692893023</v>
      </c>
      <c r="H54" s="646">
        <f>+landbouw!G12</f>
        <v>0</v>
      </c>
      <c r="I54" s="646">
        <f>+landbouw!H12</f>
        <v>0</v>
      </c>
      <c r="J54" s="646">
        <f>+landbouw!I12</f>
        <v>0</v>
      </c>
      <c r="K54" s="646">
        <f>+landbouw!J12</f>
        <v>57.699381423405562</v>
      </c>
      <c r="L54" s="646">
        <f>+landbouw!K12</f>
        <v>0</v>
      </c>
      <c r="M54" s="646">
        <f>+landbouw!L12</f>
        <v>0</v>
      </c>
      <c r="N54" s="646">
        <f>+landbouw!M12</f>
        <v>0</v>
      </c>
      <c r="O54" s="646">
        <f>+landbouw!N12</f>
        <v>0</v>
      </c>
      <c r="P54" s="646">
        <f>+landbouw!O12</f>
        <v>0</v>
      </c>
      <c r="Q54" s="647">
        <f>+landbouw!P12</f>
        <v>0</v>
      </c>
      <c r="R54" s="674">
        <f ca="1">SUM(C54:Q54)</f>
        <v>1991.8225432448601</v>
      </c>
    </row>
    <row r="55" spans="1:18" ht="15" thickBot="1">
      <c r="A55" s="770" t="s">
        <v>806</v>
      </c>
      <c r="B55" s="780"/>
      <c r="C55" s="646">
        <f ca="1">C25*'EF ele_warmte'!B12</f>
        <v>3952.9838051009096</v>
      </c>
      <c r="D55" s="646"/>
      <c r="E55" s="646">
        <f>E25*EF_CO2_aardgas</f>
        <v>8189.405606496478</v>
      </c>
      <c r="F55" s="646"/>
      <c r="G55" s="646"/>
      <c r="H55" s="646"/>
      <c r="I55" s="646"/>
      <c r="J55" s="646"/>
      <c r="K55" s="646"/>
      <c r="L55" s="646"/>
      <c r="M55" s="646"/>
      <c r="N55" s="646"/>
      <c r="O55" s="646"/>
      <c r="P55" s="646"/>
      <c r="Q55" s="647"/>
      <c r="R55" s="674">
        <f ca="1">SUM(C55:Q55)</f>
        <v>12142.389411597387</v>
      </c>
    </row>
    <row r="56" spans="1:18" ht="15.75" thickBot="1">
      <c r="A56" s="768" t="s">
        <v>807</v>
      </c>
      <c r="B56" s="781"/>
      <c r="C56" s="675">
        <f ca="1">SUM(C54:C55)</f>
        <v>4262.0888690553738</v>
      </c>
      <c r="D56" s="675">
        <f t="shared" ref="D56:Q56" ca="1" si="7">SUM(D54:D55)</f>
        <v>0</v>
      </c>
      <c r="E56" s="675">
        <f t="shared" si="7"/>
        <v>8466.7850950506709</v>
      </c>
      <c r="F56" s="675">
        <f t="shared" si="7"/>
        <v>6.6985400234957746</v>
      </c>
      <c r="G56" s="675">
        <f t="shared" si="7"/>
        <v>1340.9400692893023</v>
      </c>
      <c r="H56" s="675">
        <f t="shared" si="7"/>
        <v>0</v>
      </c>
      <c r="I56" s="675">
        <f t="shared" si="7"/>
        <v>0</v>
      </c>
      <c r="J56" s="675">
        <f t="shared" si="7"/>
        <v>0</v>
      </c>
      <c r="K56" s="675">
        <f t="shared" si="7"/>
        <v>57.699381423405562</v>
      </c>
      <c r="L56" s="675">
        <f t="shared" si="7"/>
        <v>0</v>
      </c>
      <c r="M56" s="675">
        <f t="shared" si="7"/>
        <v>0</v>
      </c>
      <c r="N56" s="675">
        <f t="shared" si="7"/>
        <v>0</v>
      </c>
      <c r="O56" s="675">
        <f t="shared" si="7"/>
        <v>0</v>
      </c>
      <c r="P56" s="675">
        <f t="shared" si="7"/>
        <v>0</v>
      </c>
      <c r="Q56" s="676">
        <f t="shared" si="7"/>
        <v>0</v>
      </c>
      <c r="R56" s="677">
        <f ca="1">SUM(R54:R55)</f>
        <v>14134.211954842247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161715.40059317325</v>
      </c>
      <c r="D61" s="683">
        <f t="shared" ref="D61:Q61" ca="1" si="8">D46+D52+D56</f>
        <v>14.360672268907567</v>
      </c>
      <c r="E61" s="683">
        <f t="shared" ca="1" si="8"/>
        <v>226877.28804015732</v>
      </c>
      <c r="F61" s="683">
        <f t="shared" si="8"/>
        <v>7500.3557573757162</v>
      </c>
      <c r="G61" s="683">
        <f t="shared" ca="1" si="8"/>
        <v>143524.2974183255</v>
      </c>
      <c r="H61" s="683">
        <f t="shared" si="8"/>
        <v>124952.1162566116</v>
      </c>
      <c r="I61" s="683">
        <f t="shared" si="8"/>
        <v>21623.029055382096</v>
      </c>
      <c r="J61" s="683">
        <f t="shared" si="8"/>
        <v>0</v>
      </c>
      <c r="K61" s="683">
        <f t="shared" si="8"/>
        <v>2695.8584162045868</v>
      </c>
      <c r="L61" s="683">
        <f t="shared" si="8"/>
        <v>0</v>
      </c>
      <c r="M61" s="683">
        <f t="shared" ca="1" si="8"/>
        <v>0</v>
      </c>
      <c r="N61" s="683">
        <f t="shared" si="8"/>
        <v>0</v>
      </c>
      <c r="O61" s="683">
        <f t="shared" ca="1" si="8"/>
        <v>0</v>
      </c>
      <c r="P61" s="683">
        <f t="shared" si="8"/>
        <v>0</v>
      </c>
      <c r="Q61" s="683">
        <f t="shared" si="8"/>
        <v>0</v>
      </c>
      <c r="R61" s="683">
        <f ca="1">R46+R52+R56</f>
        <v>688902.70620949892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0.21750923152143406</v>
      </c>
      <c r="D63" s="726">
        <f t="shared" ca="1" si="9"/>
        <v>0.23764705882352946</v>
      </c>
      <c r="E63" s="946">
        <f t="shared" ca="1" si="9"/>
        <v>0.20200000000000001</v>
      </c>
      <c r="F63" s="726">
        <f t="shared" si="9"/>
        <v>0.22699999999999998</v>
      </c>
      <c r="G63" s="726">
        <f t="shared" ca="1" si="9"/>
        <v>0.26700000000000002</v>
      </c>
      <c r="H63" s="726">
        <f t="shared" si="9"/>
        <v>0.26700000000000002</v>
      </c>
      <c r="I63" s="726">
        <f t="shared" si="9"/>
        <v>0.24899999999999997</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63.898654708520183</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10278.920319221137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42.300000000000004</v>
      </c>
      <c r="D76" s="956">
        <f>'lokale energieproductie'!C8</f>
        <v>49.764705882352949</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10.052470588235296</v>
      </c>
      <c r="R76" s="797">
        <v>0</v>
      </c>
    </row>
    <row r="77" spans="1:18" ht="30.75" thickBot="1">
      <c r="A77" s="696" t="s">
        <v>340</v>
      </c>
      <c r="B77" s="693">
        <f>'lokale energieproductie'!B9*IFERROR(SUM(I77:O77)/SUM(D77:O77),0)</f>
        <v>1404</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4011.4285714285716</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11746.818973929658</v>
      </c>
      <c r="C78" s="698">
        <f>SUM(C72:C77)</f>
        <v>42.300000000000004</v>
      </c>
      <c r="D78" s="699">
        <f t="shared" ref="D78:H78" si="10">SUM(D76:D77)</f>
        <v>49.764705882352949</v>
      </c>
      <c r="E78" s="699">
        <f t="shared" si="10"/>
        <v>0</v>
      </c>
      <c r="F78" s="699">
        <f t="shared" si="10"/>
        <v>0</v>
      </c>
      <c r="G78" s="699">
        <f t="shared" si="10"/>
        <v>0</v>
      </c>
      <c r="H78" s="699">
        <f t="shared" si="10"/>
        <v>0</v>
      </c>
      <c r="I78" s="699">
        <f>SUM(I76:I77)</f>
        <v>0</v>
      </c>
      <c r="J78" s="699">
        <f>SUM(J76:J77)</f>
        <v>4011.4285714285716</v>
      </c>
      <c r="K78" s="699">
        <f t="shared" ref="K78:L78" si="11">SUM(K76:K77)</f>
        <v>0</v>
      </c>
      <c r="L78" s="699">
        <f t="shared" si="11"/>
        <v>0</v>
      </c>
      <c r="M78" s="699">
        <f>SUM(M76:M77)</f>
        <v>0</v>
      </c>
      <c r="N78" s="699">
        <f>SUM(N76:N77)</f>
        <v>0</v>
      </c>
      <c r="O78" s="805">
        <f>SUM(O76:O77)</f>
        <v>0</v>
      </c>
      <c r="P78" s="700">
        <v>0</v>
      </c>
      <c r="Q78" s="700">
        <f>SUM(Q76:Q77)</f>
        <v>10.052470588235296</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60.428571428571438</v>
      </c>
      <c r="D87" s="720">
        <f>'lokale energieproductie'!C17</f>
        <v>71.092436974789933</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14.360672268907567</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60.428571428571438</v>
      </c>
      <c r="D90" s="698">
        <f t="shared" ref="D90:H90" si="12">SUM(D87:D89)</f>
        <v>71.092436974789933</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14.360672268907567</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150852.42918248096</v>
      </c>
      <c r="C4" s="448">
        <f>huishoudens!C8</f>
        <v>0</v>
      </c>
      <c r="D4" s="448">
        <f>huishoudens!D8</f>
        <v>450630.15072730382</v>
      </c>
      <c r="E4" s="448">
        <f>huishoudens!E8</f>
        <v>11920.554305720056</v>
      </c>
      <c r="F4" s="448">
        <f>huishoudens!F8</f>
        <v>365311.02221942483</v>
      </c>
      <c r="G4" s="448">
        <f>huishoudens!G8</f>
        <v>0</v>
      </c>
      <c r="H4" s="448">
        <f>huishoudens!H8</f>
        <v>0</v>
      </c>
      <c r="I4" s="448">
        <f>huishoudens!I8</f>
        <v>0</v>
      </c>
      <c r="J4" s="448">
        <f>huishoudens!J8</f>
        <v>6918.2633628851418</v>
      </c>
      <c r="K4" s="448">
        <f>huishoudens!K8</f>
        <v>0</v>
      </c>
      <c r="L4" s="448">
        <f>huishoudens!L8</f>
        <v>0</v>
      </c>
      <c r="M4" s="448">
        <f>huishoudens!M8</f>
        <v>0</v>
      </c>
      <c r="N4" s="448">
        <f>huishoudens!N8</f>
        <v>76144.250317227532</v>
      </c>
      <c r="O4" s="448">
        <f>huishoudens!O8</f>
        <v>587.81333333333339</v>
      </c>
      <c r="P4" s="449">
        <f>huishoudens!P8</f>
        <v>724.5333333333333</v>
      </c>
      <c r="Q4" s="450">
        <f>SUM(B4:P4)</f>
        <v>1063089.0167817089</v>
      </c>
    </row>
    <row r="5" spans="1:17">
      <c r="A5" s="447" t="s">
        <v>149</v>
      </c>
      <c r="B5" s="448">
        <f ca="1">tertiair!B16</f>
        <v>450956.03472107399</v>
      </c>
      <c r="C5" s="448">
        <f ca="1">tertiair!C16</f>
        <v>60.428571428571438</v>
      </c>
      <c r="D5" s="448">
        <f ca="1">tertiair!D16</f>
        <v>512538.30554648209</v>
      </c>
      <c r="E5" s="448">
        <f>tertiair!E16</f>
        <v>4258.6505419274345</v>
      </c>
      <c r="F5" s="448">
        <f ca="1">tertiair!F16</f>
        <v>87242.760124147419</v>
      </c>
      <c r="G5" s="448">
        <f>tertiair!G16</f>
        <v>0</v>
      </c>
      <c r="H5" s="448">
        <f>tertiair!H16</f>
        <v>0</v>
      </c>
      <c r="I5" s="448">
        <f>tertiair!I16</f>
        <v>0</v>
      </c>
      <c r="J5" s="448">
        <f>tertiair!J16</f>
        <v>415.41213497355909</v>
      </c>
      <c r="K5" s="448">
        <f>tertiair!K16</f>
        <v>0</v>
      </c>
      <c r="L5" s="448">
        <f ca="1">tertiair!L16</f>
        <v>0</v>
      </c>
      <c r="M5" s="448">
        <f>tertiair!M16</f>
        <v>0</v>
      </c>
      <c r="N5" s="448">
        <f ca="1">tertiair!N16</f>
        <v>12836.843276914398</v>
      </c>
      <c r="O5" s="448">
        <f>tertiair!O16</f>
        <v>9.3800000000000008</v>
      </c>
      <c r="P5" s="449">
        <f>tertiair!P16</f>
        <v>247.86666666666667</v>
      </c>
      <c r="Q5" s="447">
        <f t="shared" ref="Q5:Q14" ca="1" si="0">SUM(B5:P5)</f>
        <v>1068565.6815836141</v>
      </c>
    </row>
    <row r="6" spans="1:17">
      <c r="A6" s="447" t="s">
        <v>187</v>
      </c>
      <c r="B6" s="448">
        <f>'openbare verlichting'!B8</f>
        <v>5540.8969999999999</v>
      </c>
      <c r="C6" s="448"/>
      <c r="D6" s="448"/>
      <c r="E6" s="448"/>
      <c r="F6" s="448"/>
      <c r="G6" s="448"/>
      <c r="H6" s="448"/>
      <c r="I6" s="448"/>
      <c r="J6" s="448"/>
      <c r="K6" s="448"/>
      <c r="L6" s="448"/>
      <c r="M6" s="448"/>
      <c r="N6" s="448"/>
      <c r="O6" s="448"/>
      <c r="P6" s="449"/>
      <c r="Q6" s="447">
        <f t="shared" si="0"/>
        <v>5540.8969999999999</v>
      </c>
    </row>
    <row r="7" spans="1:17">
      <c r="A7" s="447" t="s">
        <v>105</v>
      </c>
      <c r="B7" s="448">
        <f>landbouw!B8</f>
        <v>1421.1123904596373</v>
      </c>
      <c r="C7" s="448">
        <f>landbouw!C8</f>
        <v>0</v>
      </c>
      <c r="D7" s="448">
        <f>landbouw!D8</f>
        <v>1373.1657849217454</v>
      </c>
      <c r="E7" s="448">
        <f>landbouw!E8</f>
        <v>29.508986887646582</v>
      </c>
      <c r="F7" s="448">
        <f>landbouw!F8</f>
        <v>5022.2474505217315</v>
      </c>
      <c r="G7" s="448">
        <f>landbouw!G8</f>
        <v>0</v>
      </c>
      <c r="H7" s="448">
        <f>landbouw!H8</f>
        <v>0</v>
      </c>
      <c r="I7" s="448">
        <f>landbouw!I8</f>
        <v>0</v>
      </c>
      <c r="J7" s="448">
        <f>landbouw!J8</f>
        <v>162.99260289097617</v>
      </c>
      <c r="K7" s="448">
        <f>landbouw!K8</f>
        <v>0</v>
      </c>
      <c r="L7" s="448">
        <f>landbouw!L8</f>
        <v>0</v>
      </c>
      <c r="M7" s="448">
        <f>landbouw!M8</f>
        <v>0</v>
      </c>
      <c r="N7" s="448">
        <f>landbouw!N8</f>
        <v>0</v>
      </c>
      <c r="O7" s="448">
        <f>landbouw!O8</f>
        <v>0</v>
      </c>
      <c r="P7" s="449">
        <f>landbouw!P8</f>
        <v>0</v>
      </c>
      <c r="Q7" s="447">
        <f t="shared" si="0"/>
        <v>8009.0272156817364</v>
      </c>
    </row>
    <row r="8" spans="1:17">
      <c r="A8" s="447" t="s">
        <v>614</v>
      </c>
      <c r="B8" s="448">
        <f>industrie!B18</f>
        <v>116368.93809242515</v>
      </c>
      <c r="C8" s="448">
        <f>industrie!C18</f>
        <v>0</v>
      </c>
      <c r="D8" s="448">
        <f>industrie!D18</f>
        <v>118025.26193899187</v>
      </c>
      <c r="E8" s="448">
        <f>industrie!E18</f>
        <v>14990.235340553085</v>
      </c>
      <c r="F8" s="448">
        <f>industrie!F18</f>
        <v>79968.155293267424</v>
      </c>
      <c r="G8" s="448">
        <f>industrie!G18</f>
        <v>0</v>
      </c>
      <c r="H8" s="448">
        <f>industrie!H18</f>
        <v>0</v>
      </c>
      <c r="I8" s="448">
        <f>industrie!I18</f>
        <v>0</v>
      </c>
      <c r="J8" s="448">
        <f>industrie!J18</f>
        <v>118.7511540655404</v>
      </c>
      <c r="K8" s="448">
        <f>industrie!K18</f>
        <v>0</v>
      </c>
      <c r="L8" s="448">
        <f>industrie!L18</f>
        <v>0</v>
      </c>
      <c r="M8" s="448">
        <f>industrie!M18</f>
        <v>0</v>
      </c>
      <c r="N8" s="448">
        <f>industrie!N18</f>
        <v>14150.274460546918</v>
      </c>
      <c r="O8" s="448">
        <f>industrie!O18</f>
        <v>0</v>
      </c>
      <c r="P8" s="449">
        <f>industrie!P18</f>
        <v>0</v>
      </c>
      <c r="Q8" s="447">
        <f t="shared" si="0"/>
        <v>343621.61627984996</v>
      </c>
    </row>
    <row r="9" spans="1:17" s="453" customFormat="1">
      <c r="A9" s="451" t="s">
        <v>555</v>
      </c>
      <c r="B9" s="452">
        <f>transport!B14</f>
        <v>49.846956664884686</v>
      </c>
      <c r="C9" s="452">
        <f>transport!C14</f>
        <v>0</v>
      </c>
      <c r="D9" s="452">
        <f>transport!D14</f>
        <v>46.395376859034343</v>
      </c>
      <c r="E9" s="452">
        <f>transport!E14</f>
        <v>1842.2656151131712</v>
      </c>
      <c r="F9" s="452">
        <f>transport!F14</f>
        <v>0</v>
      </c>
      <c r="G9" s="452">
        <f>transport!G14</f>
        <v>443771.3849632034</v>
      </c>
      <c r="H9" s="452">
        <f>transport!H14</f>
        <v>86839.474118000391</v>
      </c>
      <c r="I9" s="452">
        <f>transport!I14</f>
        <v>0</v>
      </c>
      <c r="J9" s="452">
        <f>transport!J14</f>
        <v>0</v>
      </c>
      <c r="K9" s="452">
        <f>transport!K14</f>
        <v>0</v>
      </c>
      <c r="L9" s="452">
        <f>transport!L14</f>
        <v>0</v>
      </c>
      <c r="M9" s="452">
        <f>transport!M14</f>
        <v>23995.305627030168</v>
      </c>
      <c r="N9" s="452">
        <f>transport!N14</f>
        <v>0</v>
      </c>
      <c r="O9" s="452">
        <f>transport!O14</f>
        <v>0</v>
      </c>
      <c r="P9" s="452">
        <f>transport!P14</f>
        <v>0</v>
      </c>
      <c r="Q9" s="451">
        <f>SUM(B9:P9)</f>
        <v>556544.67265687103</v>
      </c>
    </row>
    <row r="10" spans="1:17">
      <c r="A10" s="447" t="s">
        <v>545</v>
      </c>
      <c r="B10" s="448">
        <f>transport!B54</f>
        <v>124.40160850040724</v>
      </c>
      <c r="C10" s="448">
        <f>transport!C54</f>
        <v>0</v>
      </c>
      <c r="D10" s="448">
        <f>transport!D54</f>
        <v>0</v>
      </c>
      <c r="E10" s="448">
        <f>transport!E54</f>
        <v>0</v>
      </c>
      <c r="F10" s="448">
        <f>transport!F54</f>
        <v>0</v>
      </c>
      <c r="G10" s="448">
        <f>transport!G54</f>
        <v>24214.069181409257</v>
      </c>
      <c r="H10" s="448">
        <f>transport!H54</f>
        <v>0</v>
      </c>
      <c r="I10" s="448">
        <f>transport!I54</f>
        <v>0</v>
      </c>
      <c r="J10" s="448">
        <f>transport!J54</f>
        <v>0</v>
      </c>
      <c r="K10" s="448">
        <f>transport!K54</f>
        <v>0</v>
      </c>
      <c r="L10" s="448">
        <f>transport!L54</f>
        <v>0</v>
      </c>
      <c r="M10" s="448">
        <f>transport!M54</f>
        <v>1085.7792083370302</v>
      </c>
      <c r="N10" s="448">
        <f>transport!N54</f>
        <v>0</v>
      </c>
      <c r="O10" s="448">
        <f>transport!O54</f>
        <v>0</v>
      </c>
      <c r="P10" s="449">
        <f>transport!P54</f>
        <v>0</v>
      </c>
      <c r="Q10" s="447">
        <f t="shared" si="0"/>
        <v>25424.249998246694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18173.8668168269</v>
      </c>
      <c r="C14" s="455"/>
      <c r="D14" s="455">
        <f>'SEAP template'!E25</f>
        <v>40541.611913348897</v>
      </c>
      <c r="E14" s="455"/>
      <c r="F14" s="455"/>
      <c r="G14" s="455"/>
      <c r="H14" s="455"/>
      <c r="I14" s="455"/>
      <c r="J14" s="455"/>
      <c r="K14" s="455"/>
      <c r="L14" s="455"/>
      <c r="M14" s="455"/>
      <c r="N14" s="455"/>
      <c r="O14" s="455"/>
      <c r="P14" s="456"/>
      <c r="Q14" s="447">
        <f t="shared" si="0"/>
        <v>58715.478730175797</v>
      </c>
    </row>
    <row r="15" spans="1:17" s="460" customFormat="1">
      <c r="A15" s="457" t="s">
        <v>549</v>
      </c>
      <c r="B15" s="458">
        <f ca="1">SUM(B4:B14)</f>
        <v>743487.52676843188</v>
      </c>
      <c r="C15" s="458">
        <f t="shared" ref="C15:Q15" ca="1" si="1">SUM(C4:C14)</f>
        <v>60.428571428571438</v>
      </c>
      <c r="D15" s="458">
        <f t="shared" ca="1" si="1"/>
        <v>1123154.8912879075</v>
      </c>
      <c r="E15" s="458">
        <f t="shared" si="1"/>
        <v>33041.214790201397</v>
      </c>
      <c r="F15" s="458">
        <f t="shared" ca="1" si="1"/>
        <v>537544.18508736137</v>
      </c>
      <c r="G15" s="458">
        <f t="shared" si="1"/>
        <v>467985.45414461265</v>
      </c>
      <c r="H15" s="458">
        <f t="shared" si="1"/>
        <v>86839.474118000391</v>
      </c>
      <c r="I15" s="458">
        <f t="shared" si="1"/>
        <v>0</v>
      </c>
      <c r="J15" s="458">
        <f t="shared" si="1"/>
        <v>7615.4192548152168</v>
      </c>
      <c r="K15" s="458">
        <f t="shared" si="1"/>
        <v>0</v>
      </c>
      <c r="L15" s="458">
        <f t="shared" ca="1" si="1"/>
        <v>0</v>
      </c>
      <c r="M15" s="458">
        <f t="shared" si="1"/>
        <v>25081.084835367197</v>
      </c>
      <c r="N15" s="458">
        <f t="shared" ca="1" si="1"/>
        <v>103131.36805468885</v>
      </c>
      <c r="O15" s="458">
        <f t="shared" si="1"/>
        <v>597.19333333333338</v>
      </c>
      <c r="P15" s="458">
        <f t="shared" si="1"/>
        <v>972.4</v>
      </c>
      <c r="Q15" s="458">
        <f t="shared" ca="1" si="1"/>
        <v>3129510.6402461478</v>
      </c>
    </row>
    <row r="17" spans="1:17">
      <c r="A17" s="461" t="s">
        <v>550</v>
      </c>
      <c r="B17" s="731">
        <f ca="1">huishoudens!B10</f>
        <v>0.21750923152143403</v>
      </c>
      <c r="C17" s="731">
        <f ca="1">huishoudens!C10</f>
        <v>0.23764705882352946</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32811.79594462298</v>
      </c>
      <c r="C22" s="448">
        <f t="shared" ref="C22:C32" ca="1" si="3">C4*$C$17</f>
        <v>0</v>
      </c>
      <c r="D22" s="448">
        <f t="shared" ref="D22:D32" si="4">D4*$D$17</f>
        <v>91027.290446915373</v>
      </c>
      <c r="E22" s="448">
        <f t="shared" ref="E22:E32" si="5">E4*$E$17</f>
        <v>2705.9658273984528</v>
      </c>
      <c r="F22" s="448">
        <f t="shared" ref="F22:F32" si="6">F4*$F$17</f>
        <v>97538.042932586439</v>
      </c>
      <c r="G22" s="448">
        <f t="shared" ref="G22:G32" si="7">G4*$G$17</f>
        <v>0</v>
      </c>
      <c r="H22" s="448">
        <f t="shared" ref="H22:H32" si="8">H4*$H$17</f>
        <v>0</v>
      </c>
      <c r="I22" s="448">
        <f t="shared" ref="I22:I32" si="9">I4*$I$17</f>
        <v>0</v>
      </c>
      <c r="J22" s="448">
        <f t="shared" ref="J22:J32" si="10">J4*$J$17</f>
        <v>2449.06523046134</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226532.16038198458</v>
      </c>
    </row>
    <row r="23" spans="1:17">
      <c r="A23" s="447" t="s">
        <v>149</v>
      </c>
      <c r="B23" s="448">
        <f t="shared" ca="1" si="2"/>
        <v>98087.100562133928</v>
      </c>
      <c r="C23" s="448">
        <f t="shared" ca="1" si="3"/>
        <v>14.360672268907567</v>
      </c>
      <c r="D23" s="448">
        <f t="shared" ca="1" si="4"/>
        <v>103532.73772038938</v>
      </c>
      <c r="E23" s="448">
        <f t="shared" si="5"/>
        <v>966.71367301752764</v>
      </c>
      <c r="F23" s="448">
        <f t="shared" ca="1" si="6"/>
        <v>23293.816953147361</v>
      </c>
      <c r="G23" s="448">
        <f t="shared" si="7"/>
        <v>0</v>
      </c>
      <c r="H23" s="448">
        <f t="shared" si="8"/>
        <v>0</v>
      </c>
      <c r="I23" s="448">
        <f t="shared" si="9"/>
        <v>0</v>
      </c>
      <c r="J23" s="448">
        <f t="shared" si="10"/>
        <v>147.0558957806399</v>
      </c>
      <c r="K23" s="448">
        <f t="shared" si="11"/>
        <v>0</v>
      </c>
      <c r="L23" s="448">
        <f t="shared" ca="1" si="12"/>
        <v>0</v>
      </c>
      <c r="M23" s="448">
        <f t="shared" si="13"/>
        <v>0</v>
      </c>
      <c r="N23" s="448">
        <f t="shared" ca="1" si="14"/>
        <v>0</v>
      </c>
      <c r="O23" s="448">
        <f t="shared" si="15"/>
        <v>0</v>
      </c>
      <c r="P23" s="449">
        <f t="shared" si="16"/>
        <v>0</v>
      </c>
      <c r="Q23" s="447">
        <f t="shared" ref="Q23:Q32" ca="1" si="17">SUM(B23:P23)</f>
        <v>226041.78547673777</v>
      </c>
    </row>
    <row r="24" spans="1:17">
      <c r="A24" s="447" t="s">
        <v>187</v>
      </c>
      <c r="B24" s="448">
        <f t="shared" ca="1" si="2"/>
        <v>1205.1962484094192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1205.1962484094192</v>
      </c>
    </row>
    <row r="25" spans="1:17">
      <c r="A25" s="447" t="s">
        <v>105</v>
      </c>
      <c r="B25" s="448">
        <f t="shared" ca="1" si="2"/>
        <v>309.10506395446379</v>
      </c>
      <c r="C25" s="448">
        <f t="shared" ca="1" si="3"/>
        <v>0</v>
      </c>
      <c r="D25" s="448">
        <f t="shared" si="4"/>
        <v>277.37948855419256</v>
      </c>
      <c r="E25" s="448">
        <f t="shared" si="5"/>
        <v>6.6985400234957746</v>
      </c>
      <c r="F25" s="448">
        <f t="shared" si="6"/>
        <v>1340.9400692893023</v>
      </c>
      <c r="G25" s="448">
        <f t="shared" si="7"/>
        <v>0</v>
      </c>
      <c r="H25" s="448">
        <f t="shared" si="8"/>
        <v>0</v>
      </c>
      <c r="I25" s="448">
        <f t="shared" si="9"/>
        <v>0</v>
      </c>
      <c r="J25" s="448">
        <f t="shared" si="10"/>
        <v>57.699381423405562</v>
      </c>
      <c r="K25" s="448">
        <f t="shared" si="11"/>
        <v>0</v>
      </c>
      <c r="L25" s="448">
        <f t="shared" si="12"/>
        <v>0</v>
      </c>
      <c r="M25" s="448">
        <f t="shared" si="13"/>
        <v>0</v>
      </c>
      <c r="N25" s="448">
        <f t="shared" si="14"/>
        <v>0</v>
      </c>
      <c r="O25" s="448">
        <f t="shared" si="15"/>
        <v>0</v>
      </c>
      <c r="P25" s="449">
        <f t="shared" si="16"/>
        <v>0</v>
      </c>
      <c r="Q25" s="447">
        <f t="shared" ca="1" si="17"/>
        <v>1991.8225432448601</v>
      </c>
    </row>
    <row r="26" spans="1:17">
      <c r="A26" s="447" t="s">
        <v>614</v>
      </c>
      <c r="B26" s="448">
        <f t="shared" ca="1" si="2"/>
        <v>25311.318297448724</v>
      </c>
      <c r="C26" s="448">
        <f t="shared" ca="1" si="3"/>
        <v>0</v>
      </c>
      <c r="D26" s="448">
        <f t="shared" si="4"/>
        <v>23841.10291167636</v>
      </c>
      <c r="E26" s="448">
        <f t="shared" si="5"/>
        <v>3402.7834223055502</v>
      </c>
      <c r="F26" s="448">
        <f t="shared" si="6"/>
        <v>21351.497463302403</v>
      </c>
      <c r="G26" s="448">
        <f t="shared" si="7"/>
        <v>0</v>
      </c>
      <c r="H26" s="448">
        <f t="shared" si="8"/>
        <v>0</v>
      </c>
      <c r="I26" s="448">
        <f t="shared" si="9"/>
        <v>0</v>
      </c>
      <c r="J26" s="448">
        <f t="shared" si="10"/>
        <v>42.037908539201304</v>
      </c>
      <c r="K26" s="448">
        <f t="shared" si="11"/>
        <v>0</v>
      </c>
      <c r="L26" s="448">
        <f t="shared" si="12"/>
        <v>0</v>
      </c>
      <c r="M26" s="448">
        <f t="shared" si="13"/>
        <v>0</v>
      </c>
      <c r="N26" s="448">
        <f t="shared" si="14"/>
        <v>0</v>
      </c>
      <c r="O26" s="448">
        <f t="shared" si="15"/>
        <v>0</v>
      </c>
      <c r="P26" s="449">
        <f t="shared" si="16"/>
        <v>0</v>
      </c>
      <c r="Q26" s="447">
        <f t="shared" ca="1" si="17"/>
        <v>73948.740003272236</v>
      </c>
    </row>
    <row r="27" spans="1:17" s="453" customFormat="1">
      <c r="A27" s="451" t="s">
        <v>555</v>
      </c>
      <c r="B27" s="725">
        <f t="shared" ca="1" si="2"/>
        <v>10.842173237861292</v>
      </c>
      <c r="C27" s="452">
        <f t="shared" ca="1" si="3"/>
        <v>0</v>
      </c>
      <c r="D27" s="452">
        <f t="shared" si="4"/>
        <v>9.3718661255249387</v>
      </c>
      <c r="E27" s="452">
        <f t="shared" si="5"/>
        <v>418.19429463068985</v>
      </c>
      <c r="F27" s="452">
        <f t="shared" si="6"/>
        <v>0</v>
      </c>
      <c r="G27" s="452">
        <f t="shared" si="7"/>
        <v>118486.95978517532</v>
      </c>
      <c r="H27" s="452">
        <f t="shared" si="8"/>
        <v>21623.029055382096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140548.3971745515</v>
      </c>
    </row>
    <row r="28" spans="1:17">
      <c r="A28" s="447" t="s">
        <v>545</v>
      </c>
      <c r="B28" s="448">
        <f t="shared" ca="1" si="2"/>
        <v>27.058498264953872</v>
      </c>
      <c r="C28" s="448">
        <f t="shared" ca="1" si="3"/>
        <v>0</v>
      </c>
      <c r="D28" s="448">
        <f t="shared" si="4"/>
        <v>0</v>
      </c>
      <c r="E28" s="448">
        <f t="shared" si="5"/>
        <v>0</v>
      </c>
      <c r="F28" s="448">
        <f t="shared" si="6"/>
        <v>0</v>
      </c>
      <c r="G28" s="448">
        <f t="shared" si="7"/>
        <v>6465.1564714362721</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6492.2149697012264</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3952.9838051009096</v>
      </c>
      <c r="C32" s="448">
        <f t="shared" ca="1" si="3"/>
        <v>0</v>
      </c>
      <c r="D32" s="448">
        <f t="shared" si="4"/>
        <v>8189.405606496478</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12142.389411597387</v>
      </c>
    </row>
    <row r="33" spans="1:17" s="460" customFormat="1">
      <c r="A33" s="457" t="s">
        <v>549</v>
      </c>
      <c r="B33" s="458">
        <f ca="1">SUM(B22:B32)</f>
        <v>161715.4005931732</v>
      </c>
      <c r="C33" s="458">
        <f t="shared" ref="C33:Q33" ca="1" si="18">SUM(C22:C32)</f>
        <v>14.360672268907567</v>
      </c>
      <c r="D33" s="458">
        <f t="shared" ca="1" si="18"/>
        <v>226877.28804015732</v>
      </c>
      <c r="E33" s="458">
        <f t="shared" si="18"/>
        <v>7500.3557573757162</v>
      </c>
      <c r="F33" s="458">
        <f t="shared" ca="1" si="18"/>
        <v>143524.2974183255</v>
      </c>
      <c r="G33" s="458">
        <f t="shared" si="18"/>
        <v>124952.1162566116</v>
      </c>
      <c r="H33" s="458">
        <f t="shared" si="18"/>
        <v>21623.029055382096</v>
      </c>
      <c r="I33" s="458">
        <f t="shared" si="18"/>
        <v>0</v>
      </c>
      <c r="J33" s="458">
        <f t="shared" si="18"/>
        <v>2695.8584162045868</v>
      </c>
      <c r="K33" s="458">
        <f t="shared" si="18"/>
        <v>0</v>
      </c>
      <c r="L33" s="458">
        <f t="shared" ca="1" si="18"/>
        <v>0</v>
      </c>
      <c r="M33" s="458">
        <f t="shared" si="18"/>
        <v>0</v>
      </c>
      <c r="N33" s="458">
        <f t="shared" ca="1" si="18"/>
        <v>0</v>
      </c>
      <c r="O33" s="458">
        <f t="shared" si="18"/>
        <v>0</v>
      </c>
      <c r="P33" s="458">
        <f t="shared" si="18"/>
        <v>0</v>
      </c>
      <c r="Q33" s="458">
        <f t="shared" ca="1" si="18"/>
        <v>688902.70620949892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63.898654708520183</v>
      </c>
      <c r="C5" s="982"/>
      <c r="D5" s="982"/>
      <c r="E5" s="982"/>
      <c r="F5" s="982"/>
      <c r="G5" s="982"/>
      <c r="H5" s="982"/>
      <c r="I5" s="982"/>
      <c r="J5" s="982"/>
      <c r="K5" s="982"/>
      <c r="L5" s="982"/>
      <c r="M5" s="982"/>
      <c r="N5" s="982"/>
      <c r="O5" s="982"/>
      <c r="P5" s="983">
        <f>'SEAP template'!Q73</f>
        <v>0</v>
      </c>
    </row>
    <row r="6" spans="1:16">
      <c r="A6" s="984" t="s">
        <v>240</v>
      </c>
      <c r="B6" s="982">
        <f>'SEAP template'!B74</f>
        <v>10278.920319221137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42.300000000000004</v>
      </c>
      <c r="D8" s="982">
        <f>'SEAP template'!D76</f>
        <v>49.764705882352949</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10.052470588235296</v>
      </c>
    </row>
    <row r="9" spans="1:16">
      <c r="A9" s="985" t="s">
        <v>821</v>
      </c>
      <c r="B9" s="982">
        <f>'SEAP template'!B77</f>
        <v>1404</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4011.4285714285716</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11746.818973929658</v>
      </c>
      <c r="C10" s="986">
        <f>SUM(C4:C9)</f>
        <v>42.300000000000004</v>
      </c>
      <c r="D10" s="986">
        <f t="shared" ref="D10:H10" si="0">SUM(D8:D9)</f>
        <v>49.764705882352949</v>
      </c>
      <c r="E10" s="986">
        <f t="shared" si="0"/>
        <v>0</v>
      </c>
      <c r="F10" s="986">
        <f t="shared" si="0"/>
        <v>0</v>
      </c>
      <c r="G10" s="986">
        <f t="shared" si="0"/>
        <v>0</v>
      </c>
      <c r="H10" s="986">
        <f t="shared" si="0"/>
        <v>0</v>
      </c>
      <c r="I10" s="986">
        <f>SUM(I8:I9)</f>
        <v>0</v>
      </c>
      <c r="J10" s="986">
        <f>SUM(J8:J9)</f>
        <v>4011.4285714285716</v>
      </c>
      <c r="K10" s="986">
        <f t="shared" ref="K10:L10" si="1">SUM(K8:K9)</f>
        <v>0</v>
      </c>
      <c r="L10" s="986">
        <f t="shared" si="1"/>
        <v>0</v>
      </c>
      <c r="M10" s="986">
        <f>SUM(M8:M9)</f>
        <v>0</v>
      </c>
      <c r="N10" s="986">
        <f>SUM(N8:N9)</f>
        <v>0</v>
      </c>
      <c r="O10" s="986">
        <f>SUM(O8:O9)</f>
        <v>0</v>
      </c>
      <c r="P10" s="986">
        <f>SUM(P8:P9)</f>
        <v>10.052470588235296</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0.21750923152143403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60.428571428571438</v>
      </c>
      <c r="D17" s="983">
        <f>'SEAP template'!D87</f>
        <v>71.092436974789933</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14.360672268907567</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60.428571428571438</v>
      </c>
      <c r="D20" s="986">
        <f t="shared" ref="D20:H20" si="2">SUM(D17:D19)</f>
        <v>71.092436974789933</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14.360672268907567</v>
      </c>
    </row>
    <row r="22" spans="1:16">
      <c r="A22" s="461" t="s">
        <v>829</v>
      </c>
      <c r="B22" s="731" t="s">
        <v>823</v>
      </c>
      <c r="C22" s="731">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0.21750923152143403</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2</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3.1266666666666669</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2022-07-26T11:59:59Z</dcterms:modified>
</cp:coreProperties>
</file>