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D554343-28FD-40F1-A538-ADA76AD0B2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<sst xmlns="http://schemas.openxmlformats.org/spreadsheetml/2006/main" count="2451" uniqueCount="914">
  <si>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</si>
  <si>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</si>
  <si>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</si>
  <si>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</si>
  <si>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</si>
  <si>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</si>
  <si>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</si>
  <si>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</si>
  <si>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</si>
  <si>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</si>
  <si>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</si>
  <si>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</si>
  <si>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</si>
  <si>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</si>
  <si>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</si>
  <si>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</si>
  <si>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</si>
  <si>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</si>
  <si>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</si>
  <si>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</si>
  <si>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</si>
  <si>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</si>
  <si>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</si>
  <si>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</si>
  <si>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</si>
  <si>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</si>
  <si>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</si>
  <si>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</si>
  <si>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</si>
  <si>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</si>
  <si>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</si>
  <si>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</si>
  <si>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</si>
  <si>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</si>
  <si>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</si>
  <si>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</si>
  <si>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</si>
  <si>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</si>
  <si>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</si>
  <si>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</si>
  <si>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</si>
  <si>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</si>
  <si>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</si>
  <si>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</si>
  <si>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</si>
  <si>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</si>
  <si>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</si>
  <si>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</si>
  <si>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</si>
  <si>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</si>
  <si>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</si>
  <si>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</si>
  <si>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</si>
  <si>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</si>
  <si>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</si>
  <si>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</si>
  <si>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</si>
  <si>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</si>
  <si>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</si>
  <si>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</si>
  <si>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</si>
  <si>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</si>
  <si>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</si>
  <si>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</si>
  <si>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</si>
  <si>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</si>
  <si>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</si>
  <si>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</si>
  <si>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</si>
  <si>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</si>
  <si>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</si>
  <si>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</si>
  <si>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</si>
  <si>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</si>
  <si>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</si>
  <si>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</si>
  <si>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</si>
  <si>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</si>
  <si>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</si>
  <si>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</si>
  <si>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</si>
  <si>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</si>
  <si>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</si>
  <si>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</si>
  <si>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</si>
  <si>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</si>
  <si>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</si>
  <si>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</si>
  <si>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</si>
  <si>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</si>
  <si>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</si>
  <si>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</si>
  <si>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</si>
  <si>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</si>
  <si>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</si>
  <si>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</si>
  <si>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</si>
  <si>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</si>
  <si>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</si>
  <si>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</si>
  <si>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</si>
  <si>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</si>
  <si>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</si>
  <si>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</si>
  <si>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</si>
  <si>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</si>
  <si>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</si>
  <si>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</si>
  <si>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</si>
  <si>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</si>
  <si>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</si>
  <si>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</si>
  <si>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</si>
  <si>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</si>
  <si>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</si>
  <si>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</si>
  <si>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</si>
  <si>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</si>
  <si>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</si>
  <si>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</si>
  <si>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</si>
  <si>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</si>
  <si>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</si>
  <si>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</si>
  <si>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</si>
  <si>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</si>
  <si>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</si>
  <si>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</si>
  <si>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</si>
  <si>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</si>
  <si>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</si>
  <si>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</si>
  <si>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</si>
  <si>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</si>
  <si>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</si>
  <si>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</si>
  <si>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</si>
  <si>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</si>
  <si>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</si>
  <si>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</si>
  <si>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</si>
  <si>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</si>
  <si>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</si>
  <si>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</si>
  <si>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</si>
  <si>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</si>
  <si>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</si>
  <si>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</si>
  <si>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</si>
  <si>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</si>
  <si>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</si>
  <si>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</si>
  <si>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</si>
  <si>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</si>
  <si>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</si>
  <si>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</si>
  <si>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</si>
  <si>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</si>
  <si>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</si>
  <si>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</si>
  <si>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</si>
  <si>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</si>
  <si>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</si>
  <si>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</si>
  <si>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</si>
  <si>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</si>
  <si>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</si>
  <si>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</si>
  <si>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</si>
  <si>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</si>
  <si>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</si>
  <si>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</si>
  <si>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</si>
  <si>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</si>
  <si>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</si>
  <si>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</si>
  <si>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</si>
  <si>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</si>
  <si>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</si>
  <si>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</si>
  <si>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</si>
  <si>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</si>
  <si>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</si>
  <si>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</si>
  <si>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</si>
  <si>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</si>
  <si>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</si>
  <si>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</si>
  <si>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</si>
  <si>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</si>
  <si>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</si>
  <si>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</si>
  <si>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</si>
  <si>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</si>
  <si>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</si>
  <si>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</si>
  <si>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</si>
  <si>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</si>
  <si>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</si>
  <si>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</si>
  <si>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</si>
  <si>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</si>
  <si>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</si>
  <si>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</si>
  <si>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</si>
  <si>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</si>
  <si>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</si>
  <si>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</si>
  <si>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</si>
  <si>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</si>
  <si>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</si>
  <si>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</si>
  <si>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</si>
  <si>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</si>
  <si>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</si>
  <si>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</si>
  <si>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</si>
  <si>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</si>
  <si>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</si>
  <si>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</si>
  <si>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</si>
  <si>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</si>
  <si>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</si>
  <si>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</si>
  <si>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</si>
  <si>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</si>
  <si>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</si>
  <si>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</si>
  <si>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</si>
  <si>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</si>
  <si>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</si>
  <si>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</si>
  <si>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</si>
  <si>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</si>
  <si>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</si>
  <si>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</si>
  <si>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</si>
  <si>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</si>
  <si>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</si>
  <si>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</si>
  <si>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</si>
  <si>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</si>
  <si>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</si>
  <si>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</si>
  <si>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</si>
  <si>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</si>
  <si>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</si>
  <si>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</si>
  <si>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</si>
  <si>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</si>
  <si>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</si>
  <si>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</si>
  <si>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</si>
  <si>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</si>
  <si>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</si>
  <si>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</si>
  <si>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</si>
  <si>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</si>
  <si>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</si>
  <si>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</si>
  <si>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</si>
  <si>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</si>
  <si>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</si>
  <si>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</si>
  <si>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</si>
  <si>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</si>
  <si>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</si>
  <si>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</si>
  <si>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</si>
  <si>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</si>
  <si>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</si>
  <si>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</si>
  <si>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</si>
  <si>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</si>
  <si>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</si>
  <si>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</si>
  <si>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</si>
  <si>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</si>
  <si>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</si>
  <si>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</si>
  <si>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</si>
  <si>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</si>
  <si>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</si>
  <si>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</si>
  <si>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</si>
  <si>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</si>
  <si>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</si>
  <si>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</si>
  <si>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</si>
  <si>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</si>
  <si>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</si>
  <si>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</si>
  <si>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</si>
  <si>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</si>
  <si>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</si>
  <si>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</si>
  <si>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</si>
  <si>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</si>
  <si>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</si>
  <si>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</si>
  <si>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</si>
  <si>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</si>
  <si>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</si>
  <si>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</si>
  <si>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</si>
  <si>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</si>
  <si>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</si>
  <si>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</si>
  <si>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</si>
  <si>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</si>
  <si>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</si>
  <si>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</si>
  <si>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</si>
  <si>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</si>
  <si>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</si>
  <si>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</si>
  <si>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</si>
  <si>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</si>
  <si>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</si>
  <si>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</si>
  <si>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</si>
  <si>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</si>
  <si>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</si>
  <si>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</si>
  <si>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</si>
  <si>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</si>
  <si>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</si>
  <si>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</si>
  <si>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</si>
  <si>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</si>
  <si>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</si>
  <si>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</si>
  <si>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</si>
  <si>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</si>
  <si>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</si>
  <si>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</si>
  <si>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</si>
  <si>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</si>
  <si>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</si>
  <si>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</si>
  <si>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</si>
  <si>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</si>
  <si>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</si>
  <si>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</si>
  <si>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</si>
  <si>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</si>
  <si>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</si>
  <si>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</si>
  <si>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</si>
  <si>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</si>
  <si>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</si>
  <si>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</si>
  <si>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</si>
  <si>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</si>
  <si>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</si>
  <si>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</si>
  <si>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</si>
  <si>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</si>
  <si>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</si>
  <si>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</si>
  <si>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</si>
  <si>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</si>
  <si>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</si>
  <si>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</si>
  <si>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</si>
  <si>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</si>
  <si>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</si>
  <si>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</si>
  <si>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</si>
  <si>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</si>
  <si>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</si>
  <si>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</si>
  <si>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</si>
  <si>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</si>
  <si>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</si>
  <si>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</si>
  <si>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</si>
  <si>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</si>
  <si>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</si>
  <si>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</si>
  <si>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</si>
  <si>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</si>
  <si>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</si>
  <si>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</si>
  <si>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</si>
  <si>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</si>
  <si>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</si>
  <si>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</si>
  <si>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</si>
  <si>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</si>
  <si>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</si>
  <si>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</si>
  <si>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</si>
  <si>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</si>
  <si>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</si>
  <si>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</si>
  <si>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</si>
  <si>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</si>
  <si>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</si>
  <si>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</si>
  <si>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</si>
  <si>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</si>
  <si>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</si>
  <si>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</si>
  <si>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</si>
  <si>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</si>
  <si>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</si>
  <si>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</si>
  <si>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</si>
  <si>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</si>
  <si>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</si>
  <si>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</si>
  <si>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</si>
  <si>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</si>
  <si>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</si>
  <si>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</si>
  <si>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</si>
  <si>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</si>
  <si>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</si>
  <si>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</si>
  <si>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</si>
  <si>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</si>
  <si>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</si>
  <si>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</si>
  <si>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</si>
  <si>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</si>
  <si>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</si>
  <si>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</si>
  <si>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</si>
  <si>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</si>
  <si>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</si>
  <si>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</si>
  <si>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</si>
  <si>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</si>
  <si>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</si>
  <si>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</si>
  <si>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</si>
  <si>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</si>
  <si>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</si>
  <si>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</si>
  <si>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</si>
  <si>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</si>
  <si>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</si>
  <si>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</si>
  <si>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</si>
  <si>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</si>
  <si>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</si>
  <si>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</si>
  <si>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</si>
  <si>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</si>
  <si>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</si>
  <si>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</si>
  <si>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</si>
  <si>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</si>
  <si>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</si>
  <si>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</si>
  <si>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</si>
  <si>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</si>
  <si>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</si>
  <si>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</si>
  <si>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</si>
  <si>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</si>
  <si>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</si>
  <si>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</si>
  <si>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</si>
  <si>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</si>
  <si>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</si>
  <si>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</si>
  <si>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</si>
  <si>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</si>
  <si>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</si>
  <si>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</si>
  <si>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</si>
  <si>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</si>
  <si>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</si>
  <si>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</si>
  <si>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</si>
  <si>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</si>
  <si>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</si>
  <si>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</si>
  <si>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</si>
  <si>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</si>
  <si>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</si>
  <si>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</si>
  <si>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</si>
  <si>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</si>
  <si>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</si>
  <si>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</si>
  <si>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</si>
  <si>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</si>
  <si>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</si>
  <si>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</si>
  <si>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</si>
  <si>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</si>
  <si>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</si>
  <si>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</si>
  <si>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</si>
  <si>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</si>
  <si>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</si>
  <si>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</si>
  <si>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</si>
  <si>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</si>
  <si>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</si>
  <si>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</si>
  <si>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</si>
  <si>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</si>
  <si>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</si>
  <si>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</si>
  <si>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</si>
  <si>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</si>
  <si>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</si>
  <si>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</si>
  <si>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</si>
  <si>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</si>
  <si>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</si>
  <si>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</si>
  <si>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</si>
  <si>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</si>
  <si>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</si>
  <si>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</si>
  <si>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</si>
  <si>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</si>
  <si>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</si>
  <si>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</si>
  <si>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</si>
  <si>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</si>
  <si>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</si>
  <si>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</si>
  <si>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</si>
  <si>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</si>
  <si>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</si>
  <si>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</si>
  <si>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</si>
  <si>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</si>
  <si>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</si>
  <si>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</si>
  <si>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</si>
  <si>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</si>
  <si>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</si>
  <si>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</si>
  <si>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</si>
  <si>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</si>
  <si>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</si>
  <si>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</si>
  <si>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</si>
  <si>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</si>
  <si>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</si>
  <si>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</si>
  <si>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</si>
  <si>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</si>
  <si>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</si>
  <si>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</si>
  <si>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</si>
  <si>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</si>
  <si>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</si>
  <si>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</si>
  <si>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</si>
  <si>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</si>
  <si>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</si>
  <si>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</si>
  <si>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</si>
  <si>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</si>
  <si>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</si>
  <si>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</si>
  <si>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</si>
  <si>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</si>
  <si>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</si>
  <si>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</si>
  <si>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</si>
  <si>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</si>
  <si>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</si>
  <si>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</si>
  <si>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</si>
  <si>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</si>
  <si>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</si>
  <si>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</si>
  <si>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</si>
  <si>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</si>
  <si>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</si>
  <si>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</si>
  <si>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</si>
  <si>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</si>
  <si>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</si>
  <si>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</si>
  <si>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</si>
  <si>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</si>
  <si>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</si>
  <si>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</si>
  <si>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</si>
  <si>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</si>
  <si>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</si>
  <si>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</si>
  <si>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</si>
  <si>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</si>
  <si>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</si>
  <si>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</si>
  <si>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</si>
  <si>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</si>
  <si>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</si>
  <si>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</si>
  <si>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</si>
  <si>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</si>
  <si>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</si>
  <si>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</si>
  <si>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</si>
  <si>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</si>
  <si>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</si>
  <si>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</si>
  <si>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</si>
  <si>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</si>
  <si>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</si>
  <si>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</si>
  <si>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</si>
  <si>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</si>
  <si>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</si>
  <si>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</si>
  <si>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</si>
  <si>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</si>
  <si>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</si>
  <si>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</si>
  <si>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</si>
  <si>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</si>
  <si>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</si>
  <si>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</si>
  <si>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</si>
  <si>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</si>
  <si>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</si>
  <si>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</si>
  <si>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</si>
  <si>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</si>
  <si>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</si>
  <si>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</si>
  <si>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</si>
  <si>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</si>
  <si>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</si>
  <si>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</si>
  <si>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</si>
  <si>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</si>
  <si>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</si>
  <si>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</si>
  <si>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</si>
  <si>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</si>
  <si>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</si>
  <si>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</si>
  <si>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</si>
  <si>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</si>
  <si>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</si>
  <si>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</si>
  <si>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</si>
  <si>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</si>
  <si>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</si>
  <si>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</si>
  <si>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</si>
  <si>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</si>
  <si>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</si>
  <si>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</si>
  <si>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</si>
  <si>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</si>
  <si>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</si>
  <si>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</si>
  <si>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</si>
  <si>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</si>
  <si>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</si>
  <si>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</si>
  <si>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</si>
  <si>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</si>
  <si>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</si>
  <si>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</si>
  <si>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</si>
  <si>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</si>
  <si>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</si>
  <si>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</si>
  <si>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</si>
  <si>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</si>
  <si>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</si>
  <si>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</si>
  <si>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</si>
  <si>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</si>
  <si>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</si>
  <si>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</si>
  <si>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</si>
  <si>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</si>
  <si>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</si>
  <si>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</si>
  <si>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</si>
  <si>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</si>
  <si>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</si>
  <si>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</si>
  <si>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</si>
  <si>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</si>
  <si>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</si>
  <si>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</si>
  <si>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</si>
  <si>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</si>
  <si>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</si>
  <si>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</si>
  <si>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</si>
  <si>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</si>
  <si>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</si>
  <si>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</si>
  <si>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</si>
  <si>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</si>
  <si>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</si>
  <si>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</si>
  <si>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</si>
  <si>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</si>
  <si>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</si>
  <si>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</si>
  <si>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</si>
  <si>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</si>
  <si>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</si>
  <si>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</si>
  <si>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</si>
  <si>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</si>
  <si>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</si>
  <si>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</si>
  <si>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</si>
  <si>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</si>
  <si>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</si>
  <si>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</si>
  <si>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</si>
  <si>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</si>
  <si>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</si>
  <si>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</si>
  <si>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</si>
  <si>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</si>
  <si>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</si>
  <si>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</si>
  <si>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</si>
  <si>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</si>
  <si>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</si>
  <si>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</si>
  <si>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</si>
  <si>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</si>
  <si>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</si>
  <si>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</si>
  <si>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</si>
  <si>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</si>
  <si>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</si>
  <si>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</si>
  <si>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</si>
  <si>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</si>
  <si>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</si>
  <si>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</si>
  <si>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</si>
  <si>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</si>
  <si>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</si>
  <si>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</si>
  <si>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</si>
  <si>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</si>
  <si>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</si>
  <si>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</si>
  <si>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</si>
  <si>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</si>
  <si>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</si>
  <si>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</si>
  <si>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</si>
  <si>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</si>
  <si>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</si>
  <si>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</si>
  <si>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</si>
  <si>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</si>
  <si>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</si>
  <si>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</si>
  <si>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</si>
  <si>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</si>
  <si>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</si>
  <si>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</si>
  <si>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</si>
  <si>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</si>
  <si>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</si>
  <si>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</si>
  <si>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</si>
  <si>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</si>
  <si>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</si>
  <si>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</si>
  <si>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</si>
  <si>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</si>
  <si>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</si>
  <si>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</si>
  <si>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</si>
  <si>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</si>
  <si>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</si>
  <si>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</si>
  <si>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</si>
  <si>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</si>
  <si>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</si>
  <si>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</si>
  <si>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</si>
  <si>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</si>
  <si>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</si>
  <si>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</si>
  <si>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</si>
  <si>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</si>
  <si>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</si>
  <si>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</si>
  <si>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</si>
  <si>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</si>
  <si>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</si>
  <si>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</si>
  <si>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</si>
  <si>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</si>
  <si>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</si>
  <si>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</si>
  <si>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</si>
  <si>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</si>
  <si>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</si>
  <si>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</si>
  <si>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</si>
  <si>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</si>
  <si>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</si>
  <si>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</si>
  <si>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</si>
  <si>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</si>
  <si>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</si>
  <si>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</si>
  <si>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</si>
  <si>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</si>
  <si>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</si>
  <si>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</si>
  <si>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</si>
  <si>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</si>
  <si>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</si>
  <si>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</si>
  <si>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</si>
  <si>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</si>
  <si>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</si>
  <si>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</si>
  <si>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</si>
  <si>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</si>
  <si>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</si>
  <si>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</si>
  <si>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</si>
  <si>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</si>
  <si>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</si>
  <si>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</si>
  <si>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</si>
  <si>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</si>
  <si>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</si>
  <si>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</si>
  <si>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</si>
  <si>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</si>
  <si>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</si>
  <si>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</si>
  <si>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</si>
  <si>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</si>
  <si>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</si>
  <si>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</si>
  <si>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</si>
  <si>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</si>
  <si>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</si>
  <si>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</si>
  <si>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</si>
  <si>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</si>
  <si>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</si>
  <si>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</si>
  <si>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</si>
  <si>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</si>
  <si>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</si>
  <si>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</si>
  <si>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</si>
  <si>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</si>
  <si>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</si>
  <si>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</si>
  <si>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</si>
  <si>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</si>
  <si>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</si>
  <si>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</si>
  <si>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</si>
  <si>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</si>
  <si>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</si>
  <si>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</si>
  <si>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</si>
  <si>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</si>
  <si>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</si>
  <si>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</si>
  <si>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</si>
  <si>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</si>
  <si>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</si>
  <si>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</si>
  <si>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</si>
  <si>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</si>
  <si>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</si>
  <si>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</si>
  <si>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</si>
  <si>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</si>
  <si>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</si>
  <si>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</si>
  <si>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</si>
  <si>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</si>
  <si>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</si>
  <si>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</si>
  <si>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</si>
  <si>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</si>
  <si>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</si>
  <si>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</si>
  <si>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</si>
  <si>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</si>
  <si>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</si>
  <si>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</si>
  <si>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</si>
  <si>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</si>
  <si>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24045</t>
  </si>
  <si>
    <t>HULDENBERG</t>
  </si>
  <si>
    <t>Cultuurgrond (ha)</t>
  </si>
  <si>
    <t>Paarden&amp;pony's 200 - 600 kg</t>
  </si>
  <si>
    <t>Paarden&amp;pony's &lt; 200 kg</t>
  </si>
  <si>
    <t>vloeibaar gas (MWh)</t>
  </si>
  <si>
    <t>interne verbrandingsmotor</t>
  </si>
  <si>
    <t>WKK interne verbrandinsgmotor (vloeibaar)</t>
  </si>
  <si>
    <t>IVERLEK</t>
  </si>
  <si>
    <t>biogas - stortgas</t>
  </si>
  <si>
    <t>niet WKK interne verbrandingsmotor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</si>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</sst>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477BCDD-C9E1-4734-895C-A3824F46817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97888.761912011178</c:v>
                </c:pt>
                <c:pt idx="1">
                  <c:v>24032.684684401847</c:v>
                </c:pt>
                <c:pt idx="2">
                  <c:v>712.39599999999996</c:v>
                </c:pt>
                <c:pt idx="3">
                  <c:v>1849.3824195396646</c:v>
                </c:pt>
                <c:pt idx="4">
                  <c:v>2775.7423110978143</c:v>
                </c:pt>
                <c:pt idx="5">
                  <c:v>60025.686643438283</c:v>
                </c:pt>
                <c:pt idx="6">
                  <c:v>2511.7459673083931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97888.761912011178</c:v>
                </c:pt>
                <c:pt idx="1">
                  <c:v>24032.684684401847</c:v>
                </c:pt>
                <c:pt idx="2">
                  <c:v>712.39599999999996</c:v>
                </c:pt>
                <c:pt idx="3">
                  <c:v>1849.3824195396646</c:v>
                </c:pt>
                <c:pt idx="4">
                  <c:v>2775.7423110978143</c:v>
                </c:pt>
                <c:pt idx="5">
                  <c:v>60025.686643438283</c:v>
                </c:pt>
                <c:pt idx="6">
                  <c:v>2511.7459673083931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20917.623304826659</c:v>
                </c:pt>
                <c:pt idx="2">
                  <c:v>4607.3010921825071</c:v>
                </c:pt>
                <c:pt idx="3">
                  <c:v>127.30242464975431</c:v>
                </c:pt>
                <c:pt idx="4">
                  <c:v>460.43858298584132</c:v>
                </c:pt>
                <c:pt idx="5">
                  <c:v>560.08990404754377</c:v>
                </c:pt>
                <c:pt idx="6">
                  <c:v>15133.712935634641</c:v>
                </c:pt>
                <c:pt idx="7">
                  <c:v>640.91043127525893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20917.623304826659</c:v>
                </c:pt>
                <c:pt idx="2">
                  <c:v>4607.3010921825071</c:v>
                </c:pt>
                <c:pt idx="3">
                  <c:v>127.30242464975431</c:v>
                </c:pt>
                <c:pt idx="4">
                  <c:v>460.43858298584132</c:v>
                </c:pt>
                <c:pt idx="5">
                  <c:v>560.08990404754377</c:v>
                </c:pt>
                <c:pt idx="6">
                  <c:v>15133.712935634641</c:v>
                </c:pt>
                <c:pt idx="7">
                  <c:v>640.91043127525893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24045</v>
      </c>
      <c r="B6" s="385"/>
      <c r="C6" s="386"/>
    </row>
    <row r="7" spans="1:7" s="383" customFormat="1" ht="15.75" customHeight="1">
      <c r="A7" s="387" t="str">
        <f>txtMunicipality</f>
        <v>HULDENBERG</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0.17869615305217088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0.17869615305217088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3757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1889</v>
      </c>
      <c r="C14" s="327"/>
      <c r="D14" s="327"/>
      <c r="E14" s="327"/>
      <c r="F14" s="327"/>
    </row>
    <row r="15" spans="1:6">
      <c r="A15" s="1258" t="s">
        <v>177</v>
      </c>
      <c r="B15" s="1259">
        <v>3</v>
      </c>
      <c r="C15" s="327"/>
      <c r="D15" s="327"/>
      <c r="E15" s="327"/>
      <c r="F15" s="327"/>
    </row>
    <row r="16" spans="1:6">
      <c r="A16" s="1258" t="s">
        <v>6</v>
      </c>
      <c r="B16" s="1259">
        <v>356</v>
      </c>
      <c r="C16" s="327"/>
      <c r="D16" s="327"/>
      <c r="E16" s="327"/>
      <c r="F16" s="327"/>
    </row>
    <row r="17" spans="1:6">
      <c r="A17" s="1258" t="s">
        <v>7</v>
      </c>
      <c r="B17" s="1259">
        <v>422</v>
      </c>
      <c r="C17" s="327"/>
      <c r="D17" s="327"/>
      <c r="E17" s="327"/>
      <c r="F17" s="327"/>
    </row>
    <row r="18" spans="1:6">
      <c r="A18" s="1258" t="s">
        <v>8</v>
      </c>
      <c r="B18" s="1259">
        <v>648</v>
      </c>
      <c r="C18" s="327"/>
      <c r="D18" s="327"/>
      <c r="E18" s="327"/>
      <c r="F18" s="327"/>
    </row>
    <row r="19" spans="1:6">
      <c r="A19" s="1258" t="s">
        <v>9</v>
      </c>
      <c r="B19" s="1259">
        <v>561</v>
      </c>
      <c r="C19" s="327"/>
      <c r="D19" s="327"/>
      <c r="E19" s="327"/>
      <c r="F19" s="327"/>
    </row>
    <row r="20" spans="1:6">
      <c r="A20" s="1258" t="s">
        <v>10</v>
      </c>
      <c r="B20" s="1259">
        <v>406</v>
      </c>
      <c r="C20" s="327"/>
      <c r="D20" s="327"/>
      <c r="E20" s="327"/>
      <c r="F20" s="327"/>
    </row>
    <row r="21" spans="1:6">
      <c r="A21" s="1258" t="s">
        <v>11</v>
      </c>
      <c r="B21" s="1259">
        <v>0</v>
      </c>
      <c r="C21" s="327"/>
      <c r="D21" s="327"/>
      <c r="E21" s="327"/>
      <c r="F21" s="327"/>
    </row>
    <row r="22" spans="1:6">
      <c r="A22" s="1258" t="s">
        <v>12</v>
      </c>
      <c r="B22" s="1259">
        <v>784</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280</v>
      </c>
      <c r="C26" s="327"/>
      <c r="D26" s="327"/>
      <c r="E26" s="327"/>
      <c r="F26" s="327"/>
    </row>
    <row r="27" spans="1:6">
      <c r="A27" s="1258" t="s">
        <v>17</v>
      </c>
      <c r="B27" s="1259">
        <v>1</v>
      </c>
      <c r="C27" s="327"/>
      <c r="D27" s="327"/>
      <c r="E27" s="327"/>
      <c r="F27" s="327"/>
    </row>
    <row r="28" spans="1:6">
      <c r="A28" s="1258" t="s">
        <v>18</v>
      </c>
      <c r="B28" s="1260">
        <v>27</v>
      </c>
      <c r="C28" s="327"/>
      <c r="D28" s="327"/>
      <c r="E28" s="327"/>
      <c r="F28" s="327"/>
    </row>
    <row r="29" spans="1:6">
      <c r="A29" s="1258" t="s">
        <v>905</v>
      </c>
      <c r="B29" s="1260">
        <v>67</v>
      </c>
      <c r="C29" s="327"/>
      <c r="D29" s="327"/>
      <c r="E29" s="327"/>
      <c r="F29" s="327"/>
    </row>
    <row r="30" spans="1:6">
      <c r="A30" s="1253" t="s">
        <v>906</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7</v>
      </c>
      <c r="F36" s="1259">
        <v>7674.4057418852999</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8615.1233291903991</v>
      </c>
    </row>
    <row r="39" spans="1:6">
      <c r="A39" s="1258" t="s">
        <v>29</v>
      </c>
      <c r="B39" s="1258" t="s">
        <v>30</v>
      </c>
      <c r="C39" s="1259">
        <v>1382</v>
      </c>
      <c r="D39" s="1259">
        <v>30811176.1732818</v>
      </c>
      <c r="E39" s="1259">
        <v>3595</v>
      </c>
      <c r="F39" s="1259">
        <v>16654754.252228299</v>
      </c>
    </row>
    <row r="40" spans="1:6">
      <c r="A40" s="1258" t="s">
        <v>29</v>
      </c>
      <c r="B40" s="1258" t="s">
        <v>28</v>
      </c>
      <c r="C40" s="1259">
        <v>0</v>
      </c>
      <c r="D40" s="1259">
        <v>0</v>
      </c>
      <c r="E40" s="1259">
        <v>0</v>
      </c>
      <c r="F40" s="1259">
        <v>0</v>
      </c>
    </row>
    <row r="41" spans="1:6">
      <c r="A41" s="1258" t="s">
        <v>31</v>
      </c>
      <c r="B41" s="1258" t="s">
        <v>32</v>
      </c>
      <c r="C41" s="1259">
        <v>0</v>
      </c>
      <c r="D41" s="1259">
        <v>0</v>
      </c>
      <c r="E41" s="1259">
        <v>55</v>
      </c>
      <c r="F41" s="1259">
        <v>494750.32650458999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22956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12</v>
      </c>
      <c r="D48" s="1259">
        <v>296915.47428099398</v>
      </c>
      <c r="E48" s="1259">
        <v>22</v>
      </c>
      <c r="F48" s="1259">
        <v>494697.99389582197</v>
      </c>
    </row>
    <row r="49" spans="1:6">
      <c r="A49" s="1258" t="s">
        <v>31</v>
      </c>
      <c r="B49" s="1258" t="s">
        <v>39</v>
      </c>
      <c r="C49" s="1259">
        <v>0</v>
      </c>
      <c r="D49" s="1259">
        <v>0</v>
      </c>
      <c r="E49" s="1259">
        <v>0</v>
      </c>
      <c r="F49" s="1259">
        <v>0</v>
      </c>
    </row>
    <row r="50" spans="1:6">
      <c r="A50" s="1258" t="s">
        <v>31</v>
      </c>
      <c r="B50" s="1258" t="s">
        <v>40</v>
      </c>
      <c r="C50" s="1259">
        <v>3</v>
      </c>
      <c r="D50" s="1259">
        <v>399909.08789401897</v>
      </c>
      <c r="E50" s="1259">
        <v>5</v>
      </c>
      <c r="F50" s="1259">
        <v>158459.28629990501</v>
      </c>
    </row>
    <row r="51" spans="1:6">
      <c r="A51" s="1258" t="s">
        <v>41</v>
      </c>
      <c r="B51" s="1258" t="s">
        <v>42</v>
      </c>
      <c r="C51" s="1259">
        <v>0</v>
      </c>
      <c r="D51" s="1259">
        <v>0</v>
      </c>
      <c r="E51" s="1259">
        <v>43</v>
      </c>
      <c r="F51" s="1259">
        <v>376885.78728880099</v>
      </c>
    </row>
    <row r="52" spans="1:6">
      <c r="A52" s="1258" t="s">
        <v>41</v>
      </c>
      <c r="B52" s="1258" t="s">
        <v>28</v>
      </c>
      <c r="C52" s="1259">
        <v>3</v>
      </c>
      <c r="D52" s="1259">
        <v>46059.390170667</v>
      </c>
      <c r="E52" s="1259">
        <v>3</v>
      </c>
      <c r="F52" s="1259">
        <v>10274.097484436399</v>
      </c>
    </row>
    <row r="53" spans="1:6">
      <c r="A53" s="1258" t="s">
        <v>43</v>
      </c>
      <c r="B53" s="1258" t="s">
        <v>44</v>
      </c>
      <c r="C53" s="1259">
        <v>36</v>
      </c>
      <c r="D53" s="1259">
        <v>1024588.50116727</v>
      </c>
      <c r="E53" s="1259">
        <v>107</v>
      </c>
      <c r="F53" s="1259">
        <v>718679.079385511</v>
      </c>
    </row>
    <row r="54" spans="1:6">
      <c r="A54" s="1258" t="s">
        <v>45</v>
      </c>
      <c r="B54" s="1258" t="s">
        <v>46</v>
      </c>
      <c r="C54" s="1259">
        <v>0</v>
      </c>
      <c r="D54" s="1259">
        <v>0</v>
      </c>
      <c r="E54" s="1259">
        <v>1</v>
      </c>
      <c r="F54" s="1259">
        <v>712396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488151.40088980802</v>
      </c>
      <c r="E57" s="1259">
        <v>31</v>
      </c>
      <c r="F57" s="1259">
        <v>3543240.7014329098</v>
      </c>
    </row>
    <row r="58" spans="1:6">
      <c r="A58" s="1258" t="s">
        <v>48</v>
      </c>
      <c r="B58" s="1258" t="s">
        <v>50</v>
      </c>
      <c r="C58" s="1259">
        <v>3</v>
      </c>
      <c r="D58" s="1259">
        <v>109504.418209886</v>
      </c>
      <c r="E58" s="1259">
        <v>4</v>
      </c>
      <c r="F58" s="1259">
        <v>15914.4741583258</v>
      </c>
    </row>
    <row r="59" spans="1:6">
      <c r="A59" s="1258" t="s">
        <v>48</v>
      </c>
      <c r="B59" s="1258" t="s">
        <v>51</v>
      </c>
      <c r="C59" s="1259">
        <v>12</v>
      </c>
      <c r="D59" s="1259">
        <v>359471.08526146697</v>
      </c>
      <c r="E59" s="1259">
        <v>60</v>
      </c>
      <c r="F59" s="1259">
        <v>1437079.0865266901</v>
      </c>
    </row>
    <row r="60" spans="1:6">
      <c r="A60" s="1258" t="s">
        <v>48</v>
      </c>
      <c r="B60" s="1258" t="s">
        <v>52</v>
      </c>
      <c r="C60" s="1259">
        <v>12</v>
      </c>
      <c r="D60" s="1259">
        <v>512215.53697445599</v>
      </c>
      <c r="E60" s="1259">
        <v>24</v>
      </c>
      <c r="F60" s="1259">
        <v>330313.70939620602</v>
      </c>
    </row>
    <row r="61" spans="1:6">
      <c r="A61" s="1258" t="s">
        <v>48</v>
      </c>
      <c r="B61" s="1258" t="s">
        <v>53</v>
      </c>
      <c r="C61" s="1259">
        <v>57</v>
      </c>
      <c r="D61" s="1259">
        <v>3788093.2254503602</v>
      </c>
      <c r="E61" s="1259">
        <v>152</v>
      </c>
      <c r="F61" s="1259">
        <v>1406535.9019503701</v>
      </c>
    </row>
    <row r="62" spans="1:6">
      <c r="A62" s="1258" t="s">
        <v>48</v>
      </c>
      <c r="B62" s="1258" t="s">
        <v>54</v>
      </c>
      <c r="C62" s="1259">
        <v>0</v>
      </c>
      <c r="D62" s="1259">
        <v>0</v>
      </c>
      <c r="E62" s="1259">
        <v>3</v>
      </c>
      <c r="F62" s="1259">
        <v>546604.76417480002</v>
      </c>
    </row>
    <row r="63" spans="1:6">
      <c r="A63" s="1258" t="s">
        <v>48</v>
      </c>
      <c r="B63" s="1258" t="s">
        <v>28</v>
      </c>
      <c r="C63" s="1259">
        <v>61</v>
      </c>
      <c r="D63" s="1259">
        <v>4366697.11567376</v>
      </c>
      <c r="E63" s="1259">
        <v>79</v>
      </c>
      <c r="F63" s="1259">
        <v>1636934.10859946</v>
      </c>
    </row>
    <row r="64" spans="1:6">
      <c r="A64" s="1258" t="s">
        <v>55</v>
      </c>
      <c r="B64" s="1258" t="s">
        <v>56</v>
      </c>
      <c r="C64" s="1259">
        <v>0</v>
      </c>
      <c r="D64" s="1259">
        <v>0</v>
      </c>
      <c r="E64" s="1259">
        <v>0</v>
      </c>
      <c r="F64" s="1259">
        <v>0</v>
      </c>
    </row>
    <row r="65" spans="1:6">
      <c r="A65" s="1258" t="s">
        <v>55</v>
      </c>
      <c r="B65" s="1258" t="s">
        <v>28</v>
      </c>
      <c r="C65" s="1259">
        <v>1</v>
      </c>
      <c r="D65" s="1259">
        <v>41466.610628914998</v>
      </c>
      <c r="E65" s="1259">
        <v>2</v>
      </c>
      <c r="F65" s="1259">
        <v>215146.08070171499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35454121</v>
      </c>
      <c r="E73" s="446"/>
      <c r="F73" s="327"/>
    </row>
    <row r="74" spans="1:6">
      <c r="A74" s="1258" t="s">
        <v>63</v>
      </c>
      <c r="B74" s="1258" t="s">
        <v>681</v>
      </c>
      <c r="C74" s="1271" t="s">
        <v>682</v>
      </c>
      <c r="D74" s="1259">
        <v>1429636.577770846</v>
      </c>
      <c r="E74" s="446"/>
      <c r="F74" s="327"/>
    </row>
    <row r="75" spans="1:6">
      <c r="A75" s="1258" t="s">
        <v>64</v>
      </c>
      <c r="B75" s="1258" t="s">
        <v>679</v>
      </c>
      <c r="C75" s="1271" t="s">
        <v>683</v>
      </c>
      <c r="D75" s="1259">
        <v>33785522</v>
      </c>
      <c r="E75" s="446"/>
      <c r="F75" s="327"/>
    </row>
    <row r="76" spans="1:6">
      <c r="A76" s="1258" t="s">
        <v>64</v>
      </c>
      <c r="B76" s="1258" t="s">
        <v>681</v>
      </c>
      <c r="C76" s="1271" t="s">
        <v>684</v>
      </c>
      <c r="D76" s="1259">
        <v>850322.57777084596</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664784.84445830795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1740.4087864294563</v>
      </c>
      <c r="C91" s="327"/>
      <c r="D91" s="327"/>
      <c r="E91" s="327"/>
      <c r="F91" s="327"/>
    </row>
    <row r="92" spans="1:6">
      <c r="A92" s="1253" t="s">
        <v>68</v>
      </c>
      <c r="B92" s="1254">
        <v>86.147974327200046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519</v>
      </c>
      <c r="C97" s="327"/>
      <c r="D97" s="327"/>
      <c r="E97" s="327"/>
      <c r="F97" s="327"/>
    </row>
    <row r="98" spans="1:6">
      <c r="A98" s="1258" t="s">
        <v>71</v>
      </c>
      <c r="B98" s="1259">
        <v>1</v>
      </c>
      <c r="C98" s="327"/>
      <c r="D98" s="327"/>
      <c r="E98" s="327"/>
      <c r="F98" s="327"/>
    </row>
    <row r="99" spans="1:6">
      <c r="A99" s="1258" t="s">
        <v>72</v>
      </c>
      <c r="B99" s="1259">
        <v>94</v>
      </c>
      <c r="C99" s="327"/>
      <c r="D99" s="327"/>
      <c r="E99" s="327"/>
      <c r="F99" s="327"/>
    </row>
    <row r="100" spans="1:6">
      <c r="A100" s="1258" t="s">
        <v>73</v>
      </c>
      <c r="B100" s="1259">
        <v>266</v>
      </c>
      <c r="C100" s="327"/>
      <c r="D100" s="327"/>
      <c r="E100" s="327"/>
      <c r="F100" s="327"/>
    </row>
    <row r="101" spans="1:6">
      <c r="A101" s="1258" t="s">
        <v>74</v>
      </c>
      <c r="B101" s="1259">
        <v>58</v>
      </c>
      <c r="C101" s="327"/>
      <c r="D101" s="327"/>
      <c r="E101" s="327"/>
      <c r="F101" s="327"/>
    </row>
    <row r="102" spans="1:6">
      <c r="A102" s="1258" t="s">
        <v>75</v>
      </c>
      <c r="B102" s="1259">
        <v>47</v>
      </c>
      <c r="C102" s="327"/>
      <c r="D102" s="327"/>
      <c r="E102" s="327"/>
      <c r="F102" s="327"/>
    </row>
    <row r="103" spans="1:6">
      <c r="A103" s="1258" t="s">
        <v>76</v>
      </c>
      <c r="B103" s="1259">
        <v>96</v>
      </c>
      <c r="C103" s="327"/>
      <c r="D103" s="327"/>
      <c r="E103" s="327"/>
      <c r="F103" s="327"/>
    </row>
    <row r="104" spans="1:6">
      <c r="A104" s="1258" t="s">
        <v>77</v>
      </c>
      <c r="B104" s="1259">
        <v>2219</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7</v>
      </c>
      <c r="C123" s="1259">
        <v>10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71</v>
      </c>
      <c r="C129" s="327"/>
      <c r="D129" s="327"/>
      <c r="E129" s="327"/>
      <c r="F129" s="327"/>
    </row>
    <row r="130" spans="1:6">
      <c r="A130" s="1258" t="s">
        <v>284</v>
      </c>
      <c r="B130" s="1259">
        <v>3</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35236.926465944402</v>
      </c>
      <c r="C3" s="43" t="s">
        <v>163</v>
      </c>
      <c r="D3" s="43"/>
      <c r="E3" s="156"/>
      <c r="F3" s="43"/>
      <c r="G3" s="43"/>
      <c r="H3" s="43"/>
      <c r="I3" s="43"/>
      <c r="J3" s="43"/>
      <c r="K3" s="96"/>
    </row>
    <row r="4" spans="1:11">
      <c r="A4" s="353" t="s">
        <v>164</v>
      </c>
      <c r="B4" s="49">
        <f>IF(ISERROR('SEAP template'!B78+'SEAP template'!C78),0,'SEAP template'!B78+'SEAP template'!C78)</f>
        <v>6745.0567607566563</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0.17869615305217088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60.75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712.39599999999996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712.39599999999996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0.17869615305217088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127.30242464975431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16654.7542522283</v>
      </c>
      <c r="C5" s="17">
        <f>IF(ISERROR('Eigen informatie GS &amp; warmtenet'!B57),0,'Eigen informatie GS &amp; warmtenet'!B57)</f>
        <v>0</v>
      </c>
      <c r="D5" s="30">
        <f>(SUM(HH_hh_gas_kWh,HH_rest_gas_kWh)/1000)*0.902</f>
        <v>27791.680908300186</v>
      </c>
      <c r="E5" s="17">
        <f>B32*B41</f>
        <v>1394.8754017064689</v>
      </c>
      <c r="F5" s="17">
        <f>B36*B45</f>
        <v>42746.616121836545</v>
      </c>
      <c r="G5" s="18"/>
      <c r="H5" s="17"/>
      <c r="I5" s="17"/>
      <c r="J5" s="17">
        <f>B35*B44+C35*C44</f>
        <v>809.53579338042766</v>
      </c>
      <c r="K5" s="17"/>
      <c r="L5" s="17"/>
      <c r="M5" s="17"/>
      <c r="N5" s="17">
        <f>B34*B43+C34*C43</f>
        <v>6338.2606481297844</v>
      </c>
      <c r="O5" s="17">
        <f>B52*B53*B54</f>
        <v>126.63</v>
      </c>
      <c r="P5" s="17">
        <f>B60*B61*B62/1000-B60*B61*B62/1000/B63</f>
        <v>286</v>
      </c>
    </row>
    <row r="6" spans="1:16">
      <c r="A6" s="16" t="s">
        <v>592</v>
      </c>
      <c r="B6" s="733">
        <f>kWh_PV_kleiner_dan_10kW</f>
        <v>1740.4087864294563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18395.163038657756</v>
      </c>
      <c r="C8" s="21">
        <f>C5</f>
        <v>0</v>
      </c>
      <c r="D8" s="21">
        <f>D5</f>
        <v>27791.680908300186</v>
      </c>
      <c r="E8" s="21">
        <f>E5</f>
        <v>1394.8754017064689</v>
      </c>
      <c r="F8" s="21">
        <f>F5</f>
        <v>42746.616121836545</v>
      </c>
      <c r="G8" s="21"/>
      <c r="H8" s="21"/>
      <c r="I8" s="21"/>
      <c r="J8" s="21">
        <f>J5</f>
        <v>809.53579338042766</v>
      </c>
      <c r="K8" s="21"/>
      <c r="L8" s="21">
        <f>L5</f>
        <v>0</v>
      </c>
      <c r="M8" s="21">
        <f>M5</f>
        <v>0</v>
      </c>
      <c r="N8" s="21">
        <f>N5</f>
        <v>6338.2606481297844</v>
      </c>
      <c r="O8" s="21">
        <f>O5</f>
        <v>126.63</v>
      </c>
      <c r="P8" s="21">
        <f>P5</f>
        <v>286</v>
      </c>
    </row>
    <row r="9" spans="1:16">
      <c r="B9" s="19"/>
      <c r="C9" s="19"/>
      <c r="D9" s="257"/>
      <c r="E9" s="19"/>
      <c r="F9" s="19"/>
      <c r="G9" s="19"/>
      <c r="H9" s="19"/>
      <c r="I9" s="19"/>
      <c r="J9" s="19"/>
      <c r="K9" s="19"/>
      <c r="L9" s="19"/>
      <c r="M9" s="19"/>
      <c r="N9" s="19"/>
      <c r="O9" s="19"/>
      <c r="P9" s="19"/>
    </row>
    <row r="10" spans="1:16">
      <c r="A10" s="24" t="s">
        <v>207</v>
      </c>
      <c r="B10" s="25">
        <f ca="1">'EF ele_warmte'!B12</f>
        <v>0.17869615305217088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3287.1448697756232</v>
      </c>
      <c r="C12" s="23">
        <f ca="1">C10*C8</f>
        <v>0</v>
      </c>
      <c r="D12" s="23">
        <f>D8*D10</f>
        <v>5613.919543476638</v>
      </c>
      <c r="E12" s="23">
        <f>E10*E8</f>
        <v>316.63671618736845</v>
      </c>
      <c r="F12" s="23">
        <f>F10*F8</f>
        <v>11413.346504530358</v>
      </c>
      <c r="G12" s="23"/>
      <c r="H12" s="23"/>
      <c r="I12" s="23"/>
      <c r="J12" s="23">
        <f>J10*J8</f>
        <v>286.57567085667137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3757</v>
      </c>
      <c r="C26" s="36"/>
      <c r="D26" s="227"/>
    </row>
    <row r="27" spans="1:5" s="15" customFormat="1">
      <c r="A27" s="229" t="s">
        <v>697</v>
      </c>
      <c r="B27" s="37">
        <f>SUM(HH_hh_gas_aantal,HH_rest_gas_aantal)</f>
        <v>1382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1312.9</v>
      </c>
      <c r="C31" s="34" t="s">
        <v>104</v>
      </c>
      <c r="D31" s="173"/>
    </row>
    <row r="32" spans="1:5">
      <c r="A32" s="170" t="s">
        <v>72</v>
      </c>
      <c r="B32" s="33">
        <f>IF((B21*($B$26-($B$27-0.05*$B$27)-$B$60))&lt;0,0,B21*($B$26-($B$27-0.05*$B$27)-$B$60))</f>
        <v>60.828458391704082</v>
      </c>
      <c r="C32" s="34" t="s">
        <v>104</v>
      </c>
      <c r="D32" s="173"/>
    </row>
    <row r="33" spans="1:6">
      <c r="A33" s="170" t="s">
        <v>73</v>
      </c>
      <c r="B33" s="33">
        <f>IF((B22*($B$26-($B$27-0.05*$B$27)-$B$60))&lt;0,0,B22*($B$26-($B$27-0.05*$B$27)-$B$60))</f>
        <v>409.44686699526994</v>
      </c>
      <c r="C33" s="34" t="s">
        <v>104</v>
      </c>
      <c r="D33" s="173"/>
    </row>
    <row r="34" spans="1:6">
      <c r="A34" s="170" t="s">
        <v>74</v>
      </c>
      <c r="B34" s="33">
        <f>IF((B24*($B$26-($B$27-0.05*$B$27)-$B$60))&lt;0,0,B24*($B$26-($B$27-0.05*$B$27)-$B$60))</f>
        <v>103.88222001155981</v>
      </c>
      <c r="C34" s="33">
        <f>B26*C24</f>
        <v>768.53217408132218</v>
      </c>
      <c r="D34" s="232"/>
    </row>
    <row r="35" spans="1:6">
      <c r="A35" s="170" t="s">
        <v>76</v>
      </c>
      <c r="B35" s="33">
        <f>IF((B19*($B$26-($B$27-0.05*$B$27)-$B$60))&lt;0,0,B19*($B$26-($B$27-0.05*$B$27)-$B$60))</f>
        <v>38.606045248808897</v>
      </c>
      <c r="C35" s="33">
        <f>B35/2</f>
        <v>19.303022624404448</v>
      </c>
      <c r="D35" s="232"/>
    </row>
    <row r="36" spans="1:6">
      <c r="A36" s="170" t="s">
        <v>77</v>
      </c>
      <c r="B36" s="33">
        <f>IF((B18*($B$26-($B$27-0.05*$B$27)-$B$60))&lt;0,0,B18*($B$26-($B$27-0.05*$B$27)-$B$60))</f>
        <v>1816.3364093526573</v>
      </c>
      <c r="C36" s="34" t="s">
        <v>104</v>
      </c>
      <c r="D36" s="173"/>
    </row>
    <row r="37" spans="1:6">
      <c r="A37" s="170" t="s">
        <v>78</v>
      </c>
      <c r="B37" s="33">
        <f>B60</f>
        <v>15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8916.6227462387615</v>
      </c>
      <c r="C5" s="17">
        <f>IF(ISERROR('Eigen informatie GS &amp; warmtenet'!B58),0,'Eigen informatie GS &amp; warmtenet'!B58)</f>
        <v>0</v>
      </c>
      <c r="D5" s="30">
        <f>SUM(D6:D12)</f>
        <v>8680.9677697786829</v>
      </c>
      <c r="E5" s="17">
        <f>SUM(E6:E12)</f>
        <v>34.90220598051495</v>
      </c>
      <c r="F5" s="17">
        <f>SUM(F6:F12)</f>
        <v>1391.5402818252151</v>
      </c>
      <c r="G5" s="18"/>
      <c r="H5" s="17"/>
      <c r="I5" s="17"/>
      <c r="J5" s="17">
        <f>SUM(J6:J12)</f>
        <v>5.6450139120091674</v>
      </c>
      <c r="K5" s="17"/>
      <c r="L5" s="17"/>
      <c r="M5" s="17"/>
      <c r="N5" s="17">
        <f>SUM(N6:N12)</f>
        <v>2238.8367953939546</v>
      </c>
      <c r="O5" s="17">
        <f>B38*B39*B40</f>
        <v>4.6900000000000004</v>
      </c>
      <c r="P5" s="17">
        <f>B46*B47*B48/1000-B46*B47*B48/1000/B49</f>
        <v>19.066666666666666</v>
      </c>
      <c r="R5" s="32"/>
    </row>
    <row r="6" spans="1:18">
      <c r="A6" s="32" t="s">
        <v>53</v>
      </c>
      <c r="B6" s="37">
        <f>B26</f>
        <v>1406.5359019503701</v>
      </c>
      <c r="C6" s="33"/>
      <c r="D6" s="37">
        <f>IF(ISERROR(TER_kantoor_gas_kWh/1000),0,TER_kantoor_gas_kWh/1000)*0.902</f>
        <v>3416.8600893562248</v>
      </c>
      <c r="E6" s="33">
        <f>$C$26*'E Balans VL '!I12/100/3.6*1000000</f>
        <v>11.87238978022955</v>
      </c>
      <c r="F6" s="33">
        <f>$C$26*('E Balans VL '!L12+'E Balans VL '!N12)/100/3.6*1000000</f>
        <v>188.60089116552064</v>
      </c>
      <c r="G6" s="34"/>
      <c r="H6" s="33"/>
      <c r="I6" s="33"/>
      <c r="J6" s="33">
        <f>$C$26*('E Balans VL '!D12+'E Balans VL '!E12)/100/3.6*1000000</f>
        <v>0</v>
      </c>
      <c r="K6" s="33"/>
      <c r="L6" s="33"/>
      <c r="M6" s="33"/>
      <c r="N6" s="33">
        <f>$C$26*'E Balans VL '!Y12/100/3.6*1000000</f>
        <v>12.370048243747272</v>
      </c>
      <c r="O6" s="33"/>
      <c r="P6" s="33"/>
      <c r="R6" s="32"/>
    </row>
    <row r="7" spans="1:18">
      <c r="A7" s="32" t="s">
        <v>52</v>
      </c>
      <c r="B7" s="37">
        <f t="shared" ref="B7:B12" si="0">B27</f>
        <v>330.31370939620604</v>
      </c>
      <c r="C7" s="33"/>
      <c r="D7" s="37">
        <f>IF(ISERROR(TER_horeca_gas_kWh/1000),0,TER_horeca_gas_kWh/1000)*0.902</f>
        <v>462.01841435095929</v>
      </c>
      <c r="E7" s="33">
        <f>$C$27*'E Balans VL '!I9/100/3.6*1000000</f>
        <v>4.3429658316651309</v>
      </c>
      <c r="F7" s="33">
        <f>$C$27*('E Balans VL '!L9+'E Balans VL '!N9)/100/3.6*1000000</f>
        <v>82.954108894162388</v>
      </c>
      <c r="G7" s="34"/>
      <c r="H7" s="33"/>
      <c r="I7" s="33"/>
      <c r="J7" s="33">
        <f>$C$27*('E Balans VL '!D9+'E Balans VL '!E9)/100/3.6*1000000</f>
        <v>0</v>
      </c>
      <c r="K7" s="33"/>
      <c r="L7" s="33"/>
      <c r="M7" s="33"/>
      <c r="N7" s="33">
        <f>$C$27*'E Balans VL '!Y9/100/3.6*1000000</f>
        <v>8.9923852823098394E-2</v>
      </c>
      <c r="O7" s="33"/>
      <c r="P7" s="33"/>
      <c r="R7" s="32"/>
    </row>
    <row r="8" spans="1:18">
      <c r="A8" s="6" t="s">
        <v>51</v>
      </c>
      <c r="B8" s="37">
        <f t="shared" si="0"/>
        <v>1437.0790865266902</v>
      </c>
      <c r="C8" s="33"/>
      <c r="D8" s="37">
        <f>IF(ISERROR(TER_handel_gas_kWh/1000),0,TER_handel_gas_kWh/1000)*0.902</f>
        <v>324.24291890584323</v>
      </c>
      <c r="E8" s="33">
        <f>$C$28*'E Balans VL '!I13/100/3.6*1000000</f>
        <v>6.2934979768107544</v>
      </c>
      <c r="F8" s="33">
        <f>$C$28*('E Balans VL '!L13+'E Balans VL '!N13)/100/3.6*1000000</f>
        <v>96.59272721138079</v>
      </c>
      <c r="G8" s="34"/>
      <c r="H8" s="33"/>
      <c r="I8" s="33"/>
      <c r="J8" s="33">
        <f>$C$28*('E Balans VL '!D13+'E Balans VL '!E13)/100/3.6*1000000</f>
        <v>0</v>
      </c>
      <c r="K8" s="33"/>
      <c r="L8" s="33"/>
      <c r="M8" s="33"/>
      <c r="N8" s="33">
        <f>$C$28*'E Balans VL '!Y13/100/3.6*1000000</f>
        <v>4.2454984767778718</v>
      </c>
      <c r="O8" s="33"/>
      <c r="P8" s="33"/>
      <c r="R8" s="32"/>
    </row>
    <row r="9" spans="1:18">
      <c r="A9" s="32" t="s">
        <v>50</v>
      </c>
      <c r="B9" s="37">
        <f t="shared" si="0"/>
        <v>15.914474158325801</v>
      </c>
      <c r="C9" s="33"/>
      <c r="D9" s="37">
        <f>IF(ISERROR(TER_gezond_gas_kWh/1000),0,TER_gezond_gas_kWh/1000)*0.902</f>
        <v>98.772985225317171</v>
      </c>
      <c r="E9" s="33">
        <f>$C$29*'E Balans VL '!I10/100/3.6*1000000</f>
        <v>5.4730579260051796E-3</v>
      </c>
      <c r="F9" s="33">
        <f>$C$29*('E Balans VL '!L10+'E Balans VL '!N10)/100/3.6*1000000</f>
        <v>1.390987725421458</v>
      </c>
      <c r="G9" s="34"/>
      <c r="H9" s="33"/>
      <c r="I9" s="33"/>
      <c r="J9" s="33">
        <f>$C$29*('E Balans VL '!D10+'E Balans VL '!E10)/100/3.6*1000000</f>
        <v>0.66014603612768996</v>
      </c>
      <c r="K9" s="33"/>
      <c r="L9" s="33"/>
      <c r="M9" s="33"/>
      <c r="N9" s="33">
        <f>$C$29*'E Balans VL '!Y10/100/3.6*1000000</f>
        <v>0.16685738055576715</v>
      </c>
      <c r="O9" s="33"/>
      <c r="P9" s="33"/>
      <c r="R9" s="32"/>
    </row>
    <row r="10" spans="1:18">
      <c r="A10" s="32" t="s">
        <v>49</v>
      </c>
      <c r="B10" s="37">
        <f t="shared" si="0"/>
        <v>3543.2407014329096</v>
      </c>
      <c r="C10" s="33"/>
      <c r="D10" s="37">
        <f>IF(ISERROR(TER_ander_gas_kWh/1000),0,TER_ander_gas_kWh/1000)*0.902</f>
        <v>440.31256360260687</v>
      </c>
      <c r="E10" s="33">
        <f>$C$30*'E Balans VL '!I14/100/3.6*1000000</f>
        <v>2.1072945304508193</v>
      </c>
      <c r="F10" s="33">
        <f>$C$30*('E Balans VL '!L14+'E Balans VL '!N14)/100/3.6*1000000</f>
        <v>627.34188830364246</v>
      </c>
      <c r="G10" s="34"/>
      <c r="H10" s="33"/>
      <c r="I10" s="33"/>
      <c r="J10" s="33">
        <f>$C$30*('E Balans VL '!D14+'E Balans VL '!E14)/100/3.6*1000000</f>
        <v>0</v>
      </c>
      <c r="K10" s="33"/>
      <c r="L10" s="33"/>
      <c r="M10" s="33"/>
      <c r="N10" s="33">
        <f>$C$30*'E Balans VL '!Y14/100/3.6*1000000</f>
        <v>2103.8555371569764</v>
      </c>
      <c r="O10" s="33"/>
      <c r="P10" s="33"/>
      <c r="R10" s="32"/>
    </row>
    <row r="11" spans="1:18">
      <c r="A11" s="32" t="s">
        <v>54</v>
      </c>
      <c r="B11" s="37">
        <f t="shared" si="0"/>
        <v>546.60476417480004</v>
      </c>
      <c r="C11" s="33"/>
      <c r="D11" s="37">
        <f>IF(ISERROR(TER_onderwijs_gas_kWh/1000),0,TER_onderwijs_gas_kWh/1000)*0.902</f>
        <v>0</v>
      </c>
      <c r="E11" s="33">
        <f>$C$31*'E Balans VL '!I11/100/3.6*1000000</f>
        <v>0.3635747181321955</v>
      </c>
      <c r="F11" s="33">
        <f>$C$31*('E Balans VL '!L11+'E Balans VL '!N11)/100/3.6*1000000</f>
        <v>175.12151594980705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1636.9341085994599</v>
      </c>
      <c r="C12" s="33"/>
      <c r="D12" s="37">
        <f>IF(ISERROR(TER_rest_gas_kWh/1000),0,TER_rest_gas_kWh/1000)*0.902</f>
        <v>3938.7607983377316</v>
      </c>
      <c r="E12" s="33">
        <f>$C$32*'E Balans VL '!I8/100/3.6*1000000</f>
        <v>9.9170100853004932</v>
      </c>
      <c r="F12" s="33">
        <f>$C$32*('E Balans VL '!L8+'E Balans VL '!N8)/100/3.6*1000000</f>
        <v>219.5381625752803</v>
      </c>
      <c r="G12" s="34"/>
      <c r="H12" s="33"/>
      <c r="I12" s="33"/>
      <c r="J12" s="33">
        <f>$C$32*('E Balans VL '!D8+'E Balans VL '!E8)/100/3.6*1000000</f>
        <v>4.9848678758814771</v>
      </c>
      <c r="K12" s="33"/>
      <c r="L12" s="33"/>
      <c r="M12" s="33"/>
      <c r="N12" s="33">
        <f>$C$32*'E Balans VL '!Y8/100/3.6*1000000</f>
        <v>118.10893028307412</v>
      </c>
      <c r="O12" s="33"/>
      <c r="P12" s="33"/>
      <c r="R12" s="32"/>
    </row>
    <row r="13" spans="1:18">
      <c r="A13" s="16" t="s">
        <v>483</v>
      </c>
      <c r="B13" s="245">
        <f ca="1">'lokale energieproductie'!N38+'lokale energieproductie'!N31</f>
        <v>4918.5</v>
      </c>
      <c r="C13" s="245">
        <f ca="1">'lokale energieproductie'!O38+'lokale energieproductie'!O31</f>
        <v>60.75</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-135</v>
      </c>
      <c r="M13" s="246"/>
      <c r="N13" s="305">
        <f ca="1">('lokale energieproductie'!Q31+'lokale energieproductie'!R31+'lokale energieproductie'!V31+'lokale energieproductie'!Q38+'lokale energieproductie'!R38+'lokale energieproductie'!V38)*(-1)</f>
        <v>-13898.571428571429</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13835.122746238761</v>
      </c>
      <c r="C16" s="21">
        <f t="shared" ca="1" si="1"/>
        <v>60.75</v>
      </c>
      <c r="D16" s="21">
        <f t="shared" ca="1" si="1"/>
        <v>8680.9677697786829</v>
      </c>
      <c r="E16" s="21">
        <f t="shared" si="1"/>
        <v>34.90220598051495</v>
      </c>
      <c r="F16" s="21">
        <f t="shared" ca="1" si="1"/>
        <v>1391.5402818252151</v>
      </c>
      <c r="G16" s="21">
        <f t="shared" si="1"/>
        <v>0</v>
      </c>
      <c r="H16" s="21">
        <f t="shared" si="1"/>
        <v>0</v>
      </c>
      <c r="I16" s="21">
        <f t="shared" si="1"/>
        <v>0</v>
      </c>
      <c r="J16" s="21">
        <f t="shared" si="1"/>
        <v>5.6450139120091674</v>
      </c>
      <c r="K16" s="21">
        <f t="shared" si="1"/>
        <v>0</v>
      </c>
      <c r="L16" s="21">
        <f t="shared" ca="1" si="1"/>
        <v>0</v>
      </c>
      <c r="M16" s="21">
        <f t="shared" si="1"/>
        <v>0</v>
      </c>
      <c r="N16" s="21">
        <f t="shared" ca="1" si="1"/>
        <v>0</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0.17869615305217088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2472.2832117574521</v>
      </c>
      <c r="C20" s="23">
        <f t="shared" ref="C20:P20" ca="1" si="2">C16*C18</f>
        <v>0</v>
      </c>
      <c r="D20" s="23">
        <f t="shared" ca="1" si="2"/>
        <v>1753.5554894952941</v>
      </c>
      <c r="E20" s="23">
        <f t="shared" si="2"/>
        <v>7.9228007575768942</v>
      </c>
      <c r="F20" s="23">
        <f t="shared" ca="1" si="2"/>
        <v>371.54125524733246</v>
      </c>
      <c r="G20" s="23">
        <f t="shared" si="2"/>
        <v>0</v>
      </c>
      <c r="H20" s="23">
        <f t="shared" si="2"/>
        <v>0</v>
      </c>
      <c r="I20" s="23">
        <f t="shared" si="2"/>
        <v>0</v>
      </c>
      <c r="J20" s="23">
        <f t="shared" si="2"/>
        <v>1.9983349248512452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1406.5359019503701</v>
      </c>
      <c r="C26" s="39">
        <f>IF(ISERROR(B26*3.6/1000000/'E Balans VL '!Z12*100),0,B26*3.6/1000000/'E Balans VL '!Z12*100)</f>
        <v>2.9479246348441294E-2</v>
      </c>
      <c r="D26" s="235" t="s">
        <v>647</v>
      </c>
      <c r="F26" s="6"/>
    </row>
    <row r="27" spans="1:18">
      <c r="A27" s="230" t="s">
        <v>52</v>
      </c>
      <c r="B27" s="33">
        <f>IF(ISERROR(TER_horeca_ele_kWh/1000),0,TER_horeca_ele_kWh/1000)</f>
        <v>330.31370939620604</v>
      </c>
      <c r="C27" s="39">
        <f>IF(ISERROR(B27*3.6/1000000/'E Balans VL '!Z9*100),0,B27*3.6/1000000/'E Balans VL '!Z9*100)</f>
        <v>2.5325095262141328E-2</v>
      </c>
      <c r="D27" s="235" t="s">
        <v>647</v>
      </c>
      <c r="F27" s="6"/>
    </row>
    <row r="28" spans="1:18">
      <c r="A28" s="170" t="s">
        <v>51</v>
      </c>
      <c r="B28" s="33">
        <f>IF(ISERROR(TER_handel_ele_kWh/1000),0,TER_handel_ele_kWh/1000)</f>
        <v>1437.0790865266902</v>
      </c>
      <c r="C28" s="39">
        <f>IF(ISERROR(B28*3.6/1000000/'E Balans VL '!Z13*100),0,B28*3.6/1000000/'E Balans VL '!Z13*100)</f>
        <v>4.0542121038255725E-2</v>
      </c>
      <c r="D28" s="235" t="s">
        <v>647</v>
      </c>
      <c r="F28" s="6"/>
    </row>
    <row r="29" spans="1:18">
      <c r="A29" s="230" t="s">
        <v>50</v>
      </c>
      <c r="B29" s="33">
        <f>IF(ISERROR(TER_gezond_ele_kWh/1000),0,TER_gezond_ele_kWh/1000)</f>
        <v>15.914474158325801</v>
      </c>
      <c r="C29" s="39">
        <f>IF(ISERROR(B29*3.6/1000000/'E Balans VL '!Z10*100),0,B29*3.6/1000000/'E Balans VL '!Z10*100)</f>
        <v>1.7671044264945192E-3</v>
      </c>
      <c r="D29" s="235" t="s">
        <v>647</v>
      </c>
      <c r="F29" s="6"/>
    </row>
    <row r="30" spans="1:18">
      <c r="A30" s="230" t="s">
        <v>49</v>
      </c>
      <c r="B30" s="33">
        <f>IF(ISERROR(TER_ander_ele_kWh/1000),0,TER_ander_ele_kWh/1000)</f>
        <v>3543.2407014329096</v>
      </c>
      <c r="C30" s="39">
        <f>IF(ISERROR(B30*3.6/1000000/'E Balans VL '!Z14*100),0,B30*3.6/1000000/'E Balans VL '!Z14*100)</f>
        <v>0.25566405511927698</v>
      </c>
      <c r="D30" s="235" t="s">
        <v>647</v>
      </c>
      <c r="F30" s="6"/>
    </row>
    <row r="31" spans="1:18">
      <c r="A31" s="230" t="s">
        <v>54</v>
      </c>
      <c r="B31" s="33">
        <f>IF(ISERROR(TER_onderwijs_ele_kWh/1000),0,TER_onderwijs_ele_kWh/1000)</f>
        <v>546.60476417480004</v>
      </c>
      <c r="C31" s="39">
        <f>IF(ISERROR(B31*3.6/1000000/'E Balans VL '!Z11*100),0,B31*3.6/1000000/'E Balans VL '!Z11*100)</f>
        <v>0.15151451091601195</v>
      </c>
      <c r="D31" s="235" t="s">
        <v>647</v>
      </c>
    </row>
    <row r="32" spans="1:18">
      <c r="A32" s="230" t="s">
        <v>249</v>
      </c>
      <c r="B32" s="33">
        <f>IF(ISERROR(TER_rest_ele_kWh/1000),0,TER_rest_ele_kWh/1000)</f>
        <v>1636.9341085994599</v>
      </c>
      <c r="C32" s="39">
        <f>IF(ISERROR(B32*3.6/1000000/'E Balans VL '!Z8*100),0,B32*3.6/1000000/'E Balans VL '!Z8*100)</f>
        <v>1.3343687013000007E-2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1170.863606700317</v>
      </c>
      <c r="C5" s="17">
        <f>IF(ISERROR('Eigen informatie GS &amp; warmtenet'!B59),0,'Eigen informatie GS &amp; warmtenet'!B59)</f>
        <v>0</v>
      </c>
      <c r="D5" s="30">
        <f>SUM(D6:D15)</f>
        <v>628.53575508186168</v>
      </c>
      <c r="E5" s="17">
        <f>SUM(E6:E15)</f>
        <v>175.09872822138519</v>
      </c>
      <c r="F5" s="17">
        <f>SUM(F6:F15)</f>
        <v>688.01443592969042</v>
      </c>
      <c r="G5" s="18"/>
      <c r="H5" s="17"/>
      <c r="I5" s="17"/>
      <c r="J5" s="17">
        <f>SUM(J6:J15)</f>
        <v>1.2700382920600206</v>
      </c>
      <c r="K5" s="17"/>
      <c r="L5" s="17"/>
      <c r="M5" s="17"/>
      <c r="N5" s="17">
        <f>SUM(N6:N15)</f>
        <v>111.95974687249954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22.956</v>
      </c>
      <c r="C8" s="33"/>
      <c r="D8" s="37">
        <f>IF( ISERROR(IND_metaal_Gas_kWH/1000),0,IND_metaal_Gas_kWH/1000)*0.902</f>
        <v>0</v>
      </c>
      <c r="E8" s="33">
        <f>C30*'E Balans VL '!I18/100/3.6*1000000</f>
        <v>0.65938248625324847</v>
      </c>
      <c r="F8" s="33">
        <f>C30*'E Balans VL '!L18/100/3.6*1000000+C30*'E Balans VL '!N18/100/3.6*1000000</f>
        <v>5.8877724926704147</v>
      </c>
      <c r="G8" s="34"/>
      <c r="H8" s="33"/>
      <c r="I8" s="33"/>
      <c r="J8" s="40">
        <f>C30*'E Balans VL '!D18/100/3.6*1000000+C30*'E Balans VL '!E18/100/3.6*1000000</f>
        <v>0</v>
      </c>
      <c r="K8" s="33"/>
      <c r="L8" s="33"/>
      <c r="M8" s="33"/>
      <c r="N8" s="33">
        <f>C30*'E Balans VL '!Y18/100/3.6*1000000</f>
        <v>0.62330225983499477</v>
      </c>
      <c r="O8" s="33"/>
      <c r="P8" s="33"/>
      <c r="R8" s="32"/>
    </row>
    <row r="9" spans="1:18">
      <c r="A9" s="6" t="s">
        <v>32</v>
      </c>
      <c r="B9" s="37">
        <f t="shared" si="0"/>
        <v>494.75032650458996</v>
      </c>
      <c r="C9" s="33"/>
      <c r="D9" s="37">
        <f>IF( ISERROR(IND_andere_gas_kWh/1000),0,IND_andere_gas_kWh/1000)*0.902</f>
        <v>0</v>
      </c>
      <c r="E9" s="33">
        <f>C31*'E Balans VL '!I19/100/3.6*1000000</f>
        <v>133.91674893850418</v>
      </c>
      <c r="F9" s="33">
        <f>C31*'E Balans VL '!L19/100/3.6*1000000+C31*'E Balans VL '!N19/100/3.6*1000000</f>
        <v>329.55607297315896</v>
      </c>
      <c r="G9" s="34"/>
      <c r="H9" s="33"/>
      <c r="I9" s="33"/>
      <c r="J9" s="40">
        <f>C31*'E Balans VL '!D19/100/3.6*1000000+C31*'E Balans VL '!E19/100/3.6*1000000</f>
        <v>0</v>
      </c>
      <c r="K9" s="33"/>
      <c r="L9" s="33"/>
      <c r="M9" s="33"/>
      <c r="N9" s="33">
        <f>C31*'E Balans VL '!Y19/100/3.6*1000000</f>
        <v>41.827862759302576</v>
      </c>
      <c r="O9" s="33"/>
      <c r="P9" s="33"/>
      <c r="R9" s="32"/>
    </row>
    <row r="10" spans="1:18">
      <c r="A10" s="6" t="s">
        <v>40</v>
      </c>
      <c r="B10" s="37">
        <f t="shared" si="0"/>
        <v>158.45928629990502</v>
      </c>
      <c r="C10" s="33"/>
      <c r="D10" s="37">
        <f>IF( ISERROR(IND_voed_gas_kWh/1000),0,IND_voed_gas_kWh/1000)*0.902</f>
        <v>360.71799728040514</v>
      </c>
      <c r="E10" s="33">
        <f>C32*'E Balans VL '!I20/100/3.6*1000000</f>
        <v>12.924303441357431</v>
      </c>
      <c r="F10" s="33">
        <f>C32*'E Balans VL '!L20/100/3.6*1000000+C32*'E Balans VL '!N20/100/3.6*1000000</f>
        <v>236.27717255931526</v>
      </c>
      <c r="G10" s="34"/>
      <c r="H10" s="33"/>
      <c r="I10" s="33"/>
      <c r="J10" s="40">
        <f>C32*'E Balans VL '!D20/100/3.6*1000000+C32*'E Balans VL '!E20/100/3.6*1000000</f>
        <v>2.096224013977209E-3</v>
      </c>
      <c r="K10" s="33"/>
      <c r="L10" s="33"/>
      <c r="M10" s="33"/>
      <c r="N10" s="33">
        <f>C32*'E Balans VL '!Y20/100/3.6*1000000</f>
        <v>46.549746889609992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494.69799389582198</v>
      </c>
      <c r="C15" s="33"/>
      <c r="D15" s="37">
        <f>IF( ISERROR(IND_rest_gas_kWh/1000),0,IND_rest_gas_kWh/1000)*0.902</f>
        <v>267.81775780145659</v>
      </c>
      <c r="E15" s="33">
        <f>C37*'E Balans VL '!I15/100/3.6*1000000</f>
        <v>27.598293355270322</v>
      </c>
      <c r="F15" s="33">
        <f>C37*'E Balans VL '!L15/100/3.6*1000000+C37*'E Balans VL '!N15/100/3.6*1000000</f>
        <v>116.29341790454578</v>
      </c>
      <c r="G15" s="34"/>
      <c r="H15" s="33"/>
      <c r="I15" s="33"/>
      <c r="J15" s="40">
        <f>C37*'E Balans VL '!D15/100/3.6*1000000+C37*'E Balans VL '!E15/100/3.6*1000000</f>
        <v>1.2679420680460434</v>
      </c>
      <c r="K15" s="33"/>
      <c r="L15" s="33"/>
      <c r="M15" s="33"/>
      <c r="N15" s="33">
        <f>C37*'E Balans VL '!Y15/100/3.6*1000000</f>
        <v>22.958834963751979</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1170.863606700317</v>
      </c>
      <c r="C18" s="21">
        <f>C5+C16</f>
        <v>0</v>
      </c>
      <c r="D18" s="21">
        <f>MAX((D5+D16),0)</f>
        <v>628.53575508186168</v>
      </c>
      <c r="E18" s="21">
        <f>MAX((E5+E16),0)</f>
        <v>175.09872822138519</v>
      </c>
      <c r="F18" s="21">
        <f>MAX((F5+F16),0)</f>
        <v>688.01443592969042</v>
      </c>
      <c r="G18" s="21"/>
      <c r="H18" s="21"/>
      <c r="I18" s="21"/>
      <c r="J18" s="21">
        <f>MAX((J5+J16),0)</f>
        <v>1.2700382920600206</v>
      </c>
      <c r="K18" s="21"/>
      <c r="L18" s="21">
        <f>MAX((L5+L16),0)</f>
        <v>0</v>
      </c>
      <c r="M18" s="21"/>
      <c r="N18" s="21">
        <f>MAX((N5+N16),0)</f>
        <v>111.95974687249954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0.17869615305217088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209.22882226613663</v>
      </c>
      <c r="C22" s="23">
        <f ca="1">C18*C20</f>
        <v>0</v>
      </c>
      <c r="D22" s="23">
        <f>D18*D20</f>
        <v>126.96422252653606</v>
      </c>
      <c r="E22" s="23">
        <f>E18*E20</f>
        <v>39.747411306254442</v>
      </c>
      <c r="F22" s="23">
        <f>F18*F20</f>
        <v>183.69985439322735</v>
      </c>
      <c r="G22" s="23"/>
      <c r="H22" s="23"/>
      <c r="I22" s="23"/>
      <c r="J22" s="23">
        <f>J18*J20</f>
        <v>0.44959355538924728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22.956</v>
      </c>
      <c r="C30" s="39">
        <f>IF(ISERROR(B30*3.6/1000000/'E Balans VL '!Z18*100),0,B30*3.6/1000000/'E Balans VL '!Z18*100)</f>
        <v>2.2588117995744139E-3</v>
      </c>
      <c r="D30" s="235" t="s">
        <v>647</v>
      </c>
    </row>
    <row r="31" spans="1:18">
      <c r="A31" s="6" t="s">
        <v>32</v>
      </c>
      <c r="B31" s="37">
        <f>IF( ISERROR(IND_ander_ele_kWh/1000),0,IND_ander_ele_kWh/1000)</f>
        <v>494.75032650458996</v>
      </c>
      <c r="C31" s="39">
        <f>IF(ISERROR(B31*3.6/1000000/'E Balans VL '!Z19*100),0,B31*3.6/1000000/'E Balans VL '!Z19*100)</f>
        <v>2.1545982060827081E-2</v>
      </c>
      <c r="D31" s="235" t="s">
        <v>647</v>
      </c>
    </row>
    <row r="32" spans="1:18">
      <c r="A32" s="170" t="s">
        <v>40</v>
      </c>
      <c r="B32" s="37">
        <f>IF( ISERROR(IND_voed_ele_kWh/1000),0,IND_voed_ele_kWh/1000)</f>
        <v>158.45928629990502</v>
      </c>
      <c r="C32" s="39">
        <f>IF(ISERROR(B32*3.6/1000000/'E Balans VL '!Z20*100),0,B32*3.6/1000000/'E Balans VL '!Z20*100)</f>
        <v>3.0065364343895045E-2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494.69799389582198</v>
      </c>
      <c r="C37" s="39">
        <f>IF(ISERROR(B37*3.6/1000000/'E Balans VL '!Z15*100),0,B37*3.6/1000000/'E Balans VL '!Z15*100)</f>
        <v>3.8122556573504818E-3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387.15988477323742</v>
      </c>
      <c r="C5" s="17">
        <f>'Eigen informatie GS &amp; warmtenet'!B60</f>
        <v>0</v>
      </c>
      <c r="D5" s="30">
        <f>IF(ISERROR(SUM(LB_lb_gas_kWh,LB_rest_gas_kWh)/1000),0,SUM(LB_lb_gas_kWh,LB_rest_gas_kWh)/1000)*0.902</f>
        <v>41.545569933941636</v>
      </c>
      <c r="E5" s="17">
        <f>B17*'E Balans VL '!I25/3.6*1000000/100</f>
        <v>8.0392627915242372</v>
      </c>
      <c r="F5" s="17">
        <f>B17*('E Balans VL '!L25/3.6*1000000+'E Balans VL '!N25/3.6*1000000)/100</f>
        <v>1368.2329119780513</v>
      </c>
      <c r="G5" s="18"/>
      <c r="H5" s="17"/>
      <c r="I5" s="17"/>
      <c r="J5" s="17">
        <f>('E Balans VL '!D25+'E Balans VL '!E25)/3.6*1000000*landbouw!B17/100</f>
        <v>44.404790062909996</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387.15988477323742</v>
      </c>
      <c r="C8" s="21">
        <f>C5+C6</f>
        <v>0</v>
      </c>
      <c r="D8" s="21">
        <f>MAX((D5+D6),0)</f>
        <v>41.545569933941636</v>
      </c>
      <c r="E8" s="21">
        <f>MAX((E5+E6),0)</f>
        <v>8.0392627915242372</v>
      </c>
      <c r="F8" s="21">
        <f>MAX((F5+F6),0)</f>
        <v>1368.2329119780513</v>
      </c>
      <c r="G8" s="21"/>
      <c r="H8" s="21"/>
      <c r="I8" s="21"/>
      <c r="J8" s="21">
        <f>MAX((J5+J6),0)</f>
        <v>44.404790062909996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0.17869615305217088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69.183982025099269</v>
      </c>
      <c r="C12" s="23">
        <f ca="1">C8*C10</f>
        <v>0</v>
      </c>
      <c r="D12" s="23">
        <f>D8*D10</f>
        <v>8.3922051266562114</v>
      </c>
      <c r="E12" s="23">
        <f>E8*E10</f>
        <v>1.8249126536760019</v>
      </c>
      <c r="F12" s="23">
        <f>F8*F10</f>
        <v>365.31818749813971</v>
      </c>
      <c r="G12" s="23"/>
      <c r="H12" s="23"/>
      <c r="I12" s="23"/>
      <c r="J12" s="23">
        <f>J8*J10</f>
        <v>15.719295682270138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5.3996601354612678E-2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141.78192357273198</v>
      </c>
      <c r="C26" s="245">
        <f>B26*'GWP N2O_CH4'!B5</f>
        <v>2977.4203950273718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20.435031588087618</v>
      </c>
      <c r="C27" s="245">
        <f>B27*'GWP N2O_CH4'!B5</f>
        <v>429.13566334984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2.226480840536432</v>
      </c>
      <c r="C28" s="245">
        <f>B28*'GWP N2O_CH4'!B4</f>
        <v>690.20906056629394</v>
      </c>
      <c r="D28" s="50"/>
    </row>
    <row r="29" spans="1:4">
      <c r="A29" s="41" t="s">
        <v>266</v>
      </c>
      <c r="B29" s="245">
        <f>B34*'ha_N2O bodem landbouw'!B4</f>
        <v>11.252063030076664</v>
      </c>
      <c r="C29" s="245">
        <f>B29*'GWP N2O_CH4'!B4</f>
        <v>3488.1395393237658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2.8095277048582968E-3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1.8907425913783744E-5</v>
      </c>
      <c r="C5" s="434" t="s">
        <v>204</v>
      </c>
      <c r="D5" s="419">
        <f>SUM(D6:D11)</f>
        <v>2.149288538137997E-5</v>
      </c>
      <c r="E5" s="419">
        <f>SUM(E6:E11)</f>
        <v>7.4762786504369385E-4</v>
      </c>
      <c r="F5" s="432" t="s">
        <v>204</v>
      </c>
      <c r="G5" s="419">
        <f>SUM(G6:G11)</f>
        <v>0.16739633405781335</v>
      </c>
      <c r="H5" s="419">
        <f>SUM(H6:H11)</f>
        <v>3.8590817680167387E-2</v>
      </c>
      <c r="I5" s="434" t="s">
        <v>204</v>
      </c>
      <c r="J5" s="434" t="s">
        <v>204</v>
      </c>
      <c r="K5" s="434" t="s">
        <v>204</v>
      </c>
      <c r="L5" s="434" t="s">
        <v>204</v>
      </c>
      <c r="M5" s="419">
        <f>SUM(M6:M11)</f>
        <v>9.3172920020582542E-3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9.2434619493306974E-6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8.1990241761206821E-6</v>
      </c>
      <c r="E6" s="836">
        <f>vkm_GW_PW*SUMIFS(TableVerdeelsleutelVkm[LPG],TableVerdeelsleutelVkm[Voertuigtype],"Lichte voertuigen")*SUMIFS(TableECFTransport[EnergieConsumptieFactor (PJ per km)],TableECFTransport[Index],CONCATENATE($A6,"_LPG_LPG"))</f>
        <v>2.9442019128003846E-4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5.8529094439169774E-2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1.510892955733396E-2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3.3313981192820523E-3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8.6468378643170988E-8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1.3531015593703868E-2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3.5594133931282137E-7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6.1094836870924808E-4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9.5260657219082622E-6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1.3293861205259287E-5</v>
      </c>
      <c r="E8" s="422">
        <f>vkm_NGW_PW*SUMIFS(TableVerdeelsleutelVkm[LPG],TableVerdeelsleutelVkm[Voertuigtype],"Lichte voertuigen")*SUMIFS(TableECFTransport[EnergieConsumptieFactor (PJ per km)],TableECFTransport[Index],CONCATENATE($A8,"_LPG_LPG"))</f>
        <v>4.5320767376365545E-4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8.4998415010557465E-2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2.3481276644997787E-2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4.9081766015750278E-3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5.1429863901616039E-8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1.0337809014382245E-2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2.5553649633296163E-7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4.6676891249192458E-4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5.2520627538288176</v>
      </c>
      <c r="C14" s="21"/>
      <c r="D14" s="21">
        <f t="shared" ref="D14:M14" si="0">((D5)*10^9/3600)+D12</f>
        <v>5.9702459392722131</v>
      </c>
      <c r="E14" s="21">
        <f t="shared" si="0"/>
        <v>207.67440695658161</v>
      </c>
      <c r="F14" s="21"/>
      <c r="G14" s="21">
        <f t="shared" si="0"/>
        <v>46498.981682725927</v>
      </c>
      <c r="H14" s="21">
        <f t="shared" si="0"/>
        <v>10719.671577824274</v>
      </c>
      <c r="I14" s="21"/>
      <c r="J14" s="21"/>
      <c r="K14" s="21"/>
      <c r="L14" s="21"/>
      <c r="M14" s="21">
        <f t="shared" si="0"/>
        <v>2588.1366672384042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0.17869615305217088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0.93852340969780046</v>
      </c>
      <c r="C18" s="23"/>
      <c r="D18" s="23">
        <f t="shared" ref="D18:M18" si="1">D14*D16</f>
        <v>1.2059896797329872</v>
      </c>
      <c r="E18" s="23">
        <f t="shared" si="1"/>
        <v>47.14209037914403</v>
      </c>
      <c r="F18" s="23"/>
      <c r="G18" s="23">
        <f t="shared" si="1"/>
        <v>12415.228109287824</v>
      </c>
      <c r="H18" s="23">
        <f t="shared" si="1"/>
        <v>2669.1982228782445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4.4244170765975205E-5</v>
      </c>
      <c r="C50" s="316">
        <f t="shared" ref="C50:P50" si="2">SUM(C51:C52)</f>
        <v>0</v>
      </c>
      <c r="D50" s="316">
        <f t="shared" si="2"/>
        <v>0</v>
      </c>
      <c r="E50" s="316">
        <f t="shared" si="2"/>
        <v>0</v>
      </c>
      <c r="F50" s="316">
        <f t="shared" si="2"/>
        <v>0</v>
      </c>
      <c r="G50" s="316">
        <f t="shared" si="2"/>
        <v>8.6118774886893967E-3</v>
      </c>
      <c r="H50" s="316">
        <f t="shared" si="2"/>
        <v>0</v>
      </c>
      <c r="I50" s="316">
        <f t="shared" si="2"/>
        <v>0</v>
      </c>
      <c r="J50" s="316">
        <f t="shared" si="2"/>
        <v>0</v>
      </c>
      <c r="K50" s="316">
        <f t="shared" si="2"/>
        <v>0</v>
      </c>
      <c r="L50" s="316">
        <f t="shared" si="2"/>
        <v>0</v>
      </c>
      <c r="M50" s="316">
        <f t="shared" si="2"/>
        <v>3.8616382285484418E-4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4.4244170765975205E-5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8.6118774886893967E-3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3.8616382285484418E-4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12.290047434993113</v>
      </c>
      <c r="C54" s="21">
        <f t="shared" ref="C54:P54" si="3">(C50)*10^9/3600</f>
        <v>0</v>
      </c>
      <c r="D54" s="21">
        <f t="shared" si="3"/>
        <v>0</v>
      </c>
      <c r="E54" s="21">
        <f t="shared" si="3"/>
        <v>0</v>
      </c>
      <c r="F54" s="21">
        <f t="shared" si="3"/>
        <v>0</v>
      </c>
      <c r="G54" s="21">
        <f t="shared" si="3"/>
        <v>2392.18819130261</v>
      </c>
      <c r="H54" s="21">
        <f t="shared" si="3"/>
        <v>0</v>
      </c>
      <c r="I54" s="21">
        <f t="shared" si="3"/>
        <v>0</v>
      </c>
      <c r="J54" s="21">
        <f t="shared" si="3"/>
        <v>0</v>
      </c>
      <c r="K54" s="21">
        <f t="shared" si="3"/>
        <v>0</v>
      </c>
      <c r="L54" s="21">
        <f t="shared" si="3"/>
        <v>0</v>
      </c>
      <c r="M54" s="21">
        <f t="shared" si="3"/>
        <v>107.26772857079004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0.17869615305217088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2.1961841974619696</v>
      </c>
      <c r="C58" s="23">
        <f t="shared" ref="C58:P58" ca="1" si="4">C54*C56</f>
        <v>0</v>
      </c>
      <c r="D58" s="23">
        <f t="shared" si="4"/>
        <v>0</v>
      </c>
      <c r="E58" s="23">
        <f t="shared" si="4"/>
        <v>0</v>
      </c>
      <c r="F58" s="23">
        <f t="shared" si="4"/>
        <v>0</v>
      </c>
      <c r="G58" s="23">
        <f t="shared" si="4"/>
        <v>638.71424707779693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1826.5567607566563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54</v>
      </c>
      <c r="C8" s="546">
        <f>B48</f>
        <v>0</v>
      </c>
      <c r="D8" s="963"/>
      <c r="E8" s="963">
        <f>E48</f>
        <v>0</v>
      </c>
      <c r="F8" s="964"/>
      <c r="G8" s="547"/>
      <c r="H8" s="963">
        <f>I48</f>
        <v>0</v>
      </c>
      <c r="I8" s="963">
        <f>G48+F48</f>
        <v>63.529411764705884</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4864.5</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13898.571428571429</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6745.0567607566563</v>
      </c>
      <c r="C10" s="559">
        <f t="shared" ref="C10:L10" si="0">SUM(C8:C9)</f>
        <v>0</v>
      </c>
      <c r="D10" s="559">
        <f t="shared" si="0"/>
        <v>0</v>
      </c>
      <c r="E10" s="559">
        <f t="shared" si="0"/>
        <v>0</v>
      </c>
      <c r="F10" s="559">
        <f t="shared" si="0"/>
        <v>0</v>
      </c>
      <c r="G10" s="559">
        <f t="shared" si="0"/>
        <v>0</v>
      </c>
      <c r="H10" s="559">
        <f t="shared" si="0"/>
        <v>0</v>
      </c>
      <c r="I10" s="559">
        <f t="shared" si="0"/>
        <v>63.529411764705884</v>
      </c>
      <c r="J10" s="559">
        <f t="shared" si="0"/>
        <v>13898.571428571429</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60.75</v>
      </c>
      <c r="C17" s="571">
        <f>B49</f>
        <v>0</v>
      </c>
      <c r="D17" s="572"/>
      <c r="E17" s="572">
        <f>E49</f>
        <v>0</v>
      </c>
      <c r="F17" s="969"/>
      <c r="G17" s="573"/>
      <c r="H17" s="571">
        <f>I49</f>
        <v>0</v>
      </c>
      <c r="I17" s="572">
        <f>G49+F49</f>
        <v>71.470588235294116</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60.75</v>
      </c>
      <c r="C20" s="558">
        <f>SUM(C17:C19)</f>
        <v>0</v>
      </c>
      <c r="D20" s="558">
        <f t="shared" ref="D20:L20" si="1">SUM(D17:D19)</f>
        <v>0</v>
      </c>
      <c r="E20" s="558">
        <f t="shared" si="1"/>
        <v>0</v>
      </c>
      <c r="F20" s="558">
        <f t="shared" si="1"/>
        <v>0</v>
      </c>
      <c r="G20" s="558">
        <f t="shared" si="1"/>
        <v>0</v>
      </c>
      <c r="H20" s="558">
        <f t="shared" si="1"/>
        <v>0</v>
      </c>
      <c r="I20" s="558">
        <f t="shared" si="1"/>
        <v>71.470588235294116</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24045</v>
      </c>
      <c r="C28" s="741">
        <v>3040</v>
      </c>
      <c r="D28" s="630"/>
      <c r="E28" s="629"/>
      <c r="F28" s="629"/>
      <c r="G28" s="629" t="s">
        <v>908</v>
      </c>
      <c r="H28" s="629" t="s">
        <v>909</v>
      </c>
      <c r="I28" s="629"/>
      <c r="J28" s="740"/>
      <c r="K28" s="740"/>
      <c r="L28" s="629" t="s">
        <v>910</v>
      </c>
      <c r="M28" s="629">
        <v>12</v>
      </c>
      <c r="N28" s="629">
        <v>54</v>
      </c>
      <c r="O28" s="629">
        <v>60.75</v>
      </c>
      <c r="P28" s="629">
        <v>0</v>
      </c>
      <c r="Q28" s="629">
        <v>0</v>
      </c>
      <c r="R28" s="629">
        <v>0</v>
      </c>
      <c r="S28" s="629">
        <v>0</v>
      </c>
      <c r="T28" s="629">
        <v>0</v>
      </c>
      <c r="U28" s="629">
        <v>135</v>
      </c>
      <c r="V28" s="629">
        <v>0</v>
      </c>
      <c r="W28" s="629">
        <v>0</v>
      </c>
      <c r="X28" s="629"/>
      <c r="Y28" s="629">
        <v>1600</v>
      </c>
      <c r="Z28" s="629" t="s">
        <v>49</v>
      </c>
      <c r="AA28" s="631" t="s">
        <v>149</v>
      </c>
    </row>
    <row r="29" spans="1:27" s="566" customFormat="1" hidden="1">
      <c r="A29" s="585" t="s">
        <v>269</v>
      </c>
      <c r="B29" s="586"/>
      <c r="C29" s="586"/>
      <c r="D29" s="586"/>
      <c r="E29" s="586"/>
      <c r="F29" s="586"/>
      <c r="G29" s="586"/>
      <c r="H29" s="586"/>
      <c r="I29" s="586"/>
      <c r="J29" s="586"/>
      <c r="K29" s="586"/>
      <c r="L29" s="587"/>
      <c r="M29" s="587">
        <f>SUM(M28:M28)</f>
        <v>12</v>
      </c>
      <c r="N29" s="587">
        <f>SUM(N28:N28)</f>
        <v>54</v>
      </c>
      <c r="O29" s="587">
        <f>SUM(O28:O28)</f>
        <v>60.75</v>
      </c>
      <c r="P29" s="587">
        <f>SUM(P28:P28)</f>
        <v>0</v>
      </c>
      <c r="Q29" s="587">
        <f>SUM(Q28:Q28)</f>
        <v>0</v>
      </c>
      <c r="R29" s="587">
        <f>SUM(R28:R28)</f>
        <v>0</v>
      </c>
      <c r="S29" s="587">
        <f>SUM(S28:S28)</f>
        <v>0</v>
      </c>
      <c r="T29" s="587">
        <f>SUM(T28:T28)</f>
        <v>0</v>
      </c>
      <c r="U29" s="587">
        <f>SUM(U28:U28)</f>
        <v>135</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12</v>
      </c>
      <c r="N31" s="587">
        <f ca="1">SUMIF($AA$28:AE28,"tertiair",N28:N28)</f>
        <v>54</v>
      </c>
      <c r="O31" s="587">
        <f ca="1">SUMIF($AA$28:AF28,"tertiair",O28:O28)</f>
        <v>60.75</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135</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63.75" hidden="1">
      <c r="A35" s="584"/>
      <c r="B35" s="741">
        <v>24045</v>
      </c>
      <c r="C35" s="741">
        <v>3040</v>
      </c>
      <c r="D35" s="632"/>
      <c r="E35" s="632"/>
      <c r="F35" s="632"/>
      <c r="G35" s="632" t="s">
        <v>911</v>
      </c>
      <c r="H35" s="632" t="s">
        <v>912</v>
      </c>
      <c r="I35" s="632"/>
      <c r="J35" s="740"/>
      <c r="K35" s="740"/>
      <c r="L35" s="632" t="s">
        <v>913</v>
      </c>
      <c r="M35" s="632">
        <v>1081</v>
      </c>
      <c r="N35" s="632">
        <v>4864.5</v>
      </c>
      <c r="O35" s="632">
        <v>0</v>
      </c>
      <c r="P35" s="632">
        <v>0</v>
      </c>
      <c r="Q35" s="632">
        <v>0</v>
      </c>
      <c r="R35" s="632">
        <v>13898.571428571429</v>
      </c>
      <c r="S35" s="632">
        <v>0</v>
      </c>
      <c r="T35" s="632">
        <v>0</v>
      </c>
      <c r="U35" s="632">
        <v>0</v>
      </c>
      <c r="V35" s="632">
        <v>0</v>
      </c>
      <c r="W35" s="632">
        <v>0</v>
      </c>
      <c r="X35" s="632"/>
      <c r="Y35" s="632">
        <v>1600</v>
      </c>
      <c r="Z35" s="632" t="s">
        <v>49</v>
      </c>
      <c r="AA35" s="633" t="s">
        <v>149</v>
      </c>
    </row>
    <row r="36" spans="1:28" s="566" customFormat="1" hidden="1">
      <c r="A36" s="585" t="s">
        <v>269</v>
      </c>
      <c r="B36" s="586"/>
      <c r="C36" s="586"/>
      <c r="D36" s="586"/>
      <c r="E36" s="586"/>
      <c r="F36" s="586"/>
      <c r="G36" s="586"/>
      <c r="H36" s="586"/>
      <c r="I36" s="586"/>
      <c r="J36" s="586"/>
      <c r="K36" s="586"/>
      <c r="L36" s="587"/>
      <c r="M36" s="587">
        <f>SUM(M35:M35)</f>
        <v>1081</v>
      </c>
      <c r="N36" s="587">
        <f>SUM(N35:N35)</f>
        <v>4864.5</v>
      </c>
      <c r="O36" s="587">
        <f>SUM(O35:O35)</f>
        <v>0</v>
      </c>
      <c r="P36" s="587">
        <f>SUM(P35:P35)</f>
        <v>0</v>
      </c>
      <c r="Q36" s="587">
        <f>SUM(Q35:Q35)</f>
        <v>0</v>
      </c>
      <c r="R36" s="587">
        <f>SUM(R35:R35)</f>
        <v>13898.571428571429</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1081</v>
      </c>
      <c r="N38" s="587">
        <f>SUMIF($AA$35:$AA$36,"tertiair",N35:N36)</f>
        <v>4864.5</v>
      </c>
      <c r="O38" s="587">
        <f>SUMIF($AA$35:$AA$36,"tertiair",O35:O36)</f>
        <v>0</v>
      </c>
      <c r="P38" s="587">
        <f>SUMIF($AA$35:$AA$36,"tertiair",P35:P36)</f>
        <v>0</v>
      </c>
      <c r="Q38" s="587">
        <f>SUMIF($AA$35:$AA$36,"tertiair",Q35:Q36)</f>
        <v>0</v>
      </c>
      <c r="R38" s="587">
        <f>SUMIF($AA$35:$AA$36,"tertiair",R35:R36)</f>
        <v>13898.571428571429</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0.52941176470588236</v>
      </c>
      <c r="C45" s="612">
        <f>IF(ISERROR(N29/(O29+N29)),0,N29/(N29+O29))</f>
        <v>0.47058823529411764</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63.529411764705884</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71.470588235294116</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14547.518746238762</v>
      </c>
      <c r="D10" s="640">
        <f ca="1">tertiair!C16</f>
        <v>60.75</v>
      </c>
      <c r="E10" s="640">
        <f ca="1">tertiair!D16</f>
        <v>8680.9677697786829</v>
      </c>
      <c r="F10" s="640">
        <f>tertiair!E16</f>
        <v>34.90220598051495</v>
      </c>
      <c r="G10" s="640">
        <f ca="1">tertiair!F16</f>
        <v>1391.5402818252151</v>
      </c>
      <c r="H10" s="640">
        <f>tertiair!G16</f>
        <v>0</v>
      </c>
      <c r="I10" s="640">
        <f>tertiair!H16</f>
        <v>0</v>
      </c>
      <c r="J10" s="640">
        <f>tertiair!I16</f>
        <v>0</v>
      </c>
      <c r="K10" s="640">
        <f>tertiair!J16</f>
        <v>5.6450139120091674</v>
      </c>
      <c r="L10" s="640">
        <f>tertiair!K16</f>
        <v>0</v>
      </c>
      <c r="M10" s="640">
        <f ca="1">tertiair!L16</f>
        <v>0</v>
      </c>
      <c r="N10" s="640">
        <f>tertiair!M16</f>
        <v>0</v>
      </c>
      <c r="O10" s="640">
        <f ca="1">tertiair!N16</f>
        <v>0</v>
      </c>
      <c r="P10" s="640">
        <f>tertiair!O16</f>
        <v>4.6900000000000004</v>
      </c>
      <c r="Q10" s="641">
        <f>tertiair!P16</f>
        <v>19.066666666666666</v>
      </c>
      <c r="R10" s="643">
        <f ca="1">SUM(C10:Q10)</f>
        <v>24745.080684401848</v>
      </c>
      <c r="S10" s="67"/>
    </row>
    <row r="11" spans="1:19" s="444" customFormat="1">
      <c r="A11" s="754" t="s">
        <v>214</v>
      </c>
      <c r="B11" s="759"/>
      <c r="C11" s="640">
        <f>huishoudens!B8</f>
        <v>18395.163038657756</v>
      </c>
      <c r="D11" s="640">
        <f>huishoudens!C8</f>
        <v>0</v>
      </c>
      <c r="E11" s="640">
        <f>huishoudens!D8</f>
        <v>27791.680908300186</v>
      </c>
      <c r="F11" s="640">
        <f>huishoudens!E8</f>
        <v>1394.8754017064689</v>
      </c>
      <c r="G11" s="640">
        <f>huishoudens!F8</f>
        <v>42746.616121836545</v>
      </c>
      <c r="H11" s="640">
        <f>huishoudens!G8</f>
        <v>0</v>
      </c>
      <c r="I11" s="640">
        <f>huishoudens!H8</f>
        <v>0</v>
      </c>
      <c r="J11" s="640">
        <f>huishoudens!I8</f>
        <v>0</v>
      </c>
      <c r="K11" s="640">
        <f>huishoudens!J8</f>
        <v>809.53579338042766</v>
      </c>
      <c r="L11" s="640">
        <f>huishoudens!K8</f>
        <v>0</v>
      </c>
      <c r="M11" s="640">
        <f>huishoudens!L8</f>
        <v>0</v>
      </c>
      <c r="N11" s="640">
        <f>huishoudens!M8</f>
        <v>0</v>
      </c>
      <c r="O11" s="640">
        <f>huishoudens!N8</f>
        <v>6338.2606481297844</v>
      </c>
      <c r="P11" s="640">
        <f>huishoudens!O8</f>
        <v>126.63</v>
      </c>
      <c r="Q11" s="641">
        <f>huishoudens!P8</f>
        <v>286</v>
      </c>
      <c r="R11" s="643">
        <f>SUM(C11:Q11)</f>
        <v>97888.761912011178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1170.863606700317</v>
      </c>
      <c r="D13" s="640">
        <f>industrie!C18</f>
        <v>0</v>
      </c>
      <c r="E13" s="640">
        <f>industrie!D18</f>
        <v>628.53575508186168</v>
      </c>
      <c r="F13" s="640">
        <f>industrie!E18</f>
        <v>175.09872822138519</v>
      </c>
      <c r="G13" s="640">
        <f>industrie!F18</f>
        <v>688.01443592969042</v>
      </c>
      <c r="H13" s="640">
        <f>industrie!G18</f>
        <v>0</v>
      </c>
      <c r="I13" s="640">
        <f>industrie!H18</f>
        <v>0</v>
      </c>
      <c r="J13" s="640">
        <f>industrie!I18</f>
        <v>0</v>
      </c>
      <c r="K13" s="640">
        <f>industrie!J18</f>
        <v>1.2700382920600206</v>
      </c>
      <c r="L13" s="640">
        <f>industrie!K18</f>
        <v>0</v>
      </c>
      <c r="M13" s="640">
        <f>industrie!L18</f>
        <v>0</v>
      </c>
      <c r="N13" s="640">
        <f>industrie!M18</f>
        <v>0</v>
      </c>
      <c r="O13" s="640">
        <f>industrie!N18</f>
        <v>111.95974687249954</v>
      </c>
      <c r="P13" s="640">
        <f>industrie!O18</f>
        <v>0</v>
      </c>
      <c r="Q13" s="641">
        <f>industrie!P18</f>
        <v>0</v>
      </c>
      <c r="R13" s="643">
        <f>SUM(C13:Q13)</f>
        <v>2775.7423110978143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34113.545391596832</v>
      </c>
      <c r="D16" s="675">
        <f t="shared" ref="D16:R16" ca="1" si="0">SUM(D9:D15)</f>
        <v>60.75</v>
      </c>
      <c r="E16" s="675">
        <f t="shared" ca="1" si="0"/>
        <v>37101.184433160728</v>
      </c>
      <c r="F16" s="675">
        <f t="shared" si="0"/>
        <v>1604.8763359083691</v>
      </c>
      <c r="G16" s="675">
        <f t="shared" ca="1" si="0"/>
        <v>44826.170839591454</v>
      </c>
      <c r="H16" s="675">
        <f t="shared" si="0"/>
        <v>0</v>
      </c>
      <c r="I16" s="675">
        <f t="shared" si="0"/>
        <v>0</v>
      </c>
      <c r="J16" s="675">
        <f t="shared" si="0"/>
        <v>0</v>
      </c>
      <c r="K16" s="675">
        <f t="shared" si="0"/>
        <v>816.45084558449685</v>
      </c>
      <c r="L16" s="675">
        <f t="shared" si="0"/>
        <v>0</v>
      </c>
      <c r="M16" s="675">
        <f t="shared" ca="1" si="0"/>
        <v>0</v>
      </c>
      <c r="N16" s="675">
        <f t="shared" si="0"/>
        <v>0</v>
      </c>
      <c r="O16" s="675">
        <f t="shared" ca="1" si="0"/>
        <v>6450.220395002284</v>
      </c>
      <c r="P16" s="675">
        <f t="shared" si="0"/>
        <v>131.32</v>
      </c>
      <c r="Q16" s="675">
        <f t="shared" si="0"/>
        <v>305.06666666666666</v>
      </c>
      <c r="R16" s="675">
        <f t="shared" ca="1" si="0"/>
        <v>125409.58490751084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12.290047434993113</v>
      </c>
      <c r="D19" s="640">
        <f>transport!C54</f>
        <v>0</v>
      </c>
      <c r="E19" s="640">
        <f>transport!D54</f>
        <v>0</v>
      </c>
      <c r="F19" s="640">
        <f>transport!E54</f>
        <v>0</v>
      </c>
      <c r="G19" s="640">
        <f>transport!F54</f>
        <v>0</v>
      </c>
      <c r="H19" s="640">
        <f>transport!G54</f>
        <v>2392.18819130261</v>
      </c>
      <c r="I19" s="640">
        <f>transport!H54</f>
        <v>0</v>
      </c>
      <c r="J19" s="640">
        <f>transport!I54</f>
        <v>0</v>
      </c>
      <c r="K19" s="640">
        <f>transport!J54</f>
        <v>0</v>
      </c>
      <c r="L19" s="640">
        <f>transport!K54</f>
        <v>0</v>
      </c>
      <c r="M19" s="640">
        <f>transport!L54</f>
        <v>0</v>
      </c>
      <c r="N19" s="640">
        <f>transport!M54</f>
        <v>107.26772857079004</v>
      </c>
      <c r="O19" s="640">
        <f>transport!N54</f>
        <v>0</v>
      </c>
      <c r="P19" s="640">
        <f>transport!O54</f>
        <v>0</v>
      </c>
      <c r="Q19" s="641">
        <f>transport!P54</f>
        <v>0</v>
      </c>
      <c r="R19" s="643">
        <f>SUM(C19:Q19)</f>
        <v>2511.7459673083931</v>
      </c>
      <c r="S19" s="67"/>
    </row>
    <row r="20" spans="1:19" s="444" customFormat="1">
      <c r="A20" s="754" t="s">
        <v>296</v>
      </c>
      <c r="B20" s="759"/>
      <c r="C20" s="640">
        <f>transport!B14</f>
        <v>5.2520627538288176</v>
      </c>
      <c r="D20" s="640">
        <f>transport!C14</f>
        <v>0</v>
      </c>
      <c r="E20" s="640">
        <f>transport!D14</f>
        <v>5.9702459392722131</v>
      </c>
      <c r="F20" s="640">
        <f>transport!E14</f>
        <v>207.67440695658161</v>
      </c>
      <c r="G20" s="640">
        <f>transport!F14</f>
        <v>0</v>
      </c>
      <c r="H20" s="640">
        <f>transport!G14</f>
        <v>46498.981682725927</v>
      </c>
      <c r="I20" s="640">
        <f>transport!H14</f>
        <v>10719.671577824274</v>
      </c>
      <c r="J20" s="640">
        <f>transport!I14</f>
        <v>0</v>
      </c>
      <c r="K20" s="640">
        <f>transport!J14</f>
        <v>0</v>
      </c>
      <c r="L20" s="640">
        <f>transport!K14</f>
        <v>0</v>
      </c>
      <c r="M20" s="640">
        <f>transport!L14</f>
        <v>0</v>
      </c>
      <c r="N20" s="640">
        <f>transport!M14</f>
        <v>2588.1366672384042</v>
      </c>
      <c r="O20" s="640">
        <f>transport!N14</f>
        <v>0</v>
      </c>
      <c r="P20" s="640">
        <f>transport!O14</f>
        <v>0</v>
      </c>
      <c r="Q20" s="641">
        <f>transport!P14</f>
        <v>0</v>
      </c>
      <c r="R20" s="643">
        <f>SUM(C20:Q20)</f>
        <v>60025.686643438283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17.54211018882193</v>
      </c>
      <c r="D22" s="757">
        <f t="shared" ref="D22:R22" si="1">SUM(D18:D21)</f>
        <v>0</v>
      </c>
      <c r="E22" s="757">
        <f t="shared" si="1"/>
        <v>5.9702459392722131</v>
      </c>
      <c r="F22" s="757">
        <f t="shared" si="1"/>
        <v>207.67440695658161</v>
      </c>
      <c r="G22" s="757">
        <f t="shared" si="1"/>
        <v>0</v>
      </c>
      <c r="H22" s="757">
        <f t="shared" si="1"/>
        <v>48891.169874028536</v>
      </c>
      <c r="I22" s="757">
        <f t="shared" si="1"/>
        <v>10719.671577824274</v>
      </c>
      <c r="J22" s="757">
        <f t="shared" si="1"/>
        <v>0</v>
      </c>
      <c r="K22" s="757">
        <f t="shared" si="1"/>
        <v>0</v>
      </c>
      <c r="L22" s="757">
        <f t="shared" si="1"/>
        <v>0</v>
      </c>
      <c r="M22" s="757">
        <f t="shared" si="1"/>
        <v>0</v>
      </c>
      <c r="N22" s="757">
        <f t="shared" si="1"/>
        <v>2695.4043958091943</v>
      </c>
      <c r="O22" s="757">
        <f t="shared" si="1"/>
        <v>0</v>
      </c>
      <c r="P22" s="757">
        <f t="shared" si="1"/>
        <v>0</v>
      </c>
      <c r="Q22" s="757">
        <f t="shared" si="1"/>
        <v>0</v>
      </c>
      <c r="R22" s="757">
        <f t="shared" si="1"/>
        <v>62537.432610746677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387.15988477323742</v>
      </c>
      <c r="D24" s="640">
        <f>+landbouw!C8</f>
        <v>0</v>
      </c>
      <c r="E24" s="640">
        <f>+landbouw!D8</f>
        <v>41.545569933941636</v>
      </c>
      <c r="F24" s="640">
        <f>+landbouw!E8</f>
        <v>8.0392627915242372</v>
      </c>
      <c r="G24" s="640">
        <f>+landbouw!F8</f>
        <v>1368.2329119780513</v>
      </c>
      <c r="H24" s="640">
        <f>+landbouw!G8</f>
        <v>0</v>
      </c>
      <c r="I24" s="640">
        <f>+landbouw!H8</f>
        <v>0</v>
      </c>
      <c r="J24" s="640">
        <f>+landbouw!I8</f>
        <v>0</v>
      </c>
      <c r="K24" s="640">
        <f>+landbouw!J8</f>
        <v>44.404790062909996</v>
      </c>
      <c r="L24" s="640">
        <f>+landbouw!K8</f>
        <v>0</v>
      </c>
      <c r="M24" s="640">
        <f>+landbouw!L8</f>
        <v>0</v>
      </c>
      <c r="N24" s="640">
        <f>+landbouw!M8</f>
        <v>0</v>
      </c>
      <c r="O24" s="640">
        <f>+landbouw!N8</f>
        <v>0</v>
      </c>
      <c r="P24" s="640">
        <f>+landbouw!O8</f>
        <v>0</v>
      </c>
      <c r="Q24" s="641">
        <f>+landbouw!P8</f>
        <v>0</v>
      </c>
      <c r="R24" s="643">
        <f>SUM(C24:Q24)</f>
        <v>1849.3824195396646</v>
      </c>
      <c r="S24" s="67"/>
    </row>
    <row r="25" spans="1:19" s="444" customFormat="1" ht="15" thickBot="1">
      <c r="A25" s="776" t="s">
        <v>806</v>
      </c>
      <c r="B25" s="939"/>
      <c r="C25" s="940">
        <f>IF(Onbekend_ele_kWh="---",0,Onbekend_ele_kWh)/1000+IF(REST_rest_ele_kWh="---",0,REST_rest_ele_kWh)/1000</f>
        <v>718.67907938551105</v>
      </c>
      <c r="D25" s="940"/>
      <c r="E25" s="940">
        <f>IF(onbekend_gas_kWh="---",0,onbekend_gas_kWh)/1000+IF(REST_rest_gas_kWh="---",0,REST_rest_gas_kWh)/1000</f>
        <v>1024.5885011672699</v>
      </c>
      <c r="F25" s="940"/>
      <c r="G25" s="940"/>
      <c r="H25" s="940"/>
      <c r="I25" s="940"/>
      <c r="J25" s="940"/>
      <c r="K25" s="940"/>
      <c r="L25" s="940"/>
      <c r="M25" s="940"/>
      <c r="N25" s="940"/>
      <c r="O25" s="940"/>
      <c r="P25" s="940"/>
      <c r="Q25" s="941"/>
      <c r="R25" s="643">
        <f>SUM(C25:Q25)</f>
        <v>1743.2675805527811</v>
      </c>
      <c r="S25" s="67"/>
    </row>
    <row r="26" spans="1:19" s="444" customFormat="1" ht="15.75" thickBot="1">
      <c r="A26" s="648" t="s">
        <v>807</v>
      </c>
      <c r="B26" s="762"/>
      <c r="C26" s="757">
        <f>SUM(C24:C25)</f>
        <v>1105.8389641587485</v>
      </c>
      <c r="D26" s="757">
        <f t="shared" ref="D26:R26" si="2">SUM(D24:D25)</f>
        <v>0</v>
      </c>
      <c r="E26" s="757">
        <f t="shared" si="2"/>
        <v>1066.1340711012115</v>
      </c>
      <c r="F26" s="757">
        <f t="shared" si="2"/>
        <v>8.0392627915242372</v>
      </c>
      <c r="G26" s="757">
        <f t="shared" si="2"/>
        <v>1368.2329119780513</v>
      </c>
      <c r="H26" s="757">
        <f t="shared" si="2"/>
        <v>0</v>
      </c>
      <c r="I26" s="757">
        <f t="shared" si="2"/>
        <v>0</v>
      </c>
      <c r="J26" s="757">
        <f t="shared" si="2"/>
        <v>0</v>
      </c>
      <c r="K26" s="757">
        <f t="shared" si="2"/>
        <v>44.404790062909996</v>
      </c>
      <c r="L26" s="757">
        <f t="shared" si="2"/>
        <v>0</v>
      </c>
      <c r="M26" s="757">
        <f t="shared" si="2"/>
        <v>0</v>
      </c>
      <c r="N26" s="757">
        <f t="shared" si="2"/>
        <v>0</v>
      </c>
      <c r="O26" s="757">
        <f t="shared" si="2"/>
        <v>0</v>
      </c>
      <c r="P26" s="757">
        <f t="shared" si="2"/>
        <v>0</v>
      </c>
      <c r="Q26" s="757">
        <f t="shared" si="2"/>
        <v>0</v>
      </c>
      <c r="R26" s="757">
        <f t="shared" si="2"/>
        <v>3592.6500000924457</v>
      </c>
      <c r="S26" s="67"/>
    </row>
    <row r="27" spans="1:19" s="444" customFormat="1" ht="17.25" thickTop="1" thickBot="1">
      <c r="A27" s="649" t="s">
        <v>109</v>
      </c>
      <c r="B27" s="749"/>
      <c r="C27" s="650">
        <f ca="1">C22+C16+C26</f>
        <v>35236.926465944402</v>
      </c>
      <c r="D27" s="650">
        <f t="shared" ref="D27:R27" ca="1" si="3">D22+D16+D26</f>
        <v>60.75</v>
      </c>
      <c r="E27" s="650">
        <f t="shared" ca="1" si="3"/>
        <v>38173.288750201209</v>
      </c>
      <c r="F27" s="650">
        <f t="shared" si="3"/>
        <v>1820.5900056564749</v>
      </c>
      <c r="G27" s="650">
        <f t="shared" ca="1" si="3"/>
        <v>46194.403751569502</v>
      </c>
      <c r="H27" s="650">
        <f t="shared" si="3"/>
        <v>48891.169874028536</v>
      </c>
      <c r="I27" s="650">
        <f t="shared" si="3"/>
        <v>10719.671577824274</v>
      </c>
      <c r="J27" s="650">
        <f t="shared" si="3"/>
        <v>0</v>
      </c>
      <c r="K27" s="650">
        <f t="shared" si="3"/>
        <v>860.85563564740687</v>
      </c>
      <c r="L27" s="650">
        <f t="shared" si="3"/>
        <v>0</v>
      </c>
      <c r="M27" s="650">
        <f t="shared" ca="1" si="3"/>
        <v>0</v>
      </c>
      <c r="N27" s="650">
        <f t="shared" si="3"/>
        <v>2695.4043958091943</v>
      </c>
      <c r="O27" s="650">
        <f t="shared" ca="1" si="3"/>
        <v>6450.220395002284</v>
      </c>
      <c r="P27" s="650">
        <f t="shared" si="3"/>
        <v>131.32</v>
      </c>
      <c r="Q27" s="650">
        <f t="shared" si="3"/>
        <v>305.06666666666666</v>
      </c>
      <c r="R27" s="650">
        <f t="shared" ca="1" si="3"/>
        <v>191539.66751834998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2599.5856364072065</v>
      </c>
      <c r="D40" s="640">
        <f ca="1">tertiair!C20</f>
        <v>0</v>
      </c>
      <c r="E40" s="640">
        <f ca="1">tertiair!D20</f>
        <v>1753.5554894952941</v>
      </c>
      <c r="F40" s="640">
        <f>tertiair!E20</f>
        <v>7.9228007575768942</v>
      </c>
      <c r="G40" s="640">
        <f ca="1">tertiair!F20</f>
        <v>371.54125524733246</v>
      </c>
      <c r="H40" s="640">
        <f>tertiair!G20</f>
        <v>0</v>
      </c>
      <c r="I40" s="640">
        <f>tertiair!H20</f>
        <v>0</v>
      </c>
      <c r="J40" s="640">
        <f>tertiair!I20</f>
        <v>0</v>
      </c>
      <c r="K40" s="640">
        <f>tertiair!J20</f>
        <v>1.9983349248512452</v>
      </c>
      <c r="L40" s="640">
        <f>tertiair!K20</f>
        <v>0</v>
      </c>
      <c r="M40" s="640">
        <f ca="1">tertiair!L20</f>
        <v>0</v>
      </c>
      <c r="N40" s="640">
        <f>tertiair!M20</f>
        <v>0</v>
      </c>
      <c r="O40" s="640">
        <f ca="1">tertiair!N20</f>
        <v>0</v>
      </c>
      <c r="P40" s="640">
        <f>tertiair!O20</f>
        <v>0</v>
      </c>
      <c r="Q40" s="717">
        <f>tertiair!P20</f>
        <v>0</v>
      </c>
      <c r="R40" s="795">
        <f t="shared" ca="1" si="4"/>
        <v>4734.6035168322614</v>
      </c>
    </row>
    <row r="41" spans="1:18">
      <c r="A41" s="767" t="s">
        <v>214</v>
      </c>
      <c r="B41" s="774"/>
      <c r="C41" s="640">
        <f ca="1">huishoudens!B12</f>
        <v>3287.1448697756232</v>
      </c>
      <c r="D41" s="640">
        <f ca="1">huishoudens!C12</f>
        <v>0</v>
      </c>
      <c r="E41" s="640">
        <f>huishoudens!D12</f>
        <v>5613.919543476638</v>
      </c>
      <c r="F41" s="640">
        <f>huishoudens!E12</f>
        <v>316.63671618736845</v>
      </c>
      <c r="G41" s="640">
        <f>huishoudens!F12</f>
        <v>11413.346504530358</v>
      </c>
      <c r="H41" s="640">
        <f>huishoudens!G12</f>
        <v>0</v>
      </c>
      <c r="I41" s="640">
        <f>huishoudens!H12</f>
        <v>0</v>
      </c>
      <c r="J41" s="640">
        <f>huishoudens!I12</f>
        <v>0</v>
      </c>
      <c r="K41" s="640">
        <f>huishoudens!J12</f>
        <v>286.57567085667137</v>
      </c>
      <c r="L41" s="640">
        <f>huishoudens!K12</f>
        <v>0</v>
      </c>
      <c r="M41" s="640">
        <f>huishoudens!L12</f>
        <v>0</v>
      </c>
      <c r="N41" s="640">
        <f>huishoudens!M12</f>
        <v>0</v>
      </c>
      <c r="O41" s="640">
        <f>huishoudens!N12</f>
        <v>0</v>
      </c>
      <c r="P41" s="640">
        <f>huishoudens!O12</f>
        <v>0</v>
      </c>
      <c r="Q41" s="717">
        <f>huishoudens!P12</f>
        <v>0</v>
      </c>
      <c r="R41" s="795">
        <f t="shared" ca="1" si="4"/>
        <v>20917.623304826659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209.22882226613663</v>
      </c>
      <c r="D43" s="640">
        <f ca="1">industrie!C22</f>
        <v>0</v>
      </c>
      <c r="E43" s="640">
        <f>industrie!D22</f>
        <v>126.96422252653606</v>
      </c>
      <c r="F43" s="640">
        <f>industrie!E22</f>
        <v>39.747411306254442</v>
      </c>
      <c r="G43" s="640">
        <f>industrie!F22</f>
        <v>183.69985439322735</v>
      </c>
      <c r="H43" s="640">
        <f>industrie!G22</f>
        <v>0</v>
      </c>
      <c r="I43" s="640">
        <f>industrie!H22</f>
        <v>0</v>
      </c>
      <c r="J43" s="640">
        <f>industrie!I22</f>
        <v>0</v>
      </c>
      <c r="K43" s="640">
        <f>industrie!J22</f>
        <v>0.44959355538924728</v>
      </c>
      <c r="L43" s="640">
        <f>industrie!K22</f>
        <v>0</v>
      </c>
      <c r="M43" s="640">
        <f>industrie!L22</f>
        <v>0</v>
      </c>
      <c r="N43" s="640">
        <f>industrie!M22</f>
        <v>0</v>
      </c>
      <c r="O43" s="640">
        <f>industrie!N22</f>
        <v>0</v>
      </c>
      <c r="P43" s="640">
        <f>industrie!O22</f>
        <v>0</v>
      </c>
      <c r="Q43" s="717">
        <f>industrie!P22</f>
        <v>0</v>
      </c>
      <c r="R43" s="794">
        <f t="shared" ca="1" si="4"/>
        <v>560.08990404754377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6095.9593284489665</v>
      </c>
      <c r="D46" s="675">
        <f t="shared" ref="D46:Q46" ca="1" si="5">SUM(D39:D45)</f>
        <v>0</v>
      </c>
      <c r="E46" s="675">
        <f t="shared" ca="1" si="5"/>
        <v>7494.4392554984679</v>
      </c>
      <c r="F46" s="675">
        <f t="shared" si="5"/>
        <v>364.30692825119979</v>
      </c>
      <c r="G46" s="675">
        <f t="shared" ca="1" si="5"/>
        <v>11968.587614170918</v>
      </c>
      <c r="H46" s="675">
        <f t="shared" si="5"/>
        <v>0</v>
      </c>
      <c r="I46" s="675">
        <f t="shared" si="5"/>
        <v>0</v>
      </c>
      <c r="J46" s="675">
        <f t="shared" si="5"/>
        <v>0</v>
      </c>
      <c r="K46" s="675">
        <f t="shared" si="5"/>
        <v>289.02359933691184</v>
      </c>
      <c r="L46" s="675">
        <f t="shared" si="5"/>
        <v>0</v>
      </c>
      <c r="M46" s="675">
        <f t="shared" ca="1" si="5"/>
        <v>0</v>
      </c>
      <c r="N46" s="675">
        <f t="shared" si="5"/>
        <v>0</v>
      </c>
      <c r="O46" s="675">
        <f t="shared" ca="1" si="5"/>
        <v>0</v>
      </c>
      <c r="P46" s="675">
        <f t="shared" si="5"/>
        <v>0</v>
      </c>
      <c r="Q46" s="675">
        <f t="shared" si="5"/>
        <v>0</v>
      </c>
      <c r="R46" s="675">
        <f ca="1">SUM(R39:R45)</f>
        <v>26212.316725706467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2.1961841974619696</v>
      </c>
      <c r="D49" s="640">
        <f ca="1">transport!C58</f>
        <v>0</v>
      </c>
      <c r="E49" s="640">
        <f>transport!D58</f>
        <v>0</v>
      </c>
      <c r="F49" s="640">
        <f>transport!E58</f>
        <v>0</v>
      </c>
      <c r="G49" s="640">
        <f>transport!F58</f>
        <v>0</v>
      </c>
      <c r="H49" s="640">
        <f>transport!G58</f>
        <v>638.71424707779693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640.91043127525893</v>
      </c>
    </row>
    <row r="50" spans="1:18">
      <c r="A50" s="770" t="s">
        <v>296</v>
      </c>
      <c r="B50" s="780"/>
      <c r="C50" s="646">
        <f ca="1">transport!B18</f>
        <v>0.93852340969780046</v>
      </c>
      <c r="D50" s="646">
        <f>transport!C18</f>
        <v>0</v>
      </c>
      <c r="E50" s="646">
        <f>transport!D18</f>
        <v>1.2059896797329872</v>
      </c>
      <c r="F50" s="646">
        <f>transport!E18</f>
        <v>47.14209037914403</v>
      </c>
      <c r="G50" s="646">
        <f>transport!F18</f>
        <v>0</v>
      </c>
      <c r="H50" s="646">
        <f>transport!G18</f>
        <v>12415.228109287824</v>
      </c>
      <c r="I50" s="646">
        <f>transport!H18</f>
        <v>2669.1982228782445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15133.712935634641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3.1347076071597701</v>
      </c>
      <c r="D52" s="675">
        <f t="shared" ref="D52:Q52" ca="1" si="6">SUM(D48:D51)</f>
        <v>0</v>
      </c>
      <c r="E52" s="675">
        <f t="shared" si="6"/>
        <v>1.2059896797329872</v>
      </c>
      <c r="F52" s="675">
        <f t="shared" si="6"/>
        <v>47.14209037914403</v>
      </c>
      <c r="G52" s="675">
        <f t="shared" si="6"/>
        <v>0</v>
      </c>
      <c r="H52" s="675">
        <f t="shared" si="6"/>
        <v>13053.94235636562</v>
      </c>
      <c r="I52" s="675">
        <f t="shared" si="6"/>
        <v>2669.1982228782445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15774.6233669099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69.183982025099269</v>
      </c>
      <c r="D54" s="646">
        <f ca="1">+landbouw!C12</f>
        <v>0</v>
      </c>
      <c r="E54" s="646">
        <f>+landbouw!D12</f>
        <v>8.3922051266562114</v>
      </c>
      <c r="F54" s="646">
        <f>+landbouw!E12</f>
        <v>1.8249126536760019</v>
      </c>
      <c r="G54" s="646">
        <f>+landbouw!F12</f>
        <v>365.31818749813971</v>
      </c>
      <c r="H54" s="646">
        <f>+landbouw!G12</f>
        <v>0</v>
      </c>
      <c r="I54" s="646">
        <f>+landbouw!H12</f>
        <v>0</v>
      </c>
      <c r="J54" s="646">
        <f>+landbouw!I12</f>
        <v>0</v>
      </c>
      <c r="K54" s="646">
        <f>+landbouw!J12</f>
        <v>15.719295682270138</v>
      </c>
      <c r="L54" s="646">
        <f>+landbouw!K12</f>
        <v>0</v>
      </c>
      <c r="M54" s="646">
        <f>+landbouw!L12</f>
        <v>0</v>
      </c>
      <c r="N54" s="646">
        <f>+landbouw!M12</f>
        <v>0</v>
      </c>
      <c r="O54" s="646">
        <f>+landbouw!N12</f>
        <v>0</v>
      </c>
      <c r="P54" s="646">
        <f>+landbouw!O12</f>
        <v>0</v>
      </c>
      <c r="Q54" s="647">
        <f>+landbouw!P12</f>
        <v>0</v>
      </c>
      <c r="R54" s="674">
        <f ca="1">SUM(C54:Q54)</f>
        <v>460.43858298584132</v>
      </c>
    </row>
    <row r="55" spans="1:18" ht="15" thickBot="1">
      <c r="A55" s="770" t="s">
        <v>806</v>
      </c>
      <c r="B55" s="780"/>
      <c r="C55" s="646">
        <f ca="1">C25*'EF ele_warmte'!B12</f>
        <v>128.42518676526655</v>
      </c>
      <c r="D55" s="646"/>
      <c r="E55" s="646">
        <f>E25*EF_CO2_aardgas</f>
        <v>206.96687723578853</v>
      </c>
      <c r="F55" s="646"/>
      <c r="G55" s="646"/>
      <c r="H55" s="646"/>
      <c r="I55" s="646"/>
      <c r="J55" s="646"/>
      <c r="K55" s="646"/>
      <c r="L55" s="646"/>
      <c r="M55" s="646"/>
      <c r="N55" s="646"/>
      <c r="O55" s="646"/>
      <c r="P55" s="646"/>
      <c r="Q55" s="647"/>
      <c r="R55" s="674">
        <f ca="1">SUM(C55:Q55)</f>
        <v>335.39206400105508</v>
      </c>
    </row>
    <row r="56" spans="1:18" ht="15.75" thickBot="1">
      <c r="A56" s="768" t="s">
        <v>807</v>
      </c>
      <c r="B56" s="781"/>
      <c r="C56" s="675">
        <f ca="1">SUM(C54:C55)</f>
        <v>197.6091687903658</v>
      </c>
      <c r="D56" s="675">
        <f t="shared" ref="D56:Q56" ca="1" si="7">SUM(D54:D55)</f>
        <v>0</v>
      </c>
      <c r="E56" s="675">
        <f t="shared" si="7"/>
        <v>215.35908236244475</v>
      </c>
      <c r="F56" s="675">
        <f t="shared" si="7"/>
        <v>1.8249126536760019</v>
      </c>
      <c r="G56" s="675">
        <f t="shared" si="7"/>
        <v>365.31818749813971</v>
      </c>
      <c r="H56" s="675">
        <f t="shared" si="7"/>
        <v>0</v>
      </c>
      <c r="I56" s="675">
        <f t="shared" si="7"/>
        <v>0</v>
      </c>
      <c r="J56" s="675">
        <f t="shared" si="7"/>
        <v>0</v>
      </c>
      <c r="K56" s="675">
        <f t="shared" si="7"/>
        <v>15.719295682270138</v>
      </c>
      <c r="L56" s="675">
        <f t="shared" si="7"/>
        <v>0</v>
      </c>
      <c r="M56" s="675">
        <f t="shared" si="7"/>
        <v>0</v>
      </c>
      <c r="N56" s="675">
        <f t="shared" si="7"/>
        <v>0</v>
      </c>
      <c r="O56" s="675">
        <f t="shared" si="7"/>
        <v>0</v>
      </c>
      <c r="P56" s="675">
        <f t="shared" si="7"/>
        <v>0</v>
      </c>
      <c r="Q56" s="676">
        <f t="shared" si="7"/>
        <v>0</v>
      </c>
      <c r="R56" s="677">
        <f ca="1">SUM(R54:R55)</f>
        <v>795.83064698689645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6296.7032048464916</v>
      </c>
      <c r="D61" s="683">
        <f t="shared" ref="D61:Q61" ca="1" si="8">D46+D52+D56</f>
        <v>0</v>
      </c>
      <c r="E61" s="683">
        <f t="shared" ca="1" si="8"/>
        <v>7711.0043275406451</v>
      </c>
      <c r="F61" s="683">
        <f t="shared" si="8"/>
        <v>413.2739312840198</v>
      </c>
      <c r="G61" s="683">
        <f t="shared" ca="1" si="8"/>
        <v>12333.905801669058</v>
      </c>
      <c r="H61" s="683">
        <f t="shared" si="8"/>
        <v>13053.94235636562</v>
      </c>
      <c r="I61" s="683">
        <f t="shared" si="8"/>
        <v>2669.1982228782445</v>
      </c>
      <c r="J61" s="683">
        <f t="shared" si="8"/>
        <v>0</v>
      </c>
      <c r="K61" s="683">
        <f t="shared" si="8"/>
        <v>304.74289501918196</v>
      </c>
      <c r="L61" s="683">
        <f t="shared" si="8"/>
        <v>0</v>
      </c>
      <c r="M61" s="683">
        <f t="shared" ca="1" si="8"/>
        <v>0</v>
      </c>
      <c r="N61" s="683">
        <f t="shared" si="8"/>
        <v>0</v>
      </c>
      <c r="O61" s="683">
        <f t="shared" ca="1" si="8"/>
        <v>0</v>
      </c>
      <c r="P61" s="683">
        <f t="shared" si="8"/>
        <v>0</v>
      </c>
      <c r="Q61" s="683">
        <f t="shared" si="8"/>
        <v>0</v>
      </c>
      <c r="R61" s="683">
        <f ca="1">R46+R52+R56</f>
        <v>42782.770739603264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0.17869615305217088</v>
      </c>
      <c r="D63" s="726">
        <f t="shared" ca="1" si="9"/>
        <v>0</v>
      </c>
      <c r="E63" s="946">
        <f t="shared" ca="1" si="9"/>
        <v>0.20200000000000001</v>
      </c>
      <c r="F63" s="726">
        <f t="shared" si="9"/>
        <v>0.22700000000000001</v>
      </c>
      <c r="G63" s="726">
        <f t="shared" ca="1" si="9"/>
        <v>0.26700000000000002</v>
      </c>
      <c r="H63" s="726">
        <f t="shared" si="9"/>
        <v>0.26700000000000002</v>
      </c>
      <c r="I63" s="726">
        <f t="shared" si="9"/>
        <v>0.24900000000000003</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1826.5567607566563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54</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63.529411764705884</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4864.5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13898.571428571429</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6745.0567607566563</v>
      </c>
      <c r="C78" s="698">
        <f>SUM(C72:C77)</f>
        <v>0</v>
      </c>
      <c r="D78" s="699">
        <f t="shared" ref="D78:H78" si="10">SUM(D76:D77)</f>
        <v>0</v>
      </c>
      <c r="E78" s="699">
        <f t="shared" si="10"/>
        <v>0</v>
      </c>
      <c r="F78" s="699">
        <f t="shared" si="10"/>
        <v>0</v>
      </c>
      <c r="G78" s="699">
        <f t="shared" si="10"/>
        <v>0</v>
      </c>
      <c r="H78" s="699">
        <f t="shared" si="10"/>
        <v>0</v>
      </c>
      <c r="I78" s="699">
        <f>SUM(I76:I77)</f>
        <v>63.529411764705884</v>
      </c>
      <c r="J78" s="699">
        <f>SUM(J76:J77)</f>
        <v>13898.571428571429</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60.75</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71.470588235294116</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60.75</v>
      </c>
      <c r="C90" s="698">
        <f>SUM(C87:C89)</f>
        <v>0</v>
      </c>
      <c r="D90" s="698">
        <f t="shared" ref="D90:H90" si="12">SUM(D87:D89)</f>
        <v>0</v>
      </c>
      <c r="E90" s="698">
        <f t="shared" si="12"/>
        <v>0</v>
      </c>
      <c r="F90" s="698">
        <f t="shared" si="12"/>
        <v>0</v>
      </c>
      <c r="G90" s="698">
        <f t="shared" si="12"/>
        <v>0</v>
      </c>
      <c r="H90" s="698">
        <f t="shared" si="12"/>
        <v>0</v>
      </c>
      <c r="I90" s="698">
        <f>SUM(I87:I89)</f>
        <v>71.470588235294116</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18395.163038657756</v>
      </c>
      <c r="C4" s="448">
        <f>huishoudens!C8</f>
        <v>0</v>
      </c>
      <c r="D4" s="448">
        <f>huishoudens!D8</f>
        <v>27791.680908300186</v>
      </c>
      <c r="E4" s="448">
        <f>huishoudens!E8</f>
        <v>1394.8754017064689</v>
      </c>
      <c r="F4" s="448">
        <f>huishoudens!F8</f>
        <v>42746.616121836545</v>
      </c>
      <c r="G4" s="448">
        <f>huishoudens!G8</f>
        <v>0</v>
      </c>
      <c r="H4" s="448">
        <f>huishoudens!H8</f>
        <v>0</v>
      </c>
      <c r="I4" s="448">
        <f>huishoudens!I8</f>
        <v>0</v>
      </c>
      <c r="J4" s="448">
        <f>huishoudens!J8</f>
        <v>809.53579338042766</v>
      </c>
      <c r="K4" s="448">
        <f>huishoudens!K8</f>
        <v>0</v>
      </c>
      <c r="L4" s="448">
        <f>huishoudens!L8</f>
        <v>0</v>
      </c>
      <c r="M4" s="448">
        <f>huishoudens!M8</f>
        <v>0</v>
      </c>
      <c r="N4" s="448">
        <f>huishoudens!N8</f>
        <v>6338.2606481297844</v>
      </c>
      <c r="O4" s="448">
        <f>huishoudens!O8</f>
        <v>126.63</v>
      </c>
      <c r="P4" s="449">
        <f>huishoudens!P8</f>
        <v>286</v>
      </c>
      <c r="Q4" s="450">
        <f>SUM(B4:P4)</f>
        <v>97888.761912011178</v>
      </c>
    </row>
    <row r="5" spans="1:17">
      <c r="A5" s="447" t="s">
        <v>149</v>
      </c>
      <c r="B5" s="448">
        <f ca="1">tertiair!B16</f>
        <v>13835.122746238761</v>
      </c>
      <c r="C5" s="448">
        <f ca="1">tertiair!C16</f>
        <v>60.75</v>
      </c>
      <c r="D5" s="448">
        <f ca="1">tertiair!D16</f>
        <v>8680.9677697786829</v>
      </c>
      <c r="E5" s="448">
        <f>tertiair!E16</f>
        <v>34.90220598051495</v>
      </c>
      <c r="F5" s="448">
        <f ca="1">tertiair!F16</f>
        <v>1391.5402818252151</v>
      </c>
      <c r="G5" s="448">
        <f>tertiair!G16</f>
        <v>0</v>
      </c>
      <c r="H5" s="448">
        <f>tertiair!H16</f>
        <v>0</v>
      </c>
      <c r="I5" s="448">
        <f>tertiair!I16</f>
        <v>0</v>
      </c>
      <c r="J5" s="448">
        <f>tertiair!J16</f>
        <v>5.6450139120091674</v>
      </c>
      <c r="K5" s="448">
        <f>tertiair!K16</f>
        <v>0</v>
      </c>
      <c r="L5" s="448">
        <f ca="1">tertiair!L16</f>
        <v>0</v>
      </c>
      <c r="M5" s="448">
        <f>tertiair!M16</f>
        <v>0</v>
      </c>
      <c r="N5" s="448">
        <f ca="1">tertiair!N16</f>
        <v>0</v>
      </c>
      <c r="O5" s="448">
        <f>tertiair!O16</f>
        <v>4.6900000000000004</v>
      </c>
      <c r="P5" s="449">
        <f>tertiair!P16</f>
        <v>19.066666666666666</v>
      </c>
      <c r="Q5" s="447">
        <f t="shared" ref="Q5:Q14" ca="1" si="0">SUM(B5:P5)</f>
        <v>24032.684684401847</v>
      </c>
    </row>
    <row r="6" spans="1:17">
      <c r="A6" s="447" t="s">
        <v>187</v>
      </c>
      <c r="B6" s="448">
        <f>'openbare verlichting'!B8</f>
        <v>712.39599999999996</v>
      </c>
      <c r="C6" s="448"/>
      <c r="D6" s="448"/>
      <c r="E6" s="448"/>
      <c r="F6" s="448"/>
      <c r="G6" s="448"/>
      <c r="H6" s="448"/>
      <c r="I6" s="448"/>
      <c r="J6" s="448"/>
      <c r="K6" s="448"/>
      <c r="L6" s="448"/>
      <c r="M6" s="448"/>
      <c r="N6" s="448"/>
      <c r="O6" s="448"/>
      <c r="P6" s="449"/>
      <c r="Q6" s="447">
        <f t="shared" si="0"/>
        <v>712.39599999999996</v>
      </c>
    </row>
    <row r="7" spans="1:17">
      <c r="A7" s="447" t="s">
        <v>105</v>
      </c>
      <c r="B7" s="448">
        <f>landbouw!B8</f>
        <v>387.15988477323742</v>
      </c>
      <c r="C7" s="448">
        <f>landbouw!C8</f>
        <v>0</v>
      </c>
      <c r="D7" s="448">
        <f>landbouw!D8</f>
        <v>41.545569933941636</v>
      </c>
      <c r="E7" s="448">
        <f>landbouw!E8</f>
        <v>8.0392627915242372</v>
      </c>
      <c r="F7" s="448">
        <f>landbouw!F8</f>
        <v>1368.2329119780513</v>
      </c>
      <c r="G7" s="448">
        <f>landbouw!G8</f>
        <v>0</v>
      </c>
      <c r="H7" s="448">
        <f>landbouw!H8</f>
        <v>0</v>
      </c>
      <c r="I7" s="448">
        <f>landbouw!I8</f>
        <v>0</v>
      </c>
      <c r="J7" s="448">
        <f>landbouw!J8</f>
        <v>44.404790062909996</v>
      </c>
      <c r="K7" s="448">
        <f>landbouw!K8</f>
        <v>0</v>
      </c>
      <c r="L7" s="448">
        <f>landbouw!L8</f>
        <v>0</v>
      </c>
      <c r="M7" s="448">
        <f>landbouw!M8</f>
        <v>0</v>
      </c>
      <c r="N7" s="448">
        <f>landbouw!N8</f>
        <v>0</v>
      </c>
      <c r="O7" s="448">
        <f>landbouw!O8</f>
        <v>0</v>
      </c>
      <c r="P7" s="449">
        <f>landbouw!P8</f>
        <v>0</v>
      </c>
      <c r="Q7" s="447">
        <f t="shared" si="0"/>
        <v>1849.3824195396646</v>
      </c>
    </row>
    <row r="8" spans="1:17">
      <c r="A8" s="447" t="s">
        <v>614</v>
      </c>
      <c r="B8" s="448">
        <f>industrie!B18</f>
        <v>1170.863606700317</v>
      </c>
      <c r="C8" s="448">
        <f>industrie!C18</f>
        <v>0</v>
      </c>
      <c r="D8" s="448">
        <f>industrie!D18</f>
        <v>628.53575508186168</v>
      </c>
      <c r="E8" s="448">
        <f>industrie!E18</f>
        <v>175.09872822138519</v>
      </c>
      <c r="F8" s="448">
        <f>industrie!F18</f>
        <v>688.01443592969042</v>
      </c>
      <c r="G8" s="448">
        <f>industrie!G18</f>
        <v>0</v>
      </c>
      <c r="H8" s="448">
        <f>industrie!H18</f>
        <v>0</v>
      </c>
      <c r="I8" s="448">
        <f>industrie!I18</f>
        <v>0</v>
      </c>
      <c r="J8" s="448">
        <f>industrie!J18</f>
        <v>1.2700382920600206</v>
      </c>
      <c r="K8" s="448">
        <f>industrie!K18</f>
        <v>0</v>
      </c>
      <c r="L8" s="448">
        <f>industrie!L18</f>
        <v>0</v>
      </c>
      <c r="M8" s="448">
        <f>industrie!M18</f>
        <v>0</v>
      </c>
      <c r="N8" s="448">
        <f>industrie!N18</f>
        <v>111.95974687249954</v>
      </c>
      <c r="O8" s="448">
        <f>industrie!O18</f>
        <v>0</v>
      </c>
      <c r="P8" s="449">
        <f>industrie!P18</f>
        <v>0</v>
      </c>
      <c r="Q8" s="447">
        <f t="shared" si="0"/>
        <v>2775.7423110978143</v>
      </c>
    </row>
    <row r="9" spans="1:17" s="453" customFormat="1">
      <c r="A9" s="451" t="s">
        <v>555</v>
      </c>
      <c r="B9" s="452">
        <f>transport!B14</f>
        <v>5.2520627538288176</v>
      </c>
      <c r="C9" s="452">
        <f>transport!C14</f>
        <v>0</v>
      </c>
      <c r="D9" s="452">
        <f>transport!D14</f>
        <v>5.9702459392722131</v>
      </c>
      <c r="E9" s="452">
        <f>transport!E14</f>
        <v>207.67440695658161</v>
      </c>
      <c r="F9" s="452">
        <f>transport!F14</f>
        <v>0</v>
      </c>
      <c r="G9" s="452">
        <f>transport!G14</f>
        <v>46498.981682725927</v>
      </c>
      <c r="H9" s="452">
        <f>transport!H14</f>
        <v>10719.671577824274</v>
      </c>
      <c r="I9" s="452">
        <f>transport!I14</f>
        <v>0</v>
      </c>
      <c r="J9" s="452">
        <f>transport!J14</f>
        <v>0</v>
      </c>
      <c r="K9" s="452">
        <f>transport!K14</f>
        <v>0</v>
      </c>
      <c r="L9" s="452">
        <f>transport!L14</f>
        <v>0</v>
      </c>
      <c r="M9" s="452">
        <f>transport!M14</f>
        <v>2588.1366672384042</v>
      </c>
      <c r="N9" s="452">
        <f>transport!N14</f>
        <v>0</v>
      </c>
      <c r="O9" s="452">
        <f>transport!O14</f>
        <v>0</v>
      </c>
      <c r="P9" s="452">
        <f>transport!P14</f>
        <v>0</v>
      </c>
      <c r="Q9" s="451">
        <f>SUM(B9:P9)</f>
        <v>60025.686643438283</v>
      </c>
    </row>
    <row r="10" spans="1:17">
      <c r="A10" s="447" t="s">
        <v>545</v>
      </c>
      <c r="B10" s="448">
        <f>transport!B54</f>
        <v>12.290047434993113</v>
      </c>
      <c r="C10" s="448">
        <f>transport!C54</f>
        <v>0</v>
      </c>
      <c r="D10" s="448">
        <f>transport!D54</f>
        <v>0</v>
      </c>
      <c r="E10" s="448">
        <f>transport!E54</f>
        <v>0</v>
      </c>
      <c r="F10" s="448">
        <f>transport!F54</f>
        <v>0</v>
      </c>
      <c r="G10" s="448">
        <f>transport!G54</f>
        <v>2392.18819130261</v>
      </c>
      <c r="H10" s="448">
        <f>transport!H54</f>
        <v>0</v>
      </c>
      <c r="I10" s="448">
        <f>transport!I54</f>
        <v>0</v>
      </c>
      <c r="J10" s="448">
        <f>transport!J54</f>
        <v>0</v>
      </c>
      <c r="K10" s="448">
        <f>transport!K54</f>
        <v>0</v>
      </c>
      <c r="L10" s="448">
        <f>transport!L54</f>
        <v>0</v>
      </c>
      <c r="M10" s="448">
        <f>transport!M54</f>
        <v>107.26772857079004</v>
      </c>
      <c r="N10" s="448">
        <f>transport!N54</f>
        <v>0</v>
      </c>
      <c r="O10" s="448">
        <f>transport!O54</f>
        <v>0</v>
      </c>
      <c r="P10" s="449">
        <f>transport!P54</f>
        <v>0</v>
      </c>
      <c r="Q10" s="447">
        <f t="shared" si="0"/>
        <v>2511.7459673083931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718.67907938551105</v>
      </c>
      <c r="C14" s="455"/>
      <c r="D14" s="455">
        <f>'SEAP template'!E25</f>
        <v>1024.5885011672699</v>
      </c>
      <c r="E14" s="455"/>
      <c r="F14" s="455"/>
      <c r="G14" s="455"/>
      <c r="H14" s="455"/>
      <c r="I14" s="455"/>
      <c r="J14" s="455"/>
      <c r="K14" s="455"/>
      <c r="L14" s="455"/>
      <c r="M14" s="455"/>
      <c r="N14" s="455"/>
      <c r="O14" s="455"/>
      <c r="P14" s="456"/>
      <c r="Q14" s="447">
        <f t="shared" si="0"/>
        <v>1743.2675805527811</v>
      </c>
    </row>
    <row r="15" spans="1:17" s="460" customFormat="1">
      <c r="A15" s="457" t="s">
        <v>549</v>
      </c>
      <c r="B15" s="458">
        <f ca="1">SUM(B4:B14)</f>
        <v>35236.926465944409</v>
      </c>
      <c r="C15" s="458">
        <f t="shared" ref="C15:Q15" ca="1" si="1">SUM(C4:C14)</f>
        <v>60.75</v>
      </c>
      <c r="D15" s="458">
        <f t="shared" ca="1" si="1"/>
        <v>38173.288750201216</v>
      </c>
      <c r="E15" s="458">
        <f t="shared" si="1"/>
        <v>1820.5900056564749</v>
      </c>
      <c r="F15" s="458">
        <f t="shared" ca="1" si="1"/>
        <v>46194.403751569502</v>
      </c>
      <c r="G15" s="458">
        <f t="shared" si="1"/>
        <v>48891.169874028536</v>
      </c>
      <c r="H15" s="458">
        <f t="shared" si="1"/>
        <v>10719.671577824274</v>
      </c>
      <c r="I15" s="458">
        <f t="shared" si="1"/>
        <v>0</v>
      </c>
      <c r="J15" s="458">
        <f t="shared" si="1"/>
        <v>860.85563564740687</v>
      </c>
      <c r="K15" s="458">
        <f t="shared" si="1"/>
        <v>0</v>
      </c>
      <c r="L15" s="458">
        <f t="shared" ca="1" si="1"/>
        <v>0</v>
      </c>
      <c r="M15" s="458">
        <f t="shared" si="1"/>
        <v>2695.4043958091943</v>
      </c>
      <c r="N15" s="458">
        <f t="shared" ca="1" si="1"/>
        <v>6450.220395002284</v>
      </c>
      <c r="O15" s="458">
        <f t="shared" si="1"/>
        <v>131.32</v>
      </c>
      <c r="P15" s="458">
        <f t="shared" si="1"/>
        <v>305.06666666666666</v>
      </c>
      <c r="Q15" s="458">
        <f t="shared" ca="1" si="1"/>
        <v>191539.66751834992</v>
      </c>
    </row>
    <row r="17" spans="1:17">
      <c r="A17" s="461" t="s">
        <v>550</v>
      </c>
      <c r="B17" s="731">
        <f ca="1">huishoudens!B10</f>
        <v>0.17869615305217088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3287.1448697756232</v>
      </c>
      <c r="C22" s="448">
        <f t="shared" ref="C22:C32" ca="1" si="3">C4*$C$17</f>
        <v>0</v>
      </c>
      <c r="D22" s="448">
        <f t="shared" ref="D22:D32" si="4">D4*$D$17</f>
        <v>5613.919543476638</v>
      </c>
      <c r="E22" s="448">
        <f t="shared" ref="E22:E32" si="5">E4*$E$17</f>
        <v>316.63671618736845</v>
      </c>
      <c r="F22" s="448">
        <f t="shared" ref="F22:F32" si="6">F4*$F$17</f>
        <v>11413.346504530358</v>
      </c>
      <c r="G22" s="448">
        <f t="shared" ref="G22:G32" si="7">G4*$G$17</f>
        <v>0</v>
      </c>
      <c r="H22" s="448">
        <f t="shared" ref="H22:H32" si="8">H4*$H$17</f>
        <v>0</v>
      </c>
      <c r="I22" s="448">
        <f t="shared" ref="I22:I32" si="9">I4*$I$17</f>
        <v>0</v>
      </c>
      <c r="J22" s="448">
        <f t="shared" ref="J22:J32" si="10">J4*$J$17</f>
        <v>286.57567085667137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20917.623304826659</v>
      </c>
    </row>
    <row r="23" spans="1:17">
      <c r="A23" s="447" t="s">
        <v>149</v>
      </c>
      <c r="B23" s="448">
        <f t="shared" ca="1" si="2"/>
        <v>2472.2832117574521</v>
      </c>
      <c r="C23" s="448">
        <f t="shared" ca="1" si="3"/>
        <v>0</v>
      </c>
      <c r="D23" s="448">
        <f t="shared" ca="1" si="4"/>
        <v>1753.5554894952941</v>
      </c>
      <c r="E23" s="448">
        <f t="shared" si="5"/>
        <v>7.9228007575768942</v>
      </c>
      <c r="F23" s="448">
        <f t="shared" ca="1" si="6"/>
        <v>371.54125524733246</v>
      </c>
      <c r="G23" s="448">
        <f t="shared" si="7"/>
        <v>0</v>
      </c>
      <c r="H23" s="448">
        <f t="shared" si="8"/>
        <v>0</v>
      </c>
      <c r="I23" s="448">
        <f t="shared" si="9"/>
        <v>0</v>
      </c>
      <c r="J23" s="448">
        <f t="shared" si="10"/>
        <v>1.9983349248512452</v>
      </c>
      <c r="K23" s="448">
        <f t="shared" si="11"/>
        <v>0</v>
      </c>
      <c r="L23" s="448">
        <f t="shared" ca="1" si="12"/>
        <v>0</v>
      </c>
      <c r="M23" s="448">
        <f t="shared" si="13"/>
        <v>0</v>
      </c>
      <c r="N23" s="448">
        <f t="shared" ca="1" si="14"/>
        <v>0</v>
      </c>
      <c r="O23" s="448">
        <f t="shared" si="15"/>
        <v>0</v>
      </c>
      <c r="P23" s="449">
        <f t="shared" si="16"/>
        <v>0</v>
      </c>
      <c r="Q23" s="447">
        <f t="shared" ref="Q23:Q32" ca="1" si="17">SUM(B23:P23)</f>
        <v>4607.3010921825071</v>
      </c>
    </row>
    <row r="24" spans="1:17">
      <c r="A24" s="447" t="s">
        <v>187</v>
      </c>
      <c r="B24" s="448">
        <f t="shared" ca="1" si="2"/>
        <v>127.30242464975431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127.30242464975431</v>
      </c>
    </row>
    <row r="25" spans="1:17">
      <c r="A25" s="447" t="s">
        <v>105</v>
      </c>
      <c r="B25" s="448">
        <f t="shared" ca="1" si="2"/>
        <v>69.183982025099269</v>
      </c>
      <c r="C25" s="448">
        <f t="shared" ca="1" si="3"/>
        <v>0</v>
      </c>
      <c r="D25" s="448">
        <f t="shared" si="4"/>
        <v>8.3922051266562114</v>
      </c>
      <c r="E25" s="448">
        <f t="shared" si="5"/>
        <v>1.8249126536760019</v>
      </c>
      <c r="F25" s="448">
        <f t="shared" si="6"/>
        <v>365.31818749813971</v>
      </c>
      <c r="G25" s="448">
        <f t="shared" si="7"/>
        <v>0</v>
      </c>
      <c r="H25" s="448">
        <f t="shared" si="8"/>
        <v>0</v>
      </c>
      <c r="I25" s="448">
        <f t="shared" si="9"/>
        <v>0</v>
      </c>
      <c r="J25" s="448">
        <f t="shared" si="10"/>
        <v>15.719295682270138</v>
      </c>
      <c r="K25" s="448">
        <f t="shared" si="11"/>
        <v>0</v>
      </c>
      <c r="L25" s="448">
        <f t="shared" si="12"/>
        <v>0</v>
      </c>
      <c r="M25" s="448">
        <f t="shared" si="13"/>
        <v>0</v>
      </c>
      <c r="N25" s="448">
        <f t="shared" si="14"/>
        <v>0</v>
      </c>
      <c r="O25" s="448">
        <f t="shared" si="15"/>
        <v>0</v>
      </c>
      <c r="P25" s="449">
        <f t="shared" si="16"/>
        <v>0</v>
      </c>
      <c r="Q25" s="447">
        <f t="shared" ca="1" si="17"/>
        <v>460.43858298584132</v>
      </c>
    </row>
    <row r="26" spans="1:17">
      <c r="A26" s="447" t="s">
        <v>614</v>
      </c>
      <c r="B26" s="448">
        <f t="shared" ca="1" si="2"/>
        <v>209.22882226613663</v>
      </c>
      <c r="C26" s="448">
        <f t="shared" ca="1" si="3"/>
        <v>0</v>
      </c>
      <c r="D26" s="448">
        <f t="shared" si="4"/>
        <v>126.96422252653606</v>
      </c>
      <c r="E26" s="448">
        <f t="shared" si="5"/>
        <v>39.747411306254442</v>
      </c>
      <c r="F26" s="448">
        <f t="shared" si="6"/>
        <v>183.69985439322735</v>
      </c>
      <c r="G26" s="448">
        <f t="shared" si="7"/>
        <v>0</v>
      </c>
      <c r="H26" s="448">
        <f t="shared" si="8"/>
        <v>0</v>
      </c>
      <c r="I26" s="448">
        <f t="shared" si="9"/>
        <v>0</v>
      </c>
      <c r="J26" s="448">
        <f t="shared" si="10"/>
        <v>0.44959355538924728</v>
      </c>
      <c r="K26" s="448">
        <f t="shared" si="11"/>
        <v>0</v>
      </c>
      <c r="L26" s="448">
        <f t="shared" si="12"/>
        <v>0</v>
      </c>
      <c r="M26" s="448">
        <f t="shared" si="13"/>
        <v>0</v>
      </c>
      <c r="N26" s="448">
        <f t="shared" si="14"/>
        <v>0</v>
      </c>
      <c r="O26" s="448">
        <f t="shared" si="15"/>
        <v>0</v>
      </c>
      <c r="P26" s="449">
        <f t="shared" si="16"/>
        <v>0</v>
      </c>
      <c r="Q26" s="447">
        <f t="shared" ca="1" si="17"/>
        <v>560.08990404754377</v>
      </c>
    </row>
    <row r="27" spans="1:17" s="453" customFormat="1">
      <c r="A27" s="451" t="s">
        <v>555</v>
      </c>
      <c r="B27" s="725">
        <f t="shared" ca="1" si="2"/>
        <v>0.93852340969780046</v>
      </c>
      <c r="C27" s="452">
        <f t="shared" ca="1" si="3"/>
        <v>0</v>
      </c>
      <c r="D27" s="452">
        <f t="shared" si="4"/>
        <v>1.2059896797329872</v>
      </c>
      <c r="E27" s="452">
        <f t="shared" si="5"/>
        <v>47.14209037914403</v>
      </c>
      <c r="F27" s="452">
        <f t="shared" si="6"/>
        <v>0</v>
      </c>
      <c r="G27" s="452">
        <f t="shared" si="7"/>
        <v>12415.228109287824</v>
      </c>
      <c r="H27" s="452">
        <f t="shared" si="8"/>
        <v>2669.1982228782445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15133.712935634641</v>
      </c>
    </row>
    <row r="28" spans="1:17">
      <c r="A28" s="447" t="s">
        <v>545</v>
      </c>
      <c r="B28" s="448">
        <f t="shared" ca="1" si="2"/>
        <v>2.1961841974619696</v>
      </c>
      <c r="C28" s="448">
        <f t="shared" ca="1" si="3"/>
        <v>0</v>
      </c>
      <c r="D28" s="448">
        <f t="shared" si="4"/>
        <v>0</v>
      </c>
      <c r="E28" s="448">
        <f t="shared" si="5"/>
        <v>0</v>
      </c>
      <c r="F28" s="448">
        <f t="shared" si="6"/>
        <v>0</v>
      </c>
      <c r="G28" s="448">
        <f t="shared" si="7"/>
        <v>638.71424707779693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640.91043127525893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128.42518676526655</v>
      </c>
      <c r="C32" s="448">
        <f t="shared" ca="1" si="3"/>
        <v>0</v>
      </c>
      <c r="D32" s="448">
        <f t="shared" si="4"/>
        <v>206.96687723578853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335.39206400105508</v>
      </c>
    </row>
    <row r="33" spans="1:17" s="460" customFormat="1">
      <c r="A33" s="457" t="s">
        <v>549</v>
      </c>
      <c r="B33" s="458">
        <f ca="1">SUM(B22:B32)</f>
        <v>6296.7032048464907</v>
      </c>
      <c r="C33" s="458">
        <f t="shared" ref="C33:Q33" ca="1" si="18">SUM(C22:C32)</f>
        <v>0</v>
      </c>
      <c r="D33" s="458">
        <f t="shared" ca="1" si="18"/>
        <v>7711.0043275406451</v>
      </c>
      <c r="E33" s="458">
        <f t="shared" si="18"/>
        <v>413.2739312840198</v>
      </c>
      <c r="F33" s="458">
        <f t="shared" ca="1" si="18"/>
        <v>12333.905801669058</v>
      </c>
      <c r="G33" s="458">
        <f t="shared" si="18"/>
        <v>13053.94235636562</v>
      </c>
      <c r="H33" s="458">
        <f t="shared" si="18"/>
        <v>2669.1982228782445</v>
      </c>
      <c r="I33" s="458">
        <f t="shared" si="18"/>
        <v>0</v>
      </c>
      <c r="J33" s="458">
        <f t="shared" si="18"/>
        <v>304.74289501918196</v>
      </c>
      <c r="K33" s="458">
        <f t="shared" si="18"/>
        <v>0</v>
      </c>
      <c r="L33" s="458">
        <f t="shared" ca="1" si="18"/>
        <v>0</v>
      </c>
      <c r="M33" s="458">
        <f t="shared" si="18"/>
        <v>0</v>
      </c>
      <c r="N33" s="458">
        <f t="shared" ca="1" si="18"/>
        <v>0</v>
      </c>
      <c r="O33" s="458">
        <f t="shared" si="18"/>
        <v>0</v>
      </c>
      <c r="P33" s="458">
        <f t="shared" si="18"/>
        <v>0</v>
      </c>
      <c r="Q33" s="458">
        <f t="shared" ca="1" si="18"/>
        <v>42782.770739603264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1826.5567607566563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54</v>
      </c>
      <c r="C8" s="982">
        <f>'SEAP template'!C76</f>
        <v>0</v>
      </c>
      <c r="D8" s="982">
        <f>'SEAP template'!D76</f>
        <v>0</v>
      </c>
      <c r="E8" s="982">
        <f>'SEAP template'!E76</f>
        <v>0</v>
      </c>
      <c r="F8" s="982">
        <f>'SEAP template'!F76</f>
        <v>0</v>
      </c>
      <c r="G8" s="982">
        <f>'SEAP template'!G76</f>
        <v>0</v>
      </c>
      <c r="H8" s="982">
        <f>'SEAP template'!H76</f>
        <v>0</v>
      </c>
      <c r="I8" s="982">
        <f>'SEAP template'!I76</f>
        <v>63.529411764705884</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4864.5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13898.571428571429</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6745.0567607566563</v>
      </c>
      <c r="C10" s="986">
        <f>SUM(C4:C9)</f>
        <v>0</v>
      </c>
      <c r="D10" s="986">
        <f t="shared" ref="D10:H10" si="0">SUM(D8:D9)</f>
        <v>0</v>
      </c>
      <c r="E10" s="986">
        <f t="shared" si="0"/>
        <v>0</v>
      </c>
      <c r="F10" s="986">
        <f t="shared" si="0"/>
        <v>0</v>
      </c>
      <c r="G10" s="986">
        <f t="shared" si="0"/>
        <v>0</v>
      </c>
      <c r="H10" s="986">
        <f t="shared" si="0"/>
        <v>0</v>
      </c>
      <c r="I10" s="986">
        <f>SUM(I8:I9)</f>
        <v>63.529411764705884</v>
      </c>
      <c r="J10" s="986">
        <f>SUM(J8:J9)</f>
        <v>13898.571428571429</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0.17869615305217088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60.75</v>
      </c>
      <c r="C17" s="988">
        <f>'SEAP template'!C87</f>
        <v>0</v>
      </c>
      <c r="D17" s="983">
        <f>'SEAP template'!D87</f>
        <v>0</v>
      </c>
      <c r="E17" s="983">
        <f>'SEAP template'!E87</f>
        <v>0</v>
      </c>
      <c r="F17" s="983">
        <f>'SEAP template'!F87</f>
        <v>0</v>
      </c>
      <c r="G17" s="983">
        <f>'SEAP template'!G87</f>
        <v>0</v>
      </c>
      <c r="H17" s="983">
        <f>'SEAP template'!H87</f>
        <v>0</v>
      </c>
      <c r="I17" s="983">
        <f>'SEAP template'!I87</f>
        <v>71.470588235294116</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60.75</v>
      </c>
      <c r="C20" s="986">
        <f>SUM(C17:C19)</f>
        <v>0</v>
      </c>
      <c r="D20" s="986">
        <f t="shared" ref="D20:H20" si="2">SUM(D17:D19)</f>
        <v>0</v>
      </c>
      <c r="E20" s="986">
        <f t="shared" si="2"/>
        <v>0</v>
      </c>
      <c r="F20" s="986">
        <f t="shared" si="2"/>
        <v>0</v>
      </c>
      <c r="G20" s="986">
        <f t="shared" si="2"/>
        <v>0</v>
      </c>
      <c r="H20" s="986">
        <f t="shared" si="2"/>
        <v>0</v>
      </c>
      <c r="I20" s="986">
        <f>SUM(I17:I19)</f>
        <v>71.470588235294116</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0.17869615305217088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2022-07-26T11:59:33Z</dcterms:modified>
</cp:coreProperties>
</file>