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55A0A87D-9F54-4327-AF7D-B71758FF07D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<sst xmlns="http://schemas.openxmlformats.org/spreadsheetml/2006/main" count="2446" uniqueCount="911">
  <si>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</si>
  <si>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</si>
  <si>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</si>
  <si>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</si>
  <si>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</si>
  <si>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</si>
  <si>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</si>
  <si>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</si>
  <si>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</si>
  <si>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</si>
  <si>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</si>
  <si>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</si>
  <si>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</si>
  <si>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</si>
  <si>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</si>
  <si>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</si>
  <si>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</si>
  <si>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</si>
  <si>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</si>
  <si>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</si>
  <si>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</si>
  <si>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</si>
  <si>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</si>
  <si>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</si>
  <si>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</si>
  <si>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</si>
  <si>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</si>
  <si>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</si>
  <si>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</si>
  <si>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</si>
  <si>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</si>
  <si>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</si>
  <si>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</si>
  <si>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</si>
  <si>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</si>
  <si>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</si>
  <si>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</si>
  <si>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</si>
  <si>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</si>
  <si>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</si>
  <si>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</si>
  <si>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</si>
  <si>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</si>
  <si>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</si>
  <si>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</si>
  <si>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</si>
  <si>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</si>
  <si>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</si>
  <si>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</si>
  <si>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</si>
  <si>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</si>
  <si>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</si>
  <si>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</si>
  <si>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</si>
  <si>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</si>
  <si>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</si>
  <si>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</si>
  <si>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</si>
  <si>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</si>
  <si>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</si>
  <si>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</si>
  <si>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</si>
  <si>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</si>
  <si>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</si>
  <si>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</si>
  <si>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</si>
  <si>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</si>
  <si>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</si>
  <si>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</si>
  <si>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</si>
  <si>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</si>
  <si>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</si>
  <si>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</si>
  <si>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</si>
  <si>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</si>
  <si>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</si>
  <si>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</si>
  <si>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</si>
  <si>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</si>
  <si>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</si>
  <si>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</si>
  <si>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</si>
  <si>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</si>
  <si>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</si>
  <si>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</si>
  <si>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</si>
  <si>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</si>
  <si>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</si>
  <si>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</si>
  <si>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</si>
  <si>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</si>
  <si>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</si>
  <si>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</si>
  <si>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</si>
  <si>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</si>
  <si>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</si>
  <si>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</si>
  <si>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</si>
  <si>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</si>
  <si>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</si>
  <si>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</si>
  <si>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</si>
  <si>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</si>
  <si>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</si>
  <si>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</si>
  <si>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</si>
  <si>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</si>
  <si>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</si>
  <si>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</si>
  <si>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</si>
  <si>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</si>
  <si>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</si>
  <si>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</si>
  <si>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</si>
  <si>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</si>
  <si>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</si>
  <si>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</si>
  <si>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</si>
  <si>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</si>
  <si>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</si>
  <si>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</si>
  <si>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</si>
  <si>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</si>
  <si>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</si>
  <si>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</si>
  <si>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</si>
  <si>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</si>
  <si>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</si>
  <si>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</si>
  <si>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</si>
  <si>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</si>
  <si>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</si>
  <si>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</si>
  <si>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</si>
  <si>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</si>
  <si>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</si>
  <si>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</si>
  <si>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</si>
  <si>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</si>
  <si>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</si>
  <si>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</si>
  <si>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</si>
  <si>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</si>
  <si>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</si>
  <si>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</si>
  <si>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</si>
  <si>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</si>
  <si>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</si>
  <si>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</si>
  <si>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</si>
  <si>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</si>
  <si>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</si>
  <si>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</si>
  <si>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</si>
  <si>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</si>
  <si>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</si>
  <si>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</si>
  <si>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</si>
  <si>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</si>
  <si>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</si>
  <si>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</si>
  <si>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</si>
  <si>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</si>
  <si>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</si>
  <si>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</si>
  <si>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</si>
  <si>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</si>
  <si>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</si>
  <si>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</si>
  <si>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</si>
  <si>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</si>
  <si>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</si>
  <si>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</si>
  <si>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</si>
  <si>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</si>
  <si>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</si>
  <si>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</si>
  <si>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</si>
  <si>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</si>
  <si>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</si>
  <si>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</si>
  <si>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</si>
  <si>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</si>
  <si>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</si>
  <si>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</si>
  <si>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</si>
  <si>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</si>
  <si>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</si>
  <si>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</si>
  <si>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</si>
  <si>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</si>
  <si>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</si>
  <si>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</si>
  <si>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</si>
  <si>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</si>
  <si>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</si>
  <si>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</si>
  <si>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</si>
  <si>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</si>
  <si>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</si>
  <si>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</si>
  <si>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</si>
  <si>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</si>
  <si>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</si>
  <si>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</si>
  <si>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</si>
  <si>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</si>
  <si>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</si>
  <si>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</si>
  <si>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</si>
  <si>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</si>
  <si>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</si>
  <si>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</si>
  <si>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</si>
  <si>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</si>
  <si>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</si>
  <si>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</si>
  <si>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</si>
  <si>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</si>
  <si>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</si>
  <si>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</si>
  <si>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</si>
  <si>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</si>
  <si>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</si>
  <si>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</si>
  <si>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</si>
  <si>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</si>
  <si>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</si>
  <si>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</si>
  <si>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</si>
  <si>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</si>
  <si>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</si>
  <si>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</si>
  <si>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</si>
  <si>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</si>
  <si>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</si>
  <si>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</si>
  <si>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</si>
  <si>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</si>
  <si>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</si>
  <si>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</si>
  <si>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</si>
  <si>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</si>
  <si>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</si>
  <si>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</si>
  <si>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</si>
  <si>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</si>
  <si>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</si>
  <si>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</si>
  <si>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</si>
  <si>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</si>
  <si>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</si>
  <si>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</si>
  <si>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</si>
  <si>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</si>
  <si>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</si>
  <si>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</si>
  <si>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</si>
  <si>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</si>
  <si>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</si>
  <si>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</si>
  <si>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</si>
  <si>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</si>
  <si>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</si>
  <si>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</si>
  <si>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</si>
  <si>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</si>
  <si>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</si>
  <si>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</si>
  <si>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</si>
  <si>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</si>
  <si>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</si>
  <si>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</si>
  <si>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</si>
  <si>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</si>
  <si>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</si>
  <si>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</si>
  <si>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</si>
  <si>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</si>
  <si>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</si>
  <si>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</si>
  <si>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</si>
  <si>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</si>
  <si>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</si>
  <si>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</si>
  <si>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</si>
  <si>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</si>
  <si>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</si>
  <si>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</si>
  <si>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</si>
  <si>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</si>
  <si>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</si>
  <si>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</si>
  <si>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</si>
  <si>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</si>
  <si>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</si>
  <si>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</si>
  <si>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</si>
  <si>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</si>
  <si>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</si>
  <si>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</si>
  <si>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</si>
  <si>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</si>
  <si>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</si>
  <si>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</si>
  <si>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</si>
  <si>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</si>
  <si>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</si>
  <si>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</si>
  <si>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</si>
  <si>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</si>
  <si>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</si>
  <si>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</si>
  <si>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</si>
  <si>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</si>
  <si>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</si>
  <si>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</si>
  <si>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</si>
  <si>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</si>
  <si>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</si>
  <si>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</si>
  <si>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</si>
  <si>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</si>
  <si>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</si>
  <si>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</si>
  <si>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</si>
  <si>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</si>
  <si>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</si>
  <si>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</si>
  <si>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</si>
  <si>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</si>
  <si>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</si>
  <si>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</si>
  <si>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</si>
  <si>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</si>
  <si>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</si>
  <si>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</si>
  <si>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</si>
  <si>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</si>
  <si>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</si>
  <si>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</si>
  <si>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</si>
  <si>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</si>
  <si>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</si>
  <si>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</si>
  <si>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</si>
  <si>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</si>
  <si>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</si>
  <si>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</si>
  <si>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</si>
  <si>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</si>
  <si>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</si>
  <si>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</si>
  <si>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</si>
  <si>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</si>
  <si>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</si>
  <si>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</si>
  <si>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</si>
  <si>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</si>
  <si>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</si>
  <si>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</si>
  <si>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</si>
  <si>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</si>
  <si>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</si>
  <si>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</si>
  <si>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</si>
  <si>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</si>
  <si>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</si>
  <si>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</si>
  <si>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</si>
  <si>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</si>
  <si>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</si>
  <si>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</si>
  <si>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</si>
  <si>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</si>
  <si>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</si>
  <si>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</si>
  <si>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</si>
  <si>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</si>
  <si>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</si>
  <si>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</si>
  <si>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</si>
  <si>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</si>
  <si>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</si>
  <si>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</si>
  <si>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</si>
  <si>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</si>
  <si>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</si>
  <si>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</si>
  <si>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</si>
  <si>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</si>
  <si>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</si>
  <si>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</si>
  <si>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</si>
  <si>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</si>
  <si>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</si>
  <si>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</si>
  <si>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</si>
  <si>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</si>
  <si>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</si>
  <si>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</si>
  <si>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</si>
  <si>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</si>
  <si>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</si>
  <si>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</si>
  <si>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</si>
  <si>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</si>
  <si>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</si>
  <si>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</si>
  <si>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</si>
  <si>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</si>
  <si>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</si>
  <si>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</si>
  <si>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</si>
  <si>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</si>
  <si>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</si>
  <si>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</si>
  <si>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</si>
  <si>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</si>
  <si>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</si>
  <si>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</si>
  <si>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</si>
  <si>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</si>
  <si>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</si>
  <si>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</si>
  <si>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</si>
  <si>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</si>
  <si>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</si>
  <si>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</si>
  <si>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</si>
  <si>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</si>
  <si>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</si>
  <si>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</si>
  <si>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</si>
  <si>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</si>
  <si>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</si>
  <si>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</si>
  <si>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</si>
  <si>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</si>
  <si>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</si>
  <si>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</si>
  <si>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</si>
  <si>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</si>
  <si>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</si>
  <si>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</si>
  <si>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</si>
  <si>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</si>
  <si>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</si>
  <si>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</si>
  <si>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</si>
  <si>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</si>
  <si>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</si>
  <si>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</si>
  <si>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</si>
  <si>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</si>
  <si>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</si>
  <si>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</si>
  <si>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</si>
  <si>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</si>
  <si>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</si>
  <si>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</si>
  <si>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</si>
  <si>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</si>
  <si>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</si>
  <si>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</si>
  <si>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</si>
  <si>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</si>
  <si>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</si>
  <si>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</si>
  <si>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</si>
  <si>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</si>
  <si>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</si>
  <si>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</si>
  <si>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</si>
  <si>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</si>
  <si>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</si>
  <si>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</si>
  <si>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</si>
  <si>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</si>
  <si>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</si>
  <si>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</si>
  <si>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</si>
  <si>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</si>
  <si>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</si>
  <si>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</si>
  <si>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</si>
  <si>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</si>
  <si>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</si>
  <si>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</si>
  <si>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</si>
  <si>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</si>
  <si>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</si>
  <si>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</si>
  <si>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</si>
  <si>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</si>
  <si>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</si>
  <si>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</si>
  <si>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</si>
  <si>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</si>
  <si>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</si>
  <si>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</si>
  <si>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</si>
  <si>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</si>
  <si>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</si>
  <si>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</si>
  <si>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</si>
  <si>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</si>
  <si>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</si>
  <si>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</si>
  <si>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</si>
  <si>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</si>
  <si>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</si>
  <si>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</si>
  <si>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</si>
  <si>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</si>
  <si>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</si>
  <si>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</si>
  <si>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</si>
  <si>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</si>
  <si>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</si>
  <si>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</si>
  <si>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</si>
  <si>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</si>
  <si>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</si>
  <si>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</si>
  <si>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</si>
  <si>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</si>
  <si>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</si>
  <si>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</si>
  <si>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</si>
  <si>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</si>
  <si>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</si>
  <si>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</si>
  <si>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</si>
  <si>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</si>
  <si>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</si>
  <si>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</si>
  <si>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</si>
  <si>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</si>
  <si>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</si>
  <si>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</si>
  <si>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</si>
  <si>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</si>
  <si>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</si>
  <si>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</si>
  <si>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</si>
  <si>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</si>
  <si>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</si>
  <si>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</si>
  <si>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</si>
  <si>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</si>
  <si>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</si>
  <si>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</si>
  <si>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</si>
  <si>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</si>
  <si>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</si>
  <si>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</si>
  <si>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</si>
  <si>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</si>
  <si>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</si>
  <si>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</si>
  <si>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</si>
  <si>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</si>
  <si>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</si>
  <si>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</si>
  <si>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</si>
  <si>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</si>
  <si>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</si>
  <si>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</si>
  <si>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</si>
  <si>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</si>
  <si>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</si>
  <si>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</si>
  <si>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</si>
  <si>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</si>
  <si>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</si>
  <si>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</si>
  <si>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</si>
  <si>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</si>
  <si>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</si>
  <si>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</si>
  <si>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</si>
  <si>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</si>
  <si>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</si>
  <si>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</si>
  <si>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</si>
  <si>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</si>
  <si>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</si>
  <si>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</si>
  <si>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</si>
  <si>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</si>
  <si>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</si>
  <si>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</si>
  <si>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</si>
  <si>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</si>
  <si>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</si>
  <si>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</si>
  <si>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</si>
  <si>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</si>
  <si>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</si>
  <si>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</si>
  <si>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</si>
  <si>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</si>
  <si>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</si>
  <si>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</si>
  <si>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</si>
  <si>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</si>
  <si>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</si>
  <si>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</si>
  <si>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</si>
  <si>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</si>
  <si>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</si>
  <si>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</si>
  <si>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</si>
  <si>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</si>
  <si>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</si>
  <si>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</si>
  <si>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</si>
  <si>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</si>
  <si>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</si>
  <si>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</si>
  <si>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</si>
  <si>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</si>
  <si>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</si>
  <si>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</si>
  <si>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</si>
  <si>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</si>
  <si>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</si>
  <si>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</si>
  <si>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</si>
  <si>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</si>
  <si>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</si>
  <si>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</si>
  <si>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</si>
  <si>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</si>
  <si>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</si>
  <si>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</si>
  <si>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</si>
  <si>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</si>
  <si>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</si>
  <si>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</si>
  <si>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</si>
  <si>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</si>
  <si>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</si>
  <si>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</si>
  <si>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</si>
  <si>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</si>
  <si>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</si>
  <si>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</si>
  <si>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</si>
  <si>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</si>
  <si>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</si>
  <si>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</si>
  <si>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</si>
  <si>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</si>
  <si>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</si>
  <si>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</si>
  <si>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</si>
  <si>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</si>
  <si>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</si>
  <si>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</si>
  <si>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</si>
  <si>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</si>
  <si>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</si>
  <si>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</si>
  <si>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</si>
  <si>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</si>
  <si>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</si>
  <si>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</si>
  <si>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</si>
  <si>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</si>
  <si>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</si>
  <si>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</si>
  <si>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</si>
  <si>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</si>
  <si>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</si>
  <si>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</si>
  <si>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</si>
  <si>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</si>
  <si>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</si>
  <si>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</si>
  <si>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</si>
  <si>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</si>
  <si>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</si>
  <si>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</si>
  <si>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</si>
  <si>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</si>
  <si>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</si>
  <si>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</si>
  <si>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</si>
  <si>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</si>
  <si>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</si>
  <si>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</si>
  <si>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</si>
  <si>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</si>
  <si>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</si>
  <si>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</si>
  <si>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</si>
  <si>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</si>
  <si>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</si>
  <si>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</si>
  <si>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</si>
  <si>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</si>
  <si>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</si>
  <si>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</si>
  <si>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</si>
  <si>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</si>
  <si>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</si>
  <si>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</si>
  <si>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</si>
  <si>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</si>
  <si>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</si>
  <si>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</si>
  <si>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</si>
  <si>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</si>
  <si>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</si>
  <si>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</si>
  <si>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</si>
  <si>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</si>
  <si>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</si>
  <si>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</si>
  <si>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</si>
  <si>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</si>
  <si>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</si>
  <si>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</si>
  <si>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</si>
  <si>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</si>
  <si>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</si>
  <si>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</si>
  <si>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</si>
  <si>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</si>
  <si>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</si>
  <si>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</si>
  <si>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</si>
  <si>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</si>
  <si>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</si>
  <si>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</si>
  <si>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</si>
  <si>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</si>
  <si>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</si>
  <si>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</si>
  <si>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</si>
  <si>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</si>
  <si>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</si>
  <si>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</si>
  <si>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</si>
  <si>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</si>
  <si>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</si>
  <si>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</si>
  <si>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</si>
  <si>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</si>
  <si>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</si>
  <si>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</si>
  <si>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</si>
  <si>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</si>
  <si>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</si>
  <si>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</si>
  <si>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</si>
  <si>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</si>
  <si>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</si>
  <si>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</si>
  <si>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</si>
  <si>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</si>
  <si>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</si>
  <si>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</si>
  <si>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</si>
  <si>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</si>
  <si>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</si>
  <si>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</si>
  <si>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</si>
  <si>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</si>
  <si>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</si>
  <si>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</si>
  <si>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</si>
  <si>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</si>
  <si>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</si>
  <si>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</si>
  <si>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</si>
  <si>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</si>
  <si>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</si>
  <si>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</si>
  <si>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</si>
  <si>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</si>
  <si>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</si>
  <si>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</si>
  <si>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</si>
  <si>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</si>
  <si>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</si>
  <si>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</si>
  <si>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</si>
  <si>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</si>
  <si>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</si>
  <si>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</si>
  <si>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</si>
  <si>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</si>
  <si>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</si>
  <si>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</si>
  <si>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</si>
  <si>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</si>
  <si>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</si>
  <si>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</si>
  <si>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</si>
  <si>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</si>
  <si>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</si>
  <si>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</si>
  <si>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</si>
  <si>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</si>
  <si>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</si>
  <si>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</si>
  <si>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</si>
  <si>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</si>
  <si>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</si>
  <si>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</si>
  <si>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</si>
  <si>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</si>
  <si>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</si>
  <si>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</si>
  <si>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</si>
  <si>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</si>
  <si>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</si>
  <si>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</si>
  <si>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</si>
  <si>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</si>
  <si>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</si>
  <si>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</si>
  <si>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</si>
  <si>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</si>
  <si>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</si>
  <si>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</si>
  <si>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</si>
  <si>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</si>
  <si>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</si>
  <si>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</si>
  <si>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</si>
  <si>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</si>
  <si>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</si>
  <si>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</si>
  <si>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</si>
  <si>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</si>
  <si>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</si>
  <si>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</si>
  <si>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</si>
  <si>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</si>
  <si>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</si>
  <si>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</si>
  <si>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</si>
  <si>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</si>
  <si>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</si>
  <si>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</si>
  <si>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</si>
  <si>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</si>
  <si>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</si>
  <si>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</si>
  <si>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</si>
  <si>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</si>
  <si>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</si>
  <si>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</si>
  <si>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</si>
  <si>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</si>
  <si>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</si>
  <si>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</si>
  <si>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</si>
  <si>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</si>
  <si>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</si>
  <si>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</si>
  <si>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</si>
  <si>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</si>
  <si>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</si>
  <si>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</si>
  <si>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</si>
  <si>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</si>
  <si>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</si>
  <si>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</si>
  <si>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</si>
  <si>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</si>
  <si>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</si>
  <si>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</si>
  <si>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</si>
  <si>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</si>
  <si>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</si>
  <si>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</si>
  <si>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</si>
  <si>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</si>
  <si>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</si>
  <si>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</si>
  <si>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</si>
  <si>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</si>
  <si>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</si>
  <si>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</si>
  <si>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</si>
  <si>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</si>
  <si>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</si>
  <si>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</si>
  <si>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</si>
  <si>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</si>
  <si>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</si>
  <si>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</si>
  <si>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</si>
  <si>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</si>
  <si>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</si>
  <si>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</si>
  <si>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</si>
  <si>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23104</t>
  </si>
  <si>
    <t>LENNIK</t>
  </si>
  <si>
    <t>Cultuurgrond (ha)</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</si>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</sst>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D161F8E-5C06-4D29-918E-51CDCE87962A}"/>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93005.253283019163</c:v>
                </c:pt>
                <c:pt idx="1">
                  <c:v>18722.960099763211</c:v>
                </c:pt>
                <c:pt idx="2">
                  <c:v>611.096</c:v>
                </c:pt>
                <c:pt idx="3">
                  <c:v>7727.9379653032456</c:v>
                </c:pt>
                <c:pt idx="4">
                  <c:v>5372.8959721299916</c:v>
                </c:pt>
                <c:pt idx="5">
                  <c:v>92595.746135128851</c:v>
                </c:pt>
                <c:pt idx="6">
                  <c:v>1930.8208252968102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93005.253283019163</c:v>
                </c:pt>
                <c:pt idx="1">
                  <c:v>18722.960099763211</c:v>
                </c:pt>
                <c:pt idx="2">
                  <c:v>611.096</c:v>
                </c:pt>
                <c:pt idx="3">
                  <c:v>7727.9379653032456</c:v>
                </c:pt>
                <c:pt idx="4">
                  <c:v>5372.8959721299916</c:v>
                </c:pt>
                <c:pt idx="5">
                  <c:v>92595.746135128851</c:v>
                </c:pt>
                <c:pt idx="6">
                  <c:v>1930.8208252968102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20410.628830820944</c:v>
                </c:pt>
                <c:pt idx="2">
                  <c:v>3860.7932032678068</c:v>
                </c:pt>
                <c:pt idx="3">
                  <c:v>128.6222154863203</c:v>
                </c:pt>
                <c:pt idx="4">
                  <c:v>1768.5402980789859</c:v>
                </c:pt>
                <c:pt idx="5">
                  <c:v>1162.5643343411634</c:v>
                </c:pt>
                <c:pt idx="6">
                  <c:v>23355.92083377024</c:v>
                </c:pt>
                <c:pt idx="7">
                  <c:v>492.97874924149801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20410.628830820944</c:v>
                </c:pt>
                <c:pt idx="2">
                  <c:v>3860.7932032678068</c:v>
                </c:pt>
                <c:pt idx="3">
                  <c:v>128.6222154863203</c:v>
                </c:pt>
                <c:pt idx="4">
                  <c:v>1768.5402980789859</c:v>
                </c:pt>
                <c:pt idx="5">
                  <c:v>1162.5643343411634</c:v>
                </c:pt>
                <c:pt idx="6">
                  <c:v>23355.92083377024</c:v>
                </c:pt>
                <c:pt idx="7">
                  <c:v>492.97874924149801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23104</v>
      </c>
      <c r="B6" s="385"/>
      <c r="C6" s="386"/>
    </row>
    <row r="7" spans="1:7" s="383" customFormat="1" ht="15.75" customHeight="1">
      <c r="A7" s="387" t="str">
        <f>txtMunicipality</f>
        <v>LENNIK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0.21047792079529287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0.21047792079529287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3520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1823</v>
      </c>
      <c r="C14" s="327"/>
      <c r="D14" s="327"/>
      <c r="E14" s="327"/>
      <c r="F14" s="327"/>
    </row>
    <row r="15" spans="1:6">
      <c r="A15" s="1258" t="s">
        <v>177</v>
      </c>
      <c r="B15" s="1259">
        <v>13</v>
      </c>
      <c r="C15" s="327"/>
      <c r="D15" s="327"/>
      <c r="E15" s="327"/>
      <c r="F15" s="327"/>
    </row>
    <row r="16" spans="1:6">
      <c r="A16" s="1258" t="s">
        <v>6</v>
      </c>
      <c r="B16" s="1259">
        <v>521</v>
      </c>
      <c r="C16" s="327"/>
      <c r="D16" s="327"/>
      <c r="E16" s="327"/>
      <c r="F16" s="327"/>
    </row>
    <row r="17" spans="1:6">
      <c r="A17" s="1258" t="s">
        <v>7</v>
      </c>
      <c r="B17" s="1259">
        <v>638</v>
      </c>
      <c r="C17" s="327"/>
      <c r="D17" s="327"/>
      <c r="E17" s="327"/>
      <c r="F17" s="327"/>
    </row>
    <row r="18" spans="1:6">
      <c r="A18" s="1258" t="s">
        <v>8</v>
      </c>
      <c r="B18" s="1259">
        <v>730</v>
      </c>
      <c r="C18" s="327"/>
      <c r="D18" s="327"/>
      <c r="E18" s="327"/>
      <c r="F18" s="327"/>
    </row>
    <row r="19" spans="1:6">
      <c r="A19" s="1258" t="s">
        <v>9</v>
      </c>
      <c r="B19" s="1259">
        <v>654</v>
      </c>
      <c r="C19" s="327"/>
      <c r="D19" s="327"/>
      <c r="E19" s="327"/>
      <c r="F19" s="327"/>
    </row>
    <row r="20" spans="1:6">
      <c r="A20" s="1258" t="s">
        <v>10</v>
      </c>
      <c r="B20" s="1259">
        <v>493</v>
      </c>
      <c r="C20" s="327"/>
      <c r="D20" s="327"/>
      <c r="E20" s="327"/>
      <c r="F20" s="327"/>
    </row>
    <row r="21" spans="1:6">
      <c r="A21" s="1258" t="s">
        <v>11</v>
      </c>
      <c r="B21" s="1259">
        <v>4</v>
      </c>
      <c r="C21" s="327"/>
      <c r="D21" s="327"/>
      <c r="E21" s="327"/>
      <c r="F21" s="327"/>
    </row>
    <row r="22" spans="1:6">
      <c r="A22" s="1258" t="s">
        <v>12</v>
      </c>
      <c r="B22" s="1259">
        <v>9</v>
      </c>
      <c r="C22" s="327"/>
      <c r="D22" s="327"/>
      <c r="E22" s="327"/>
      <c r="F22" s="327"/>
    </row>
    <row r="23" spans="1:6">
      <c r="A23" s="1258" t="s">
        <v>13</v>
      </c>
      <c r="B23" s="1259">
        <v>0</v>
      </c>
      <c r="C23" s="327"/>
      <c r="D23" s="327"/>
      <c r="E23" s="327"/>
      <c r="F23" s="327"/>
    </row>
    <row r="24" spans="1:6">
      <c r="A24" s="1258" t="s">
        <v>14</v>
      </c>
      <c r="B24" s="1259">
        <v>2</v>
      </c>
      <c r="C24" s="327"/>
      <c r="D24" s="327"/>
      <c r="E24" s="327"/>
      <c r="F24" s="327"/>
    </row>
    <row r="25" spans="1:6">
      <c r="A25" s="1258" t="s">
        <v>15</v>
      </c>
      <c r="B25" s="1259">
        <v>1</v>
      </c>
      <c r="C25" s="327"/>
      <c r="D25" s="327"/>
      <c r="E25" s="327"/>
      <c r="F25" s="327"/>
    </row>
    <row r="26" spans="1:6">
      <c r="A26" s="1258" t="s">
        <v>16</v>
      </c>
      <c r="B26" s="1259">
        <v>401</v>
      </c>
      <c r="C26" s="327"/>
      <c r="D26" s="327"/>
      <c r="E26" s="327"/>
      <c r="F26" s="327"/>
    </row>
    <row r="27" spans="1:6">
      <c r="A27" s="1258" t="s">
        <v>17</v>
      </c>
      <c r="B27" s="1259">
        <v>15</v>
      </c>
      <c r="C27" s="327"/>
      <c r="D27" s="327"/>
      <c r="E27" s="327"/>
      <c r="F27" s="327"/>
    </row>
    <row r="28" spans="1:6">
      <c r="A28" s="1258" t="s">
        <v>18</v>
      </c>
      <c r="B28" s="1260">
        <v>8150</v>
      </c>
      <c r="C28" s="327"/>
      <c r="D28" s="327"/>
      <c r="E28" s="327"/>
      <c r="F28" s="327"/>
    </row>
    <row r="29" spans="1:6">
      <c r="A29" s="1258" t="s">
        <v>905</v>
      </c>
      <c r="B29" s="1260">
        <v>191</v>
      </c>
      <c r="C29" s="327"/>
      <c r="D29" s="327"/>
      <c r="E29" s="327"/>
      <c r="F29" s="327"/>
    </row>
    <row r="30" spans="1:6">
      <c r="A30" s="1253" t="s">
        <v>906</v>
      </c>
      <c r="B30" s="1261">
        <v>26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1307</v>
      </c>
      <c r="D39" s="1259">
        <v>28938326.155638501</v>
      </c>
      <c r="E39" s="1259">
        <v>3383</v>
      </c>
      <c r="F39" s="1259">
        <v>17356254.358090501</v>
      </c>
    </row>
    <row r="40" spans="1:6">
      <c r="A40" s="1258" t="s">
        <v>29</v>
      </c>
      <c r="B40" s="1258" t="s">
        <v>28</v>
      </c>
      <c r="C40" s="1259">
        <v>0</v>
      </c>
      <c r="D40" s="1259">
        <v>0</v>
      </c>
      <c r="E40" s="1259">
        <v>1</v>
      </c>
      <c r="F40" s="1259">
        <v>2081</v>
      </c>
    </row>
    <row r="41" spans="1:6">
      <c r="A41" s="1258" t="s">
        <v>31</v>
      </c>
      <c r="B41" s="1258" t="s">
        <v>32</v>
      </c>
      <c r="C41" s="1259">
        <v>20</v>
      </c>
      <c r="D41" s="1259">
        <v>610694.58448498906</v>
      </c>
      <c r="E41" s="1259">
        <v>97</v>
      </c>
      <c r="F41" s="1259">
        <v>1197568.8805637599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5</v>
      </c>
      <c r="D48" s="1259">
        <v>219531.19547789401</v>
      </c>
      <c r="E48" s="1259">
        <v>27</v>
      </c>
      <c r="F48" s="1259">
        <v>1486786.19082149</v>
      </c>
    </row>
    <row r="49" spans="1:6">
      <c r="A49" s="1258" t="s">
        <v>31</v>
      </c>
      <c r="B49" s="1258" t="s">
        <v>39</v>
      </c>
      <c r="C49" s="1259">
        <v>0</v>
      </c>
      <c r="D49" s="1259">
        <v>0</v>
      </c>
      <c r="E49" s="1259">
        <v>0</v>
      </c>
      <c r="F49" s="1259">
        <v>0</v>
      </c>
    </row>
    <row r="50" spans="1:6">
      <c r="A50" s="1258" t="s">
        <v>31</v>
      </c>
      <c r="B50" s="1258" t="s">
        <v>40</v>
      </c>
      <c r="C50" s="1259">
        <v>0</v>
      </c>
      <c r="D50" s="1259">
        <v>0</v>
      </c>
      <c r="E50" s="1259">
        <v>3</v>
      </c>
      <c r="F50" s="1259">
        <v>73715.464187202597</v>
      </c>
    </row>
    <row r="51" spans="1:6">
      <c r="A51" s="1258" t="s">
        <v>41</v>
      </c>
      <c r="B51" s="1258" t="s">
        <v>42</v>
      </c>
      <c r="C51" s="1259">
        <v>0</v>
      </c>
      <c r="D51" s="1259">
        <v>0</v>
      </c>
      <c r="E51" s="1259">
        <v>60</v>
      </c>
      <c r="F51" s="1259">
        <v>745303.07701528398</v>
      </c>
    </row>
    <row r="52" spans="1:6">
      <c r="A52" s="1258" t="s">
        <v>41</v>
      </c>
      <c r="B52" s="1258" t="s">
        <v>28</v>
      </c>
      <c r="C52" s="1259">
        <v>6</v>
      </c>
      <c r="D52" s="1259">
        <v>4050193.9841113398</v>
      </c>
      <c r="E52" s="1259">
        <v>9</v>
      </c>
      <c r="F52" s="1259">
        <v>113958.017494731</v>
      </c>
    </row>
    <row r="53" spans="1:6">
      <c r="A53" s="1258" t="s">
        <v>43</v>
      </c>
      <c r="B53" s="1258" t="s">
        <v>44</v>
      </c>
      <c r="C53" s="1259">
        <v>49</v>
      </c>
      <c r="D53" s="1259">
        <v>1266640.8048960101</v>
      </c>
      <c r="E53" s="1259">
        <v>98</v>
      </c>
      <c r="F53" s="1259">
        <v>516843.055651362</v>
      </c>
    </row>
    <row r="54" spans="1:6">
      <c r="A54" s="1258" t="s">
        <v>45</v>
      </c>
      <c r="B54" s="1258" t="s">
        <v>46</v>
      </c>
      <c r="C54" s="1259">
        <v>0</v>
      </c>
      <c r="D54" s="1259">
        <v>0</v>
      </c>
      <c r="E54" s="1259">
        <v>1</v>
      </c>
      <c r="F54" s="1259">
        <v>611096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23</v>
      </c>
      <c r="D57" s="1259">
        <v>658434.571843207</v>
      </c>
      <c r="E57" s="1259">
        <v>37</v>
      </c>
      <c r="F57" s="1259">
        <v>350708.59506710299</v>
      </c>
    </row>
    <row r="58" spans="1:6">
      <c r="A58" s="1258" t="s">
        <v>48</v>
      </c>
      <c r="B58" s="1258" t="s">
        <v>50</v>
      </c>
      <c r="C58" s="1259">
        <v>12</v>
      </c>
      <c r="D58" s="1259">
        <v>515252.74665153702</v>
      </c>
      <c r="E58" s="1259">
        <v>27</v>
      </c>
      <c r="F58" s="1259">
        <v>837547.46508440003</v>
      </c>
    </row>
    <row r="59" spans="1:6">
      <c r="A59" s="1258" t="s">
        <v>48</v>
      </c>
      <c r="B59" s="1258" t="s">
        <v>51</v>
      </c>
      <c r="C59" s="1259">
        <v>26</v>
      </c>
      <c r="D59" s="1259">
        <v>1219906.3527949001</v>
      </c>
      <c r="E59" s="1259">
        <v>85</v>
      </c>
      <c r="F59" s="1259">
        <v>2353203.4430639599</v>
      </c>
    </row>
    <row r="60" spans="1:6">
      <c r="A60" s="1258" t="s">
        <v>48</v>
      </c>
      <c r="B60" s="1258" t="s">
        <v>52</v>
      </c>
      <c r="C60" s="1259">
        <v>17</v>
      </c>
      <c r="D60" s="1259">
        <v>739933.85417436797</v>
      </c>
      <c r="E60" s="1259">
        <v>40</v>
      </c>
      <c r="F60" s="1259">
        <v>905221.32387246599</v>
      </c>
    </row>
    <row r="61" spans="1:6">
      <c r="A61" s="1258" t="s">
        <v>48</v>
      </c>
      <c r="B61" s="1258" t="s">
        <v>53</v>
      </c>
      <c r="C61" s="1259">
        <v>53</v>
      </c>
      <c r="D61" s="1259">
        <v>3390523.2395146298</v>
      </c>
      <c r="E61" s="1259">
        <v>136</v>
      </c>
      <c r="F61" s="1259">
        <v>1845887.9692464401</v>
      </c>
    </row>
    <row r="62" spans="1:6">
      <c r="A62" s="1258" t="s">
        <v>48</v>
      </c>
      <c r="B62" s="1258" t="s">
        <v>54</v>
      </c>
      <c r="C62" s="1259">
        <v>4</v>
      </c>
      <c r="D62" s="1259">
        <v>698209.40719220799</v>
      </c>
      <c r="E62" s="1259">
        <v>8</v>
      </c>
      <c r="F62" s="1259">
        <v>468648.492750693</v>
      </c>
    </row>
    <row r="63" spans="1:6">
      <c r="A63" s="1258" t="s">
        <v>48</v>
      </c>
      <c r="B63" s="1258" t="s">
        <v>28</v>
      </c>
      <c r="C63" s="1259">
        <v>56</v>
      </c>
      <c r="D63" s="1259">
        <v>2715429.5294493302</v>
      </c>
      <c r="E63" s="1259">
        <v>92</v>
      </c>
      <c r="F63" s="1259">
        <v>1450228.2185251701</v>
      </c>
    </row>
    <row r="64" spans="1:6">
      <c r="A64" s="1258" t="s">
        <v>55</v>
      </c>
      <c r="B64" s="1258" t="s">
        <v>56</v>
      </c>
      <c r="C64" s="1259">
        <v>0</v>
      </c>
      <c r="D64" s="1259">
        <v>0</v>
      </c>
      <c r="E64" s="1259">
        <v>0</v>
      </c>
      <c r="F64" s="1259">
        <v>0</v>
      </c>
    </row>
    <row r="65" spans="1:6">
      <c r="A65" s="1258" t="s">
        <v>55</v>
      </c>
      <c r="B65" s="1258" t="s">
        <v>28</v>
      </c>
      <c r="C65" s="1259">
        <v>2</v>
      </c>
      <c r="D65" s="1259">
        <v>21373.087185913198</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63796.252179998402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53398322</v>
      </c>
      <c r="E73" s="446"/>
      <c r="F73" s="327"/>
    </row>
    <row r="74" spans="1:6">
      <c r="A74" s="1258" t="s">
        <v>63</v>
      </c>
      <c r="B74" s="1258" t="s">
        <v>681</v>
      </c>
      <c r="C74" s="1271" t="s">
        <v>682</v>
      </c>
      <c r="D74" s="1259">
        <v>2943833.4266243023</v>
      </c>
      <c r="E74" s="446"/>
      <c r="F74" s="327"/>
    </row>
    <row r="75" spans="1:6">
      <c r="A75" s="1258" t="s">
        <v>64</v>
      </c>
      <c r="B75" s="1258" t="s">
        <v>679</v>
      </c>
      <c r="C75" s="1271" t="s">
        <v>683</v>
      </c>
      <c r="D75" s="1259">
        <v>50040505</v>
      </c>
      <c r="E75" s="446"/>
      <c r="F75" s="327"/>
    </row>
    <row r="76" spans="1:6">
      <c r="A76" s="1258" t="s">
        <v>64</v>
      </c>
      <c r="B76" s="1258" t="s">
        <v>681</v>
      </c>
      <c r="C76" s="1271" t="s">
        <v>684</v>
      </c>
      <c r="D76" s="1259">
        <v>1509563.4266243023</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511031.14675139554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1367.3477433468302</v>
      </c>
      <c r="C91" s="327"/>
      <c r="D91" s="327"/>
      <c r="E91" s="327"/>
      <c r="F91" s="327"/>
    </row>
    <row r="92" spans="1:6">
      <c r="A92" s="1253" t="s">
        <v>68</v>
      </c>
      <c r="B92" s="1254">
        <v>98.263972855570955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622</v>
      </c>
      <c r="C97" s="327"/>
      <c r="D97" s="327"/>
      <c r="E97" s="327"/>
      <c r="F97" s="327"/>
    </row>
    <row r="98" spans="1:6">
      <c r="A98" s="1258" t="s">
        <v>71</v>
      </c>
      <c r="B98" s="1259">
        <v>2</v>
      </c>
      <c r="C98" s="327"/>
      <c r="D98" s="327"/>
      <c r="E98" s="327"/>
      <c r="F98" s="327"/>
    </row>
    <row r="99" spans="1:6">
      <c r="A99" s="1258" t="s">
        <v>72</v>
      </c>
      <c r="B99" s="1259">
        <v>79</v>
      </c>
      <c r="C99" s="327"/>
      <c r="D99" s="327"/>
      <c r="E99" s="327"/>
      <c r="F99" s="327"/>
    </row>
    <row r="100" spans="1:6">
      <c r="A100" s="1258" t="s">
        <v>73</v>
      </c>
      <c r="B100" s="1259">
        <v>385</v>
      </c>
      <c r="C100" s="327"/>
      <c r="D100" s="327"/>
      <c r="E100" s="327"/>
      <c r="F100" s="327"/>
    </row>
    <row r="101" spans="1:6">
      <c r="A101" s="1258" t="s">
        <v>74</v>
      </c>
      <c r="B101" s="1259">
        <v>43</v>
      </c>
      <c r="C101" s="327"/>
      <c r="D101" s="327"/>
      <c r="E101" s="327"/>
      <c r="F101" s="327"/>
    </row>
    <row r="102" spans="1:6">
      <c r="A102" s="1258" t="s">
        <v>75</v>
      </c>
      <c r="B102" s="1259">
        <v>42</v>
      </c>
      <c r="C102" s="327"/>
      <c r="D102" s="327"/>
      <c r="E102" s="327"/>
      <c r="F102" s="327"/>
    </row>
    <row r="103" spans="1:6">
      <c r="A103" s="1258" t="s">
        <v>76</v>
      </c>
      <c r="B103" s="1259">
        <v>96</v>
      </c>
      <c r="C103" s="327"/>
      <c r="D103" s="327"/>
      <c r="E103" s="327"/>
      <c r="F103" s="327"/>
    </row>
    <row r="104" spans="1:6">
      <c r="A104" s="1258" t="s">
        <v>77</v>
      </c>
      <c r="B104" s="1259">
        <v>2009</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9</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39</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31699.708089206928</v>
      </c>
      <c r="C3" s="43" t="s">
        <v>163</v>
      </c>
      <c r="D3" s="43"/>
      <c r="E3" s="156"/>
      <c r="F3" s="43"/>
      <c r="G3" s="43"/>
      <c r="H3" s="43"/>
      <c r="I3" s="43"/>
      <c r="J3" s="43"/>
      <c r="K3" s="96"/>
    </row>
    <row r="4" spans="1:11">
      <c r="A4" s="353" t="s">
        <v>164</v>
      </c>
      <c r="B4" s="49">
        <f>IF(ISERROR('SEAP template'!B78+'SEAP template'!C78),0,'SEAP template'!B78+'SEAP template'!C78)</f>
        <v>1509.2617162024012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0.21047792079529287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62.357142857142847</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611.096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611.096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0.21047792079529287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128.6222154863203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17358.335358090502</v>
      </c>
      <c r="C5" s="17">
        <f>IF(ISERROR('Eigen informatie GS &amp; warmtenet'!B57),0,'Eigen informatie GS &amp; warmtenet'!B57)</f>
        <v>0</v>
      </c>
      <c r="D5" s="30">
        <f>(SUM(HH_hh_gas_kWh,HH_rest_gas_kWh)/1000)*0.902</f>
        <v>26102.37019238593</v>
      </c>
      <c r="E5" s="17">
        <f>B32*B41</f>
        <v>1299.6958710849024</v>
      </c>
      <c r="F5" s="17">
        <f>B36*B45</f>
        <v>39829.794409188078</v>
      </c>
      <c r="G5" s="18"/>
      <c r="H5" s="17"/>
      <c r="I5" s="17"/>
      <c r="J5" s="17">
        <f>B35*B44+C35*C44</f>
        <v>754.29699804355141</v>
      </c>
      <c r="K5" s="17"/>
      <c r="L5" s="17"/>
      <c r="M5" s="17"/>
      <c r="N5" s="17">
        <f>B34*B43+C34*C43</f>
        <v>5932.3727108793883</v>
      </c>
      <c r="O5" s="17">
        <f>B52*B53*B54</f>
        <v>75.040000000000006</v>
      </c>
      <c r="P5" s="17">
        <f>B60*B61*B62/1000-B60*B61*B62/1000/B63</f>
        <v>286</v>
      </c>
    </row>
    <row r="6" spans="1:16">
      <c r="A6" s="16" t="s">
        <v>592</v>
      </c>
      <c r="B6" s="733">
        <f>kWh_PV_kleiner_dan_10kW</f>
        <v>1367.3477433468302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18725.683101437331</v>
      </c>
      <c r="C8" s="21">
        <f>C5</f>
        <v>0</v>
      </c>
      <c r="D8" s="21">
        <f>D5</f>
        <v>26102.37019238593</v>
      </c>
      <c r="E8" s="21">
        <f>E5</f>
        <v>1299.6958710849024</v>
      </c>
      <c r="F8" s="21">
        <f>F5</f>
        <v>39829.794409188078</v>
      </c>
      <c r="G8" s="21"/>
      <c r="H8" s="21"/>
      <c r="I8" s="21"/>
      <c r="J8" s="21">
        <f>J5</f>
        <v>754.29699804355141</v>
      </c>
      <c r="K8" s="21"/>
      <c r="L8" s="21">
        <f>L5</f>
        <v>0</v>
      </c>
      <c r="M8" s="21">
        <f>M5</f>
        <v>0</v>
      </c>
      <c r="N8" s="21">
        <f>N5</f>
        <v>5932.3727108793883</v>
      </c>
      <c r="O8" s="21">
        <f>O5</f>
        <v>75.040000000000006</v>
      </c>
      <c r="P8" s="21">
        <f>P5</f>
        <v>286</v>
      </c>
    </row>
    <row r="9" spans="1:16">
      <c r="B9" s="19"/>
      <c r="C9" s="19"/>
      <c r="D9" s="257"/>
      <c r="E9" s="19"/>
      <c r="F9" s="19"/>
      <c r="G9" s="19"/>
      <c r="H9" s="19"/>
      <c r="I9" s="19"/>
      <c r="J9" s="19"/>
      <c r="K9" s="19"/>
      <c r="L9" s="19"/>
      <c r="M9" s="19"/>
      <c r="N9" s="19"/>
      <c r="O9" s="19"/>
      <c r="P9" s="19"/>
    </row>
    <row r="10" spans="1:16">
      <c r="A10" s="24" t="s">
        <v>207</v>
      </c>
      <c r="B10" s="25">
        <f ca="1">'EF ele_warmte'!B12</f>
        <v>0.21047792079529287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3941.3428446620806</v>
      </c>
      <c r="C12" s="23">
        <f ca="1">C10*C8</f>
        <v>0</v>
      </c>
      <c r="D12" s="23">
        <f>D8*D10</f>
        <v>5272.6787788619586</v>
      </c>
      <c r="E12" s="23">
        <f>E10*E8</f>
        <v>295.03096273627284</v>
      </c>
      <c r="F12" s="23">
        <f>F10*F8</f>
        <v>10634.555107253218</v>
      </c>
      <c r="G12" s="23"/>
      <c r="H12" s="23"/>
      <c r="I12" s="23"/>
      <c r="J12" s="23">
        <f>J10*J8</f>
        <v>267.02113730741718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3520</v>
      </c>
      <c r="C26" s="36"/>
      <c r="D26" s="227"/>
    </row>
    <row r="27" spans="1:5" s="15" customFormat="1">
      <c r="A27" s="229" t="s">
        <v>697</v>
      </c>
      <c r="B27" s="37">
        <f>SUM(HH_hh_gas_aantal,HH_rest_gas_aantal)</f>
        <v>1307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1241.6500000000001</v>
      </c>
      <c r="C31" s="34" t="s">
        <v>104</v>
      </c>
      <c r="D31" s="173"/>
    </row>
    <row r="32" spans="1:5">
      <c r="A32" s="170" t="s">
        <v>72</v>
      </c>
      <c r="B32" s="33">
        <f>IF((B21*($B$26-($B$27-0.05*$B$27)-$B$60))&lt;0,0,B21*($B$26-($B$27-0.05*$B$27)-$B$60))</f>
        <v>56.677819480821469</v>
      </c>
      <c r="C32" s="34" t="s">
        <v>104</v>
      </c>
      <c r="D32" s="173"/>
    </row>
    <row r="33" spans="1:6">
      <c r="A33" s="170" t="s">
        <v>73</v>
      </c>
      <c r="B33" s="33">
        <f>IF((B22*($B$26-($B$27-0.05*$B$27)-$B$60))&lt;0,0,B22*($B$26-($B$27-0.05*$B$27)-$B$60))</f>
        <v>381.50819909173941</v>
      </c>
      <c r="C33" s="34" t="s">
        <v>104</v>
      </c>
      <c r="D33" s="173"/>
    </row>
    <row r="34" spans="1:6">
      <c r="A34" s="170" t="s">
        <v>74</v>
      </c>
      <c r="B34" s="33">
        <f>IF((B24*($B$26-($B$27-0.05*$B$27)-$B$60))&lt;0,0,B24*($B$26-($B$27-0.05*$B$27)-$B$60))</f>
        <v>96.79380126926182</v>
      </c>
      <c r="C34" s="33">
        <f>B26*C24</f>
        <v>720.05143805330158</v>
      </c>
      <c r="D34" s="232"/>
    </row>
    <row r="35" spans="1:6">
      <c r="A35" s="170" t="s">
        <v>76</v>
      </c>
      <c r="B35" s="33">
        <f>IF((B19*($B$26-($B$27-0.05*$B$27)-$B$60))&lt;0,0,B19*($B$26-($B$27-0.05*$B$27)-$B$60))</f>
        <v>35.971756005883499</v>
      </c>
      <c r="C35" s="33">
        <f>B35/2</f>
        <v>17.98587800294175</v>
      </c>
      <c r="D35" s="232"/>
    </row>
    <row r="36" spans="1:6">
      <c r="A36" s="170" t="s">
        <v>77</v>
      </c>
      <c r="B36" s="33">
        <f>IF((B18*($B$26-($B$27-0.05*$B$27)-$B$60))&lt;0,0,B18*($B$26-($B$27-0.05*$B$27)-$B$60))</f>
        <v>1692.398424152294</v>
      </c>
      <c r="C36" s="34" t="s">
        <v>104</v>
      </c>
      <c r="D36" s="173"/>
    </row>
    <row r="37" spans="1:6">
      <c r="A37" s="170" t="s">
        <v>78</v>
      </c>
      <c r="B37" s="33">
        <f>B60</f>
        <v>15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8211.4455076102313</v>
      </c>
      <c r="C5" s="17">
        <f>IF(ISERROR('Eigen informatie GS &amp; warmtenet'!B58),0,'Eigen informatie GS &amp; warmtenet'!B58)</f>
        <v>0</v>
      </c>
      <c r="D5" s="30">
        <f>SUM(D6:D12)</f>
        <v>8963.7961108614036</v>
      </c>
      <c r="E5" s="17">
        <f>SUM(E6:E12)</f>
        <v>47.382531635128139</v>
      </c>
      <c r="F5" s="17">
        <f>SUM(F6:F12)</f>
        <v>1112.9605682796982</v>
      </c>
      <c r="G5" s="18"/>
      <c r="H5" s="17"/>
      <c r="I5" s="17"/>
      <c r="J5" s="17">
        <f>SUM(J6:J12)</f>
        <v>39.158489537568613</v>
      </c>
      <c r="K5" s="17"/>
      <c r="L5" s="17"/>
      <c r="M5" s="17"/>
      <c r="N5" s="17">
        <f>SUM(N6:N12)</f>
        <v>345.0902251725164</v>
      </c>
      <c r="O5" s="17">
        <f>B38*B39*B40</f>
        <v>3.1266666666666669</v>
      </c>
      <c r="P5" s="17">
        <f>B46*B47*B48/1000-B46*B47*B48/1000/B49</f>
        <v>0</v>
      </c>
      <c r="R5" s="32"/>
    </row>
    <row r="6" spans="1:18">
      <c r="A6" s="32" t="s">
        <v>53</v>
      </c>
      <c r="B6" s="37">
        <f>B26</f>
        <v>1845.8879692464402</v>
      </c>
      <c r="C6" s="33"/>
      <c r="D6" s="37">
        <f>IF(ISERROR(TER_kantoor_gas_kWh/1000),0,TER_kantoor_gas_kWh/1000)*0.902</f>
        <v>3058.2519620421963</v>
      </c>
      <c r="E6" s="33">
        <f>$C$26*'E Balans VL '!I12/100/3.6*1000000</f>
        <v>15.580904427069076</v>
      </c>
      <c r="F6" s="33">
        <f>$C$26*('E Balans VL '!L12+'E Balans VL '!N12)/100/3.6*1000000</f>
        <v>247.51313884618915</v>
      </c>
      <c r="G6" s="34"/>
      <c r="H6" s="33"/>
      <c r="I6" s="33"/>
      <c r="J6" s="33">
        <f>$C$26*('E Balans VL '!D12+'E Balans VL '!E12)/100/3.6*1000000</f>
        <v>0</v>
      </c>
      <c r="K6" s="33"/>
      <c r="L6" s="33"/>
      <c r="M6" s="33"/>
      <c r="N6" s="33">
        <f>$C$26*'E Balans VL '!Y12/100/3.6*1000000</f>
        <v>16.234013792658128</v>
      </c>
      <c r="O6" s="33"/>
      <c r="P6" s="33"/>
      <c r="R6" s="32"/>
    </row>
    <row r="7" spans="1:18">
      <c r="A7" s="32" t="s">
        <v>52</v>
      </c>
      <c r="B7" s="37">
        <f t="shared" ref="B7:B12" si="0">B27</f>
        <v>905.22132387246597</v>
      </c>
      <c r="C7" s="33"/>
      <c r="D7" s="37">
        <f>IF(ISERROR(TER_horeca_gas_kWh/1000),0,TER_horeca_gas_kWh/1000)*0.902</f>
        <v>667.42033646527989</v>
      </c>
      <c r="E7" s="33">
        <f>$C$27*'E Balans VL '!I9/100/3.6*1000000</f>
        <v>11.901853201488557</v>
      </c>
      <c r="F7" s="33">
        <f>$C$27*('E Balans VL '!L9+'E Balans VL '!N9)/100/3.6*1000000</f>
        <v>227.3348823792322</v>
      </c>
      <c r="G7" s="34"/>
      <c r="H7" s="33"/>
      <c r="I7" s="33"/>
      <c r="J7" s="33">
        <f>$C$27*('E Balans VL '!D9+'E Balans VL '!E9)/100/3.6*1000000</f>
        <v>0</v>
      </c>
      <c r="K7" s="33"/>
      <c r="L7" s="33"/>
      <c r="M7" s="33"/>
      <c r="N7" s="33">
        <f>$C$27*'E Balans VL '!Y9/100/3.6*1000000</f>
        <v>0.24643539394424199</v>
      </c>
      <c r="O7" s="33"/>
      <c r="P7" s="33"/>
      <c r="R7" s="32"/>
    </row>
    <row r="8" spans="1:18">
      <c r="A8" s="6" t="s">
        <v>51</v>
      </c>
      <c r="B8" s="37">
        <f t="shared" si="0"/>
        <v>2353.2034430639601</v>
      </c>
      <c r="C8" s="33"/>
      <c r="D8" s="37">
        <f>IF(ISERROR(TER_handel_gas_kWh/1000),0,TER_handel_gas_kWh/1000)*0.902</f>
        <v>1100.355530221</v>
      </c>
      <c r="E8" s="33">
        <f>$C$28*'E Balans VL '!I13/100/3.6*1000000</f>
        <v>10.305543547879111</v>
      </c>
      <c r="F8" s="33">
        <f>$C$28*('E Balans VL '!L13+'E Balans VL '!N13)/100/3.6*1000000</f>
        <v>158.16967930284994</v>
      </c>
      <c r="G8" s="34"/>
      <c r="H8" s="33"/>
      <c r="I8" s="33"/>
      <c r="J8" s="33">
        <f>$C$28*('E Balans VL '!D13+'E Balans VL '!E13)/100/3.6*1000000</f>
        <v>0</v>
      </c>
      <c r="K8" s="33"/>
      <c r="L8" s="33"/>
      <c r="M8" s="33"/>
      <c r="N8" s="33">
        <f>$C$28*'E Balans VL '!Y13/100/3.6*1000000</f>
        <v>6.9519636927030986</v>
      </c>
      <c r="O8" s="33"/>
      <c r="P8" s="33"/>
      <c r="R8" s="32"/>
    </row>
    <row r="9" spans="1:18">
      <c r="A9" s="32" t="s">
        <v>50</v>
      </c>
      <c r="B9" s="37">
        <f t="shared" si="0"/>
        <v>837.54746508440007</v>
      </c>
      <c r="C9" s="33"/>
      <c r="D9" s="37">
        <f>IF(ISERROR(TER_gezond_gas_kWh/1000),0,TER_gezond_gas_kWh/1000)*0.902</f>
        <v>464.75797747968636</v>
      </c>
      <c r="E9" s="33">
        <f>$C$29*'E Balans VL '!I10/100/3.6*1000000</f>
        <v>0.28803627104371465</v>
      </c>
      <c r="F9" s="33">
        <f>$C$29*('E Balans VL '!L10+'E Balans VL '!N10)/100/3.6*1000000</f>
        <v>73.204947383119645</v>
      </c>
      <c r="G9" s="34"/>
      <c r="H9" s="33"/>
      <c r="I9" s="33"/>
      <c r="J9" s="33">
        <f>$C$29*('E Balans VL '!D10+'E Balans VL '!E10)/100/3.6*1000000</f>
        <v>34.742187121212858</v>
      </c>
      <c r="K9" s="33"/>
      <c r="L9" s="33"/>
      <c r="M9" s="33"/>
      <c r="N9" s="33">
        <f>$C$29*'E Balans VL '!Y10/100/3.6*1000000</f>
        <v>8.7813756662512059</v>
      </c>
      <c r="O9" s="33"/>
      <c r="P9" s="33"/>
      <c r="R9" s="32"/>
    </row>
    <row r="10" spans="1:18">
      <c r="A10" s="32" t="s">
        <v>49</v>
      </c>
      <c r="B10" s="37">
        <f t="shared" si="0"/>
        <v>350.70859506710298</v>
      </c>
      <c r="C10" s="33"/>
      <c r="D10" s="37">
        <f>IF(ISERROR(TER_ander_gas_kWh/1000),0,TER_ander_gas_kWh/1000)*0.902</f>
        <v>593.90798380257274</v>
      </c>
      <c r="E10" s="33">
        <f>$C$30*'E Balans VL '!I14/100/3.6*1000000</f>
        <v>0.20857919809628572</v>
      </c>
      <c r="F10" s="33">
        <f>$C$30*('E Balans VL '!L14+'E Balans VL '!N14)/100/3.6*1000000</f>
        <v>62.094057619268902</v>
      </c>
      <c r="G10" s="34"/>
      <c r="H10" s="33"/>
      <c r="I10" s="33"/>
      <c r="J10" s="33">
        <f>$C$30*('E Balans VL '!D14+'E Balans VL '!E14)/100/3.6*1000000</f>
        <v>0</v>
      </c>
      <c r="K10" s="33"/>
      <c r="L10" s="33"/>
      <c r="M10" s="33"/>
      <c r="N10" s="33">
        <f>$C$30*'E Balans VL '!Y14/100/3.6*1000000</f>
        <v>208.23880786932739</v>
      </c>
      <c r="O10" s="33"/>
      <c r="P10" s="33"/>
      <c r="R10" s="32"/>
    </row>
    <row r="11" spans="1:18">
      <c r="A11" s="32" t="s">
        <v>54</v>
      </c>
      <c r="B11" s="37">
        <f t="shared" si="0"/>
        <v>468.64849275069298</v>
      </c>
      <c r="C11" s="33"/>
      <c r="D11" s="37">
        <f>IF(ISERROR(TER_onderwijs_gas_kWh/1000),0,TER_onderwijs_gas_kWh/1000)*0.902</f>
        <v>629.78488528737159</v>
      </c>
      <c r="E11" s="33">
        <f>$C$31*'E Balans VL '!I11/100/3.6*1000000</f>
        <v>0.3117220244359642</v>
      </c>
      <c r="F11" s="33">
        <f>$C$31*('E Balans VL '!L11+'E Balans VL '!N11)/100/3.6*1000000</f>
        <v>150.14584554892025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1450.2282185251702</v>
      </c>
      <c r="C12" s="33"/>
      <c r="D12" s="37">
        <f>IF(ISERROR(TER_rest_gas_kWh/1000),0,TER_rest_gas_kWh/1000)*0.902</f>
        <v>2449.3174355632959</v>
      </c>
      <c r="E12" s="33">
        <f>$C$32*'E Balans VL '!I8/100/3.6*1000000</f>
        <v>8.7858929651154227</v>
      </c>
      <c r="F12" s="33">
        <f>$C$32*('E Balans VL '!L8+'E Balans VL '!N8)/100/3.6*1000000</f>
        <v>194.49801720011823</v>
      </c>
      <c r="G12" s="34"/>
      <c r="H12" s="33"/>
      <c r="I12" s="33"/>
      <c r="J12" s="33">
        <f>$C$32*('E Balans VL '!D8+'E Balans VL '!E8)/100/3.6*1000000</f>
        <v>4.4163024163557525</v>
      </c>
      <c r="K12" s="33"/>
      <c r="L12" s="33"/>
      <c r="M12" s="33"/>
      <c r="N12" s="33">
        <f>$C$32*'E Balans VL '!Y8/100/3.6*1000000</f>
        <v>104.63762875763234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8211.4455076102313</v>
      </c>
      <c r="C16" s="21">
        <f t="shared" ca="1" si="1"/>
        <v>0</v>
      </c>
      <c r="D16" s="21">
        <f t="shared" ca="1" si="1"/>
        <v>8963.7961108614036</v>
      </c>
      <c r="E16" s="21">
        <f t="shared" si="1"/>
        <v>47.382531635128139</v>
      </c>
      <c r="F16" s="21">
        <f t="shared" ca="1" si="1"/>
        <v>1112.9605682796982</v>
      </c>
      <c r="G16" s="21">
        <f t="shared" si="1"/>
        <v>0</v>
      </c>
      <c r="H16" s="21">
        <f t="shared" si="1"/>
        <v>0</v>
      </c>
      <c r="I16" s="21">
        <f t="shared" si="1"/>
        <v>0</v>
      </c>
      <c r="J16" s="21">
        <f t="shared" si="1"/>
        <v>39.158489537568613</v>
      </c>
      <c r="K16" s="21">
        <f t="shared" si="1"/>
        <v>0</v>
      </c>
      <c r="L16" s="21">
        <f t="shared" ca="1" si="1"/>
        <v>0</v>
      </c>
      <c r="M16" s="21">
        <f t="shared" si="1"/>
        <v>0</v>
      </c>
      <c r="N16" s="21">
        <f t="shared" ca="1" si="1"/>
        <v>345.0902251725164</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0.21047792079529287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1728.3279771656498</v>
      </c>
      <c r="C20" s="23">
        <f t="shared" ref="C20:P20" ca="1" si="2">C16*C18</f>
        <v>0</v>
      </c>
      <c r="D20" s="23">
        <f t="shared" ca="1" si="2"/>
        <v>1810.6868143940037</v>
      </c>
      <c r="E20" s="23">
        <f t="shared" si="2"/>
        <v>10.755834681174088</v>
      </c>
      <c r="F20" s="23">
        <f t="shared" ca="1" si="2"/>
        <v>297.16047173067943</v>
      </c>
      <c r="G20" s="23">
        <f t="shared" si="2"/>
        <v>0</v>
      </c>
      <c r="H20" s="23">
        <f t="shared" si="2"/>
        <v>0</v>
      </c>
      <c r="I20" s="23">
        <f t="shared" si="2"/>
        <v>0</v>
      </c>
      <c r="J20" s="23">
        <f t="shared" si="2"/>
        <v>13.862105296299289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1845.8879692464402</v>
      </c>
      <c r="C26" s="39">
        <f>IF(ISERROR(B26*3.6/1000000/'E Balans VL '!Z12*100),0,B26*3.6/1000000/'E Balans VL '!Z12*100)</f>
        <v>3.8687520241456233E-2</v>
      </c>
      <c r="D26" s="235" t="s">
        <v>647</v>
      </c>
      <c r="F26" s="6"/>
    </row>
    <row r="27" spans="1:18">
      <c r="A27" s="230" t="s">
        <v>52</v>
      </c>
      <c r="B27" s="33">
        <f>IF(ISERROR(TER_horeca_ele_kWh/1000),0,TER_horeca_ele_kWh/1000)</f>
        <v>905.22132387246597</v>
      </c>
      <c r="C27" s="39">
        <f>IF(ISERROR(B27*3.6/1000000/'E Balans VL '!Z9*100),0,B27*3.6/1000000/'E Balans VL '!Z9*100)</f>
        <v>6.9403163139359556E-2</v>
      </c>
      <c r="D27" s="235" t="s">
        <v>647</v>
      </c>
      <c r="F27" s="6"/>
    </row>
    <row r="28" spans="1:18">
      <c r="A28" s="170" t="s">
        <v>51</v>
      </c>
      <c r="B28" s="33">
        <f>IF(ISERROR(TER_handel_ele_kWh/1000),0,TER_handel_ele_kWh/1000)</f>
        <v>2353.2034430639601</v>
      </c>
      <c r="C28" s="39">
        <f>IF(ISERROR(B28*3.6/1000000/'E Balans VL '!Z13*100),0,B28*3.6/1000000/'E Balans VL '!Z13*100)</f>
        <v>6.6387340620844323E-2</v>
      </c>
      <c r="D28" s="235" t="s">
        <v>647</v>
      </c>
      <c r="F28" s="6"/>
    </row>
    <row r="29" spans="1:18">
      <c r="A29" s="230" t="s">
        <v>50</v>
      </c>
      <c r="B29" s="33">
        <f>IF(ISERROR(TER_gezond_ele_kWh/1000),0,TER_gezond_ele_kWh/1000)</f>
        <v>837.54746508440007</v>
      </c>
      <c r="C29" s="39">
        <f>IF(ISERROR(B29*3.6/1000000/'E Balans VL '!Z10*100),0,B29*3.6/1000000/'E Balans VL '!Z10*100)</f>
        <v>9.2999229394935046E-2</v>
      </c>
      <c r="D29" s="235" t="s">
        <v>647</v>
      </c>
      <c r="F29" s="6"/>
    </row>
    <row r="30" spans="1:18">
      <c r="A30" s="230" t="s">
        <v>49</v>
      </c>
      <c r="B30" s="33">
        <f>IF(ISERROR(TER_ander_ele_kWh/1000),0,TER_ander_ele_kWh/1000)</f>
        <v>350.70859506710298</v>
      </c>
      <c r="C30" s="39">
        <f>IF(ISERROR(B30*3.6/1000000/'E Balans VL '!Z14*100),0,B30*3.6/1000000/'E Balans VL '!Z14*100)</f>
        <v>2.5305529354463403E-2</v>
      </c>
      <c r="D30" s="235" t="s">
        <v>647</v>
      </c>
      <c r="F30" s="6"/>
    </row>
    <row r="31" spans="1:18">
      <c r="A31" s="230" t="s">
        <v>54</v>
      </c>
      <c r="B31" s="33">
        <f>IF(ISERROR(TER_onderwijs_ele_kWh/1000),0,TER_onderwijs_ele_kWh/1000)</f>
        <v>468.64849275069298</v>
      </c>
      <c r="C31" s="39">
        <f>IF(ISERROR(B31*3.6/1000000/'E Balans VL '!Z11*100),0,B31*3.6/1000000/'E Balans VL '!Z11*100)</f>
        <v>0.12990564997699122</v>
      </c>
      <c r="D31" s="235" t="s">
        <v>647</v>
      </c>
    </row>
    <row r="32" spans="1:18">
      <c r="A32" s="230" t="s">
        <v>249</v>
      </c>
      <c r="B32" s="33">
        <f>IF(ISERROR(TER_rest_ele_kWh/1000),0,TER_rest_ele_kWh/1000)</f>
        <v>1450.2282185251702</v>
      </c>
      <c r="C32" s="39">
        <f>IF(ISERROR(B32*3.6/1000000/'E Balans VL '!Z8*100),0,B32*3.6/1000000/'E Balans VL '!Z8*100)</f>
        <v>1.182172901386804E-2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2758.0705355724522</v>
      </c>
      <c r="C5" s="17">
        <f>IF(ISERROR('Eigen informatie GS &amp; warmtenet'!B59),0,'Eigen informatie GS &amp; warmtenet'!B59)</f>
        <v>0</v>
      </c>
      <c r="D5" s="30">
        <f>SUM(D6:D15)</f>
        <v>748.86365352652058</v>
      </c>
      <c r="E5" s="17">
        <f>SUM(E6:E15)</f>
        <v>413.10992738353536</v>
      </c>
      <c r="F5" s="17">
        <f>SUM(F6:F15)</f>
        <v>1257.1371860934848</v>
      </c>
      <c r="G5" s="18"/>
      <c r="H5" s="17"/>
      <c r="I5" s="17"/>
      <c r="J5" s="17">
        <f>SUM(J6:J15)</f>
        <v>3.8117016715641387</v>
      </c>
      <c r="K5" s="17"/>
      <c r="L5" s="17"/>
      <c r="M5" s="17"/>
      <c r="N5" s="17">
        <f>SUM(N6:N15)</f>
        <v>191.90296788243444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1197.5688805637599</v>
      </c>
      <c r="C9" s="33"/>
      <c r="D9" s="37">
        <f>IF( ISERROR(IND_andere_gas_kWh/1000),0,IND_andere_gas_kWh/1000)*0.902</f>
        <v>550.84651520546015</v>
      </c>
      <c r="E9" s="33">
        <f>C31*'E Balans VL '!I19/100/3.6*1000000</f>
        <v>324.15245129410681</v>
      </c>
      <c r="F9" s="33">
        <f>C31*'E Balans VL '!L19/100/3.6*1000000+C31*'E Balans VL '!N19/100/3.6*1000000</f>
        <v>797.70760371553445</v>
      </c>
      <c r="G9" s="34"/>
      <c r="H9" s="33"/>
      <c r="I9" s="33"/>
      <c r="J9" s="40">
        <f>C31*'E Balans VL '!D19/100/3.6*1000000+C31*'E Balans VL '!E19/100/3.6*1000000</f>
        <v>0</v>
      </c>
      <c r="K9" s="33"/>
      <c r="L9" s="33"/>
      <c r="M9" s="33"/>
      <c r="N9" s="33">
        <f>C31*'E Balans VL '!Y19/100/3.6*1000000</f>
        <v>101.24651586373</v>
      </c>
      <c r="O9" s="33"/>
      <c r="P9" s="33"/>
      <c r="R9" s="32"/>
    </row>
    <row r="10" spans="1:18">
      <c r="A10" s="6" t="s">
        <v>40</v>
      </c>
      <c r="B10" s="37">
        <f t="shared" si="0"/>
        <v>73.715464187202599</v>
      </c>
      <c r="C10" s="33"/>
      <c r="D10" s="37">
        <f>IF( ISERROR(IND_voed_gas_kWh/1000),0,IND_voed_gas_kWh/1000)*0.902</f>
        <v>0</v>
      </c>
      <c r="E10" s="33">
        <f>C32*'E Balans VL '!I20/100/3.6*1000000</f>
        <v>6.0124026159803208</v>
      </c>
      <c r="F10" s="33">
        <f>C32*'E Balans VL '!L20/100/3.6*1000000+C32*'E Balans VL '!N20/100/3.6*1000000</f>
        <v>109.91644515604597</v>
      </c>
      <c r="G10" s="34"/>
      <c r="H10" s="33"/>
      <c r="I10" s="33"/>
      <c r="J10" s="40">
        <f>C32*'E Balans VL '!D20/100/3.6*1000000+C32*'E Balans VL '!E20/100/3.6*1000000</f>
        <v>9.7516611262677213E-4</v>
      </c>
      <c r="K10" s="33"/>
      <c r="L10" s="33"/>
      <c r="M10" s="33"/>
      <c r="N10" s="33">
        <f>C32*'E Balans VL '!Y20/100/3.6*1000000</f>
        <v>21.655002239944128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1486.78619082149</v>
      </c>
      <c r="C15" s="33"/>
      <c r="D15" s="37">
        <f>IF( ISERROR(IND_rest_gas_kWh/1000),0,IND_rest_gas_kWh/1000)*0.902</f>
        <v>198.0171383210604</v>
      </c>
      <c r="E15" s="33">
        <f>C37*'E Balans VL '!I15/100/3.6*1000000</f>
        <v>82.945073473448232</v>
      </c>
      <c r="F15" s="33">
        <f>C37*'E Balans VL '!L15/100/3.6*1000000+C37*'E Balans VL '!N15/100/3.6*1000000</f>
        <v>349.51313722190446</v>
      </c>
      <c r="G15" s="34"/>
      <c r="H15" s="33"/>
      <c r="I15" s="33"/>
      <c r="J15" s="40">
        <f>C37*'E Balans VL '!D15/100/3.6*1000000+C37*'E Balans VL '!E15/100/3.6*1000000</f>
        <v>3.810726505451512</v>
      </c>
      <c r="K15" s="33"/>
      <c r="L15" s="33"/>
      <c r="M15" s="33"/>
      <c r="N15" s="33">
        <f>C37*'E Balans VL '!Y15/100/3.6*1000000</f>
        <v>69.001449778760332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2758.0705355724522</v>
      </c>
      <c r="C18" s="21">
        <f>C5+C16</f>
        <v>0</v>
      </c>
      <c r="D18" s="21">
        <f>MAX((D5+D16),0)</f>
        <v>748.86365352652058</v>
      </c>
      <c r="E18" s="21">
        <f>MAX((E5+E16),0)</f>
        <v>413.10992738353536</v>
      </c>
      <c r="F18" s="21">
        <f>MAX((F5+F16),0)</f>
        <v>1257.1371860934848</v>
      </c>
      <c r="G18" s="21"/>
      <c r="H18" s="21"/>
      <c r="I18" s="21"/>
      <c r="J18" s="21">
        <f>MAX((J5+J16),0)</f>
        <v>3.8117016715641387</v>
      </c>
      <c r="K18" s="21"/>
      <c r="L18" s="21">
        <f>MAX((L5+L16),0)</f>
        <v>0</v>
      </c>
      <c r="M18" s="21"/>
      <c r="N18" s="21">
        <f>MAX((N5+N16),0)</f>
        <v>191.90296788243444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0.21047792079529287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580.51295173404958</v>
      </c>
      <c r="C22" s="23">
        <f ca="1">C18*C20</f>
        <v>0</v>
      </c>
      <c r="D22" s="23">
        <f>D18*D20</f>
        <v>151.27045801235715</v>
      </c>
      <c r="E22" s="23">
        <f>E18*E20</f>
        <v>93.775953516062529</v>
      </c>
      <c r="F22" s="23">
        <f>F18*F20</f>
        <v>335.65562868696048</v>
      </c>
      <c r="G22" s="23"/>
      <c r="H22" s="23"/>
      <c r="I22" s="23"/>
      <c r="J22" s="23">
        <f>J18*J20</f>
        <v>1.3493423917337051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1197.5688805637599</v>
      </c>
      <c r="C31" s="39">
        <f>IF(ISERROR(B31*3.6/1000000/'E Balans VL '!Z19*100),0,B31*3.6/1000000/'E Balans VL '!Z19*100)</f>
        <v>5.215316945726596E-2</v>
      </c>
      <c r="D31" s="235" t="s">
        <v>647</v>
      </c>
    </row>
    <row r="32" spans="1:18">
      <c r="A32" s="170" t="s">
        <v>40</v>
      </c>
      <c r="B32" s="37">
        <f>IF( ISERROR(IND_voed_ele_kWh/1000),0,IND_voed_ele_kWh/1000)</f>
        <v>73.715464187202599</v>
      </c>
      <c r="C32" s="39">
        <f>IF(ISERROR(B32*3.6/1000000/'E Balans VL '!Z20*100),0,B32*3.6/1000000/'E Balans VL '!Z20*100)</f>
        <v>1.3986446236877455E-2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1486.78619082149</v>
      </c>
      <c r="C37" s="39">
        <f>IF(ISERROR(B37*3.6/1000000/'E Balans VL '!Z15*100),0,B37*3.6/1000000/'E Balans VL '!Z15*100)</f>
        <v>1.1457513750143526E-2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859.26109451001503</v>
      </c>
      <c r="C5" s="17">
        <f>'Eigen informatie GS &amp; warmtenet'!B60</f>
        <v>0</v>
      </c>
      <c r="D5" s="30">
        <f>IF(ISERROR(SUM(LB_lb_gas_kWh,LB_rest_gas_kWh)/1000),0,SUM(LB_lb_gas_kWh,LB_rest_gas_kWh)/1000)*0.902</f>
        <v>3653.2749736684286</v>
      </c>
      <c r="E5" s="17">
        <f>B17*'E Balans VL '!I25/3.6*1000000/100</f>
        <v>17.842307576221959</v>
      </c>
      <c r="F5" s="17">
        <f>B17*('E Balans VL '!L25/3.6*1000000+'E Balans VL '!N25/3.6*1000000)/100</f>
        <v>3036.6506338317677</v>
      </c>
      <c r="G5" s="18"/>
      <c r="H5" s="17"/>
      <c r="I5" s="17"/>
      <c r="J5" s="17">
        <f>('E Balans VL '!D25+'E Balans VL '!E25)/3.6*1000000*landbouw!B17/100</f>
        <v>98.551812859669965</v>
      </c>
      <c r="K5" s="17"/>
      <c r="L5" s="17">
        <f>L6*(-1)</f>
        <v>0</v>
      </c>
      <c r="M5" s="17"/>
      <c r="N5" s="17">
        <f>N6*(-1)</f>
        <v>124.71428571428569</v>
      </c>
      <c r="O5" s="17"/>
      <c r="P5" s="17"/>
      <c r="R5" s="32"/>
    </row>
    <row r="6" spans="1:18">
      <c r="A6" s="16" t="s">
        <v>483</v>
      </c>
      <c r="B6" s="17" t="s">
        <v>204</v>
      </c>
      <c r="C6" s="17">
        <f>'lokale energieproductie'!O39+'lokale energieproductie'!O32</f>
        <v>62.357142857142847</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-124.71428571428569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859.26109451001503</v>
      </c>
      <c r="C8" s="21">
        <f>C5+C6</f>
        <v>62.357142857142847</v>
      </c>
      <c r="D8" s="21">
        <f>MAX((D5+D6),0)</f>
        <v>3653.2749736684286</v>
      </c>
      <c r="E8" s="21">
        <f>MAX((E5+E6),0)</f>
        <v>17.842307576221959</v>
      </c>
      <c r="F8" s="21">
        <f>MAX((F5+F6),0)</f>
        <v>3036.6506338317677</v>
      </c>
      <c r="G8" s="21"/>
      <c r="H8" s="21"/>
      <c r="I8" s="21"/>
      <c r="J8" s="21">
        <f>MAX((J5+J6),0)</f>
        <v>98.551812859669965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0.21047792079529287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180.85548859275562</v>
      </c>
      <c r="C12" s="23">
        <f ca="1">C8*C10</f>
        <v>0</v>
      </c>
      <c r="D12" s="23">
        <f>D8*D10</f>
        <v>737.96154468102259</v>
      </c>
      <c r="E12" s="23">
        <f>E8*E10</f>
        <v>4.0502038198023849</v>
      </c>
      <c r="F12" s="23">
        <f>F8*F10</f>
        <v>810.78571923308198</v>
      </c>
      <c r="G12" s="23"/>
      <c r="H12" s="23"/>
      <c r="I12" s="23"/>
      <c r="J12" s="23">
        <f>J8*J10</f>
        <v>34.887341752323167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0.11983984034647764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189.79148192582053</v>
      </c>
      <c r="C26" s="245">
        <f>B26*'GWP N2O_CH4'!B5</f>
        <v>3985.6211204422311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23.463270331272454</v>
      </c>
      <c r="C27" s="245">
        <f>B27*'GWP N2O_CH4'!B5</f>
        <v>492.72867695672153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2.8219286715467518</v>
      </c>
      <c r="C28" s="245">
        <f>B28*'GWP N2O_CH4'!B4</f>
        <v>874.79788817949304</v>
      </c>
      <c r="D28" s="50"/>
    </row>
    <row r="29" spans="1:4">
      <c r="A29" s="41" t="s">
        <v>266</v>
      </c>
      <c r="B29" s="245">
        <f>B34*'ha_N2O bodem landbouw'!B4</f>
        <v>10.858925835801884</v>
      </c>
      <c r="C29" s="245">
        <f>B29*'GWP N2O_CH4'!B4</f>
        <v>3366.2670090985839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2.71136527578437E-3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2.8300431318534799E-5</v>
      </c>
      <c r="C5" s="434" t="s">
        <v>204</v>
      </c>
      <c r="D5" s="419">
        <f>SUM(D6:D11)</f>
        <v>3.2038591755379135E-5</v>
      </c>
      <c r="E5" s="419">
        <f>SUM(E6:E11)</f>
        <v>1.114689670464843E-3</v>
      </c>
      <c r="F5" s="432" t="s">
        <v>204</v>
      </c>
      <c r="G5" s="419">
        <f>SUM(G6:G11)</f>
        <v>0.26026009555708396</v>
      </c>
      <c r="H5" s="419">
        <f>SUM(H6:H11)</f>
        <v>5.7535769161284375E-2</v>
      </c>
      <c r="I5" s="434" t="s">
        <v>204</v>
      </c>
      <c r="J5" s="434" t="s">
        <v>204</v>
      </c>
      <c r="K5" s="434" t="s">
        <v>204</v>
      </c>
      <c r="L5" s="434" t="s">
        <v>204</v>
      </c>
      <c r="M5" s="419">
        <f>SUM(M6:M11)</f>
        <v>1.4373792674556837E-2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1.3921804959291142E-5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1.2348751589195426E-5</v>
      </c>
      <c r="E6" s="836">
        <f>vkm_GW_PW*SUMIFS(TableVerdeelsleutelVkm[LPG],TableVerdeelsleutelVkm[Voertuigtype],"Lichte voertuigen")*SUMIFS(TableECFTransport[EnergieConsumptieFactor (PJ per km)],TableECFTransport[Index],CONCATENATE($A6,"_LPG_LPG"))</f>
        <v>4.4343347779720964E-4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8.8152105963399771E-2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2.2755929714851374E-2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5.0175004898194327E-3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1.7805119661437121E-7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2.7862364897678835E-2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7.3293592852830726E-7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1.2580331657100036E-3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1.4109272586863659E-5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1.9689840166183709E-5</v>
      </c>
      <c r="E8" s="422">
        <f>vkm_NGW_PW*SUMIFS(TableVerdeelsleutelVkm[LPG],TableVerdeelsleutelVkm[Voertuigtype],"Lichte voertuigen")*SUMIFS(TableECFTransport[EnergieConsumptieFactor (PJ per km)],TableECFTransport[Index],CONCATENATE($A8,"_LPG_LPG"))</f>
        <v>6.7125619266763343E-4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0.1258930855449821</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3.4778652860843612E-2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7.2696119885907982E-3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9.1302575765625935E-8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1.8352539151023251E-2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4.5364966086542005E-7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8.2864703043660285E-4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7.8612309218152223</v>
      </c>
      <c r="C14" s="21"/>
      <c r="D14" s="21">
        <f t="shared" ref="D14:M14" si="0">((D5)*10^9/3600)+D12</f>
        <v>8.8996088209386475</v>
      </c>
      <c r="E14" s="21">
        <f t="shared" si="0"/>
        <v>309.63601957356752</v>
      </c>
      <c r="F14" s="21"/>
      <c r="G14" s="21">
        <f t="shared" si="0"/>
        <v>72294.470988078872</v>
      </c>
      <c r="H14" s="21">
        <f t="shared" si="0"/>
        <v>15982.15810035677</v>
      </c>
      <c r="I14" s="21"/>
      <c r="J14" s="21"/>
      <c r="K14" s="21"/>
      <c r="L14" s="21"/>
      <c r="M14" s="21">
        <f t="shared" si="0"/>
        <v>3992.720187376899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0.21047792079529287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1.6546155393153315</v>
      </c>
      <c r="C18" s="23"/>
      <c r="D18" s="23">
        <f t="shared" ref="D18:M18" si="1">D14*D16</f>
        <v>1.7977209818296069</v>
      </c>
      <c r="E18" s="23">
        <f t="shared" si="1"/>
        <v>70.287376443199832</v>
      </c>
      <c r="F18" s="23"/>
      <c r="G18" s="23">
        <f t="shared" si="1"/>
        <v>19302.623753817061</v>
      </c>
      <c r="H18" s="23">
        <f t="shared" si="1"/>
        <v>3979.5573669888358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3.4011228613408738E-5</v>
      </c>
      <c r="C50" s="316">
        <f t="shared" ref="C50:P50" si="2">SUM(C51:C52)</f>
        <v>0</v>
      </c>
      <c r="D50" s="316">
        <f t="shared" si="2"/>
        <v>0</v>
      </c>
      <c r="E50" s="316">
        <f t="shared" si="2"/>
        <v>0</v>
      </c>
      <c r="F50" s="316">
        <f t="shared" si="2"/>
        <v>0</v>
      </c>
      <c r="G50" s="316">
        <f t="shared" si="2"/>
        <v>6.6200932007009321E-3</v>
      </c>
      <c r="H50" s="316">
        <f t="shared" si="2"/>
        <v>0</v>
      </c>
      <c r="I50" s="316">
        <f t="shared" si="2"/>
        <v>0</v>
      </c>
      <c r="J50" s="316">
        <f t="shared" si="2"/>
        <v>0</v>
      </c>
      <c r="K50" s="316">
        <f t="shared" si="2"/>
        <v>0</v>
      </c>
      <c r="L50" s="316">
        <f t="shared" si="2"/>
        <v>0</v>
      </c>
      <c r="M50" s="316">
        <f t="shared" si="2"/>
        <v>2.9685054175417519E-4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3.4011228613408738E-5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6.6200932007009321E-3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2.9685054175417519E-4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9.4475635037246501</v>
      </c>
      <c r="C54" s="21">
        <f t="shared" ref="C54:P54" si="3">(C50)*10^9/3600</f>
        <v>0</v>
      </c>
      <c r="D54" s="21">
        <f t="shared" si="3"/>
        <v>0</v>
      </c>
      <c r="E54" s="21">
        <f t="shared" si="3"/>
        <v>0</v>
      </c>
      <c r="F54" s="21">
        <f t="shared" si="3"/>
        <v>0</v>
      </c>
      <c r="G54" s="21">
        <f t="shared" si="3"/>
        <v>1838.9147779724813</v>
      </c>
      <c r="H54" s="21">
        <f t="shared" si="3"/>
        <v>0</v>
      </c>
      <c r="I54" s="21">
        <f t="shared" si="3"/>
        <v>0</v>
      </c>
      <c r="J54" s="21">
        <f t="shared" si="3"/>
        <v>0</v>
      </c>
      <c r="K54" s="21">
        <f t="shared" si="3"/>
        <v>0</v>
      </c>
      <c r="L54" s="21">
        <f t="shared" si="3"/>
        <v>0</v>
      </c>
      <c r="M54" s="21">
        <f t="shared" si="3"/>
        <v>82.458483820604229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0.21047792079529287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1.9885035228454566</v>
      </c>
      <c r="C58" s="23">
        <f t="shared" ref="C58:P58" ca="1" si="4">C54*C56</f>
        <v>0</v>
      </c>
      <c r="D58" s="23">
        <f t="shared" si="4"/>
        <v>0</v>
      </c>
      <c r="E58" s="23">
        <f t="shared" si="4"/>
        <v>0</v>
      </c>
      <c r="F58" s="23">
        <f t="shared" si="4"/>
        <v>0</v>
      </c>
      <c r="G58" s="23">
        <f t="shared" si="4"/>
        <v>490.99024571865255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1465.6117162024011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43.649999999999991</v>
      </c>
      <c r="C8" s="546">
        <f>B48</f>
        <v>0</v>
      </c>
      <c r="D8" s="963"/>
      <c r="E8" s="963">
        <f>E48</f>
        <v>0</v>
      </c>
      <c r="F8" s="964"/>
      <c r="G8" s="547"/>
      <c r="H8" s="963">
        <f>I48</f>
        <v>0</v>
      </c>
      <c r="I8" s="963">
        <f>G48+F48</f>
        <v>0</v>
      </c>
      <c r="J8" s="963">
        <f>H48+D48+C48</f>
        <v>51.35294117647058</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1509.2617162024012</v>
      </c>
      <c r="C10" s="559">
        <f t="shared" ref="C10:L10" si="0">SUM(C8:C9)</f>
        <v>0</v>
      </c>
      <c r="D10" s="559">
        <f t="shared" si="0"/>
        <v>0</v>
      </c>
      <c r="E10" s="559">
        <f t="shared" si="0"/>
        <v>0</v>
      </c>
      <c r="F10" s="559">
        <f t="shared" si="0"/>
        <v>0</v>
      </c>
      <c r="G10" s="559">
        <f t="shared" si="0"/>
        <v>0</v>
      </c>
      <c r="H10" s="559">
        <f t="shared" si="0"/>
        <v>0</v>
      </c>
      <c r="I10" s="559">
        <f t="shared" si="0"/>
        <v>0</v>
      </c>
      <c r="J10" s="559">
        <f t="shared" si="0"/>
        <v>51.35294117647058</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62.357142857142847</v>
      </c>
      <c r="C17" s="571">
        <f>B49</f>
        <v>0</v>
      </c>
      <c r="D17" s="572"/>
      <c r="E17" s="572">
        <f>E49</f>
        <v>0</v>
      </c>
      <c r="F17" s="969"/>
      <c r="G17" s="573"/>
      <c r="H17" s="571">
        <f>I49</f>
        <v>0</v>
      </c>
      <c r="I17" s="572">
        <f>G49+F49</f>
        <v>0</v>
      </c>
      <c r="J17" s="572">
        <f>H49+D49+C49</f>
        <v>73.361344537815114</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62.357142857142847</v>
      </c>
      <c r="C20" s="558">
        <f>SUM(C17:C19)</f>
        <v>0</v>
      </c>
      <c r="D20" s="558">
        <f t="shared" ref="D20:L20" si="1">SUM(D17:D19)</f>
        <v>0</v>
      </c>
      <c r="E20" s="558">
        <f t="shared" si="1"/>
        <v>0</v>
      </c>
      <c r="F20" s="558">
        <f t="shared" si="1"/>
        <v>0</v>
      </c>
      <c r="G20" s="558">
        <f t="shared" si="1"/>
        <v>0</v>
      </c>
      <c r="H20" s="558">
        <f t="shared" si="1"/>
        <v>0</v>
      </c>
      <c r="I20" s="558">
        <f t="shared" si="1"/>
        <v>0</v>
      </c>
      <c r="J20" s="558">
        <f t="shared" si="1"/>
        <v>73.361344537815114</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23104</v>
      </c>
      <c r="C28" s="741">
        <v>1750</v>
      </c>
      <c r="D28" s="630"/>
      <c r="E28" s="629"/>
      <c r="F28" s="629"/>
      <c r="G28" s="629" t="s">
        <v>908</v>
      </c>
      <c r="H28" s="629" t="s">
        <v>909</v>
      </c>
      <c r="I28" s="629"/>
      <c r="J28" s="740"/>
      <c r="K28" s="740"/>
      <c r="L28" s="629" t="s">
        <v>910</v>
      </c>
      <c r="M28" s="629">
        <v>9.6999999999999993</v>
      </c>
      <c r="N28" s="629">
        <v>43.649999999999991</v>
      </c>
      <c r="O28" s="629">
        <v>62.357142857142847</v>
      </c>
      <c r="P28" s="629">
        <v>0</v>
      </c>
      <c r="Q28" s="629">
        <v>124.71428571428569</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9.6999999999999993</v>
      </c>
      <c r="N29" s="587">
        <f>SUM(N28:N28)</f>
        <v>43.649999999999991</v>
      </c>
      <c r="O29" s="587">
        <f>SUM(O28:O28)</f>
        <v>62.357142857142847</v>
      </c>
      <c r="P29" s="587">
        <f>SUM(P28:P28)</f>
        <v>0</v>
      </c>
      <c r="Q29" s="587">
        <f>SUM(Q28:Q28)</f>
        <v>124.71428571428569</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9.6999999999999993</v>
      </c>
      <c r="N32" s="592">
        <f>SUMIF($AA$28:$AA$28,"landbouw",N28:N28)</f>
        <v>43.649999999999991</v>
      </c>
      <c r="O32" s="592">
        <f>SUMIF($AA$28:$AA$28,"landbouw",O28:O28)</f>
        <v>62.357142857142847</v>
      </c>
      <c r="P32" s="592">
        <f>SUMIF($AA$28:$AA$28,"landbouw",P28:P28)</f>
        <v>0</v>
      </c>
      <c r="Q32" s="592">
        <f>SUMIF($AA$28:$AA$28,"landbouw",Q28:Q28)</f>
        <v>124.71428571428569</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51.35294117647058</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73.361344537815114</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8822.5415076102308</v>
      </c>
      <c r="D10" s="640">
        <f ca="1">tertiair!C16</f>
        <v>0</v>
      </c>
      <c r="E10" s="640">
        <f ca="1">tertiair!D16</f>
        <v>8963.7961108614036</v>
      </c>
      <c r="F10" s="640">
        <f>tertiair!E16</f>
        <v>47.382531635128139</v>
      </c>
      <c r="G10" s="640">
        <f ca="1">tertiair!F16</f>
        <v>1112.9605682796982</v>
      </c>
      <c r="H10" s="640">
        <f>tertiair!G16</f>
        <v>0</v>
      </c>
      <c r="I10" s="640">
        <f>tertiair!H16</f>
        <v>0</v>
      </c>
      <c r="J10" s="640">
        <f>tertiair!I16</f>
        <v>0</v>
      </c>
      <c r="K10" s="640">
        <f>tertiair!J16</f>
        <v>39.158489537568613</v>
      </c>
      <c r="L10" s="640">
        <f>tertiair!K16</f>
        <v>0</v>
      </c>
      <c r="M10" s="640">
        <f ca="1">tertiair!L16</f>
        <v>0</v>
      </c>
      <c r="N10" s="640">
        <f>tertiair!M16</f>
        <v>0</v>
      </c>
      <c r="O10" s="640">
        <f ca="1">tertiair!N16</f>
        <v>345.0902251725164</v>
      </c>
      <c r="P10" s="640">
        <f>tertiair!O16</f>
        <v>3.1266666666666669</v>
      </c>
      <c r="Q10" s="641">
        <f>tertiair!P16</f>
        <v>0</v>
      </c>
      <c r="R10" s="643">
        <f ca="1">SUM(C10:Q10)</f>
        <v>19334.056099763209</v>
      </c>
      <c r="S10" s="67"/>
    </row>
    <row r="11" spans="1:19" s="444" customFormat="1">
      <c r="A11" s="754" t="s">
        <v>214</v>
      </c>
      <c r="B11" s="759"/>
      <c r="C11" s="640">
        <f>huishoudens!B8</f>
        <v>18725.683101437331</v>
      </c>
      <c r="D11" s="640">
        <f>huishoudens!C8</f>
        <v>0</v>
      </c>
      <c r="E11" s="640">
        <f>huishoudens!D8</f>
        <v>26102.37019238593</v>
      </c>
      <c r="F11" s="640">
        <f>huishoudens!E8</f>
        <v>1299.6958710849024</v>
      </c>
      <c r="G11" s="640">
        <f>huishoudens!F8</f>
        <v>39829.794409188078</v>
      </c>
      <c r="H11" s="640">
        <f>huishoudens!G8</f>
        <v>0</v>
      </c>
      <c r="I11" s="640">
        <f>huishoudens!H8</f>
        <v>0</v>
      </c>
      <c r="J11" s="640">
        <f>huishoudens!I8</f>
        <v>0</v>
      </c>
      <c r="K11" s="640">
        <f>huishoudens!J8</f>
        <v>754.29699804355141</v>
      </c>
      <c r="L11" s="640">
        <f>huishoudens!K8</f>
        <v>0</v>
      </c>
      <c r="M11" s="640">
        <f>huishoudens!L8</f>
        <v>0</v>
      </c>
      <c r="N11" s="640">
        <f>huishoudens!M8</f>
        <v>0</v>
      </c>
      <c r="O11" s="640">
        <f>huishoudens!N8</f>
        <v>5932.3727108793883</v>
      </c>
      <c r="P11" s="640">
        <f>huishoudens!O8</f>
        <v>75.040000000000006</v>
      </c>
      <c r="Q11" s="641">
        <f>huishoudens!P8</f>
        <v>286</v>
      </c>
      <c r="R11" s="643">
        <f>SUM(C11:Q11)</f>
        <v>93005.253283019163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2758.0705355724522</v>
      </c>
      <c r="D13" s="640">
        <f>industrie!C18</f>
        <v>0</v>
      </c>
      <c r="E13" s="640">
        <f>industrie!D18</f>
        <v>748.86365352652058</v>
      </c>
      <c r="F13" s="640">
        <f>industrie!E18</f>
        <v>413.10992738353536</v>
      </c>
      <c r="G13" s="640">
        <f>industrie!F18</f>
        <v>1257.1371860934848</v>
      </c>
      <c r="H13" s="640">
        <f>industrie!G18</f>
        <v>0</v>
      </c>
      <c r="I13" s="640">
        <f>industrie!H18</f>
        <v>0</v>
      </c>
      <c r="J13" s="640">
        <f>industrie!I18</f>
        <v>0</v>
      </c>
      <c r="K13" s="640">
        <f>industrie!J18</f>
        <v>3.8117016715641387</v>
      </c>
      <c r="L13" s="640">
        <f>industrie!K18</f>
        <v>0</v>
      </c>
      <c r="M13" s="640">
        <f>industrie!L18</f>
        <v>0</v>
      </c>
      <c r="N13" s="640">
        <f>industrie!M18</f>
        <v>0</v>
      </c>
      <c r="O13" s="640">
        <f>industrie!N18</f>
        <v>191.90296788243444</v>
      </c>
      <c r="P13" s="640">
        <f>industrie!O18</f>
        <v>0</v>
      </c>
      <c r="Q13" s="641">
        <f>industrie!P18</f>
        <v>0</v>
      </c>
      <c r="R13" s="643">
        <f>SUM(C13:Q13)</f>
        <v>5372.8959721299916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30306.295144620013</v>
      </c>
      <c r="D16" s="675">
        <f t="shared" ref="D16:R16" ca="1" si="0">SUM(D9:D15)</f>
        <v>0</v>
      </c>
      <c r="E16" s="675">
        <f t="shared" ca="1" si="0"/>
        <v>35815.029956773848</v>
      </c>
      <c r="F16" s="675">
        <f t="shared" si="0"/>
        <v>1760.1883301035659</v>
      </c>
      <c r="G16" s="675">
        <f t="shared" ca="1" si="0"/>
        <v>42199.892163561257</v>
      </c>
      <c r="H16" s="675">
        <f t="shared" si="0"/>
        <v>0</v>
      </c>
      <c r="I16" s="675">
        <f t="shared" si="0"/>
        <v>0</v>
      </c>
      <c r="J16" s="675">
        <f t="shared" si="0"/>
        <v>0</v>
      </c>
      <c r="K16" s="675">
        <f t="shared" si="0"/>
        <v>797.26718925268415</v>
      </c>
      <c r="L16" s="675">
        <f t="shared" si="0"/>
        <v>0</v>
      </c>
      <c r="M16" s="675">
        <f t="shared" ca="1" si="0"/>
        <v>0</v>
      </c>
      <c r="N16" s="675">
        <f t="shared" si="0"/>
        <v>0</v>
      </c>
      <c r="O16" s="675">
        <f t="shared" ca="1" si="0"/>
        <v>6469.3659039343393</v>
      </c>
      <c r="P16" s="675">
        <f t="shared" si="0"/>
        <v>78.166666666666671</v>
      </c>
      <c r="Q16" s="675">
        <f t="shared" si="0"/>
        <v>286</v>
      </c>
      <c r="R16" s="675">
        <f t="shared" ca="1" si="0"/>
        <v>117712.20535491237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9.4475635037246501</v>
      </c>
      <c r="D19" s="640">
        <f>transport!C54</f>
        <v>0</v>
      </c>
      <c r="E19" s="640">
        <f>transport!D54</f>
        <v>0</v>
      </c>
      <c r="F19" s="640">
        <f>transport!E54</f>
        <v>0</v>
      </c>
      <c r="G19" s="640">
        <f>transport!F54</f>
        <v>0</v>
      </c>
      <c r="H19" s="640">
        <f>transport!G54</f>
        <v>1838.9147779724813</v>
      </c>
      <c r="I19" s="640">
        <f>transport!H54</f>
        <v>0</v>
      </c>
      <c r="J19" s="640">
        <f>transport!I54</f>
        <v>0</v>
      </c>
      <c r="K19" s="640">
        <f>transport!J54</f>
        <v>0</v>
      </c>
      <c r="L19" s="640">
        <f>transport!K54</f>
        <v>0</v>
      </c>
      <c r="M19" s="640">
        <f>transport!L54</f>
        <v>0</v>
      </c>
      <c r="N19" s="640">
        <f>transport!M54</f>
        <v>82.458483820604229</v>
      </c>
      <c r="O19" s="640">
        <f>transport!N54</f>
        <v>0</v>
      </c>
      <c r="P19" s="640">
        <f>transport!O54</f>
        <v>0</v>
      </c>
      <c r="Q19" s="641">
        <f>transport!P54</f>
        <v>0</v>
      </c>
      <c r="R19" s="643">
        <f>SUM(C19:Q19)</f>
        <v>1930.8208252968102</v>
      </c>
      <c r="S19" s="67"/>
    </row>
    <row r="20" spans="1:19" s="444" customFormat="1">
      <c r="A20" s="754" t="s">
        <v>296</v>
      </c>
      <c r="B20" s="759"/>
      <c r="C20" s="640">
        <f>transport!B14</f>
        <v>7.8612309218152223</v>
      </c>
      <c r="D20" s="640">
        <f>transport!C14</f>
        <v>0</v>
      </c>
      <c r="E20" s="640">
        <f>transport!D14</f>
        <v>8.8996088209386475</v>
      </c>
      <c r="F20" s="640">
        <f>transport!E14</f>
        <v>309.63601957356752</v>
      </c>
      <c r="G20" s="640">
        <f>transport!F14</f>
        <v>0</v>
      </c>
      <c r="H20" s="640">
        <f>transport!G14</f>
        <v>72294.470988078872</v>
      </c>
      <c r="I20" s="640">
        <f>transport!H14</f>
        <v>15982.15810035677</v>
      </c>
      <c r="J20" s="640">
        <f>transport!I14</f>
        <v>0</v>
      </c>
      <c r="K20" s="640">
        <f>transport!J14</f>
        <v>0</v>
      </c>
      <c r="L20" s="640">
        <f>transport!K14</f>
        <v>0</v>
      </c>
      <c r="M20" s="640">
        <f>transport!L14</f>
        <v>0</v>
      </c>
      <c r="N20" s="640">
        <f>transport!M14</f>
        <v>3992.720187376899</v>
      </c>
      <c r="O20" s="640">
        <f>transport!N14</f>
        <v>0</v>
      </c>
      <c r="P20" s="640">
        <f>transport!O14</f>
        <v>0</v>
      </c>
      <c r="Q20" s="641">
        <f>transport!P14</f>
        <v>0</v>
      </c>
      <c r="R20" s="643">
        <f>SUM(C20:Q20)</f>
        <v>92595.746135128851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17.308794425539872</v>
      </c>
      <c r="D22" s="757">
        <f t="shared" ref="D22:R22" si="1">SUM(D18:D21)</f>
        <v>0</v>
      </c>
      <c r="E22" s="757">
        <f t="shared" si="1"/>
        <v>8.8996088209386475</v>
      </c>
      <c r="F22" s="757">
        <f t="shared" si="1"/>
        <v>309.63601957356752</v>
      </c>
      <c r="G22" s="757">
        <f t="shared" si="1"/>
        <v>0</v>
      </c>
      <c r="H22" s="757">
        <f t="shared" si="1"/>
        <v>74133.38576605136</v>
      </c>
      <c r="I22" s="757">
        <f t="shared" si="1"/>
        <v>15982.15810035677</v>
      </c>
      <c r="J22" s="757">
        <f t="shared" si="1"/>
        <v>0</v>
      </c>
      <c r="K22" s="757">
        <f t="shared" si="1"/>
        <v>0</v>
      </c>
      <c r="L22" s="757">
        <f t="shared" si="1"/>
        <v>0</v>
      </c>
      <c r="M22" s="757">
        <f t="shared" si="1"/>
        <v>0</v>
      </c>
      <c r="N22" s="757">
        <f t="shared" si="1"/>
        <v>4075.1786711975033</v>
      </c>
      <c r="O22" s="757">
        <f t="shared" si="1"/>
        <v>0</v>
      </c>
      <c r="P22" s="757">
        <f t="shared" si="1"/>
        <v>0</v>
      </c>
      <c r="Q22" s="757">
        <f t="shared" si="1"/>
        <v>0</v>
      </c>
      <c r="R22" s="757">
        <f t="shared" si="1"/>
        <v>94526.566960425655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859.26109451001503</v>
      </c>
      <c r="D24" s="640">
        <f>+landbouw!C8</f>
        <v>62.357142857142847</v>
      </c>
      <c r="E24" s="640">
        <f>+landbouw!D8</f>
        <v>3653.2749736684286</v>
      </c>
      <c r="F24" s="640">
        <f>+landbouw!E8</f>
        <v>17.842307576221959</v>
      </c>
      <c r="G24" s="640">
        <f>+landbouw!F8</f>
        <v>3036.6506338317677</v>
      </c>
      <c r="H24" s="640">
        <f>+landbouw!G8</f>
        <v>0</v>
      </c>
      <c r="I24" s="640">
        <f>+landbouw!H8</f>
        <v>0</v>
      </c>
      <c r="J24" s="640">
        <f>+landbouw!I8</f>
        <v>0</v>
      </c>
      <c r="K24" s="640">
        <f>+landbouw!J8</f>
        <v>98.551812859669965</v>
      </c>
      <c r="L24" s="640">
        <f>+landbouw!K8</f>
        <v>0</v>
      </c>
      <c r="M24" s="640">
        <f>+landbouw!L8</f>
        <v>0</v>
      </c>
      <c r="N24" s="640">
        <f>+landbouw!M8</f>
        <v>0</v>
      </c>
      <c r="O24" s="640">
        <f>+landbouw!N8</f>
        <v>0</v>
      </c>
      <c r="P24" s="640">
        <f>+landbouw!O8</f>
        <v>0</v>
      </c>
      <c r="Q24" s="641">
        <f>+landbouw!P8</f>
        <v>0</v>
      </c>
      <c r="R24" s="643">
        <f>SUM(C24:Q24)</f>
        <v>7727.9379653032456</v>
      </c>
      <c r="S24" s="67"/>
    </row>
    <row r="25" spans="1:19" s="444" customFormat="1" ht="15" thickBot="1">
      <c r="A25" s="776" t="s">
        <v>806</v>
      </c>
      <c r="B25" s="939"/>
      <c r="C25" s="940">
        <f>IF(Onbekend_ele_kWh="---",0,Onbekend_ele_kWh)/1000+IF(REST_rest_ele_kWh="---",0,REST_rest_ele_kWh)/1000</f>
        <v>516.84305565136196</v>
      </c>
      <c r="D25" s="940"/>
      <c r="E25" s="940">
        <f>IF(onbekend_gas_kWh="---",0,onbekend_gas_kWh)/1000+IF(REST_rest_gas_kWh="---",0,REST_rest_gas_kWh)/1000</f>
        <v>1266.6408048960102</v>
      </c>
      <c r="F25" s="940"/>
      <c r="G25" s="940"/>
      <c r="H25" s="940"/>
      <c r="I25" s="940"/>
      <c r="J25" s="940"/>
      <c r="K25" s="940"/>
      <c r="L25" s="940"/>
      <c r="M25" s="940"/>
      <c r="N25" s="940"/>
      <c r="O25" s="940"/>
      <c r="P25" s="940"/>
      <c r="Q25" s="941"/>
      <c r="R25" s="643">
        <f>SUM(C25:Q25)</f>
        <v>1783.4838605473722</v>
      </c>
      <c r="S25" s="67"/>
    </row>
    <row r="26" spans="1:19" s="444" customFormat="1" ht="15.75" thickBot="1">
      <c r="A26" s="648" t="s">
        <v>807</v>
      </c>
      <c r="B26" s="762"/>
      <c r="C26" s="757">
        <f>SUM(C24:C25)</f>
        <v>1376.104150161377</v>
      </c>
      <c r="D26" s="757">
        <f t="shared" ref="D26:R26" si="2">SUM(D24:D25)</f>
        <v>62.357142857142847</v>
      </c>
      <c r="E26" s="757">
        <f t="shared" si="2"/>
        <v>4919.9157785644384</v>
      </c>
      <c r="F26" s="757">
        <f t="shared" si="2"/>
        <v>17.842307576221959</v>
      </c>
      <c r="G26" s="757">
        <f t="shared" si="2"/>
        <v>3036.6506338317677</v>
      </c>
      <c r="H26" s="757">
        <f t="shared" si="2"/>
        <v>0</v>
      </c>
      <c r="I26" s="757">
        <f t="shared" si="2"/>
        <v>0</v>
      </c>
      <c r="J26" s="757">
        <f t="shared" si="2"/>
        <v>0</v>
      </c>
      <c r="K26" s="757">
        <f t="shared" si="2"/>
        <v>98.551812859669965</v>
      </c>
      <c r="L26" s="757">
        <f t="shared" si="2"/>
        <v>0</v>
      </c>
      <c r="M26" s="757">
        <f t="shared" si="2"/>
        <v>0</v>
      </c>
      <c r="N26" s="757">
        <f t="shared" si="2"/>
        <v>0</v>
      </c>
      <c r="O26" s="757">
        <f t="shared" si="2"/>
        <v>0</v>
      </c>
      <c r="P26" s="757">
        <f t="shared" si="2"/>
        <v>0</v>
      </c>
      <c r="Q26" s="757">
        <f t="shared" si="2"/>
        <v>0</v>
      </c>
      <c r="R26" s="757">
        <f t="shared" si="2"/>
        <v>9511.4218258506171</v>
      </c>
      <c r="S26" s="67"/>
    </row>
    <row r="27" spans="1:19" s="444" customFormat="1" ht="17.25" thickTop="1" thickBot="1">
      <c r="A27" s="649" t="s">
        <v>109</v>
      </c>
      <c r="B27" s="749"/>
      <c r="C27" s="650">
        <f ca="1">C22+C16+C26</f>
        <v>31699.708089206928</v>
      </c>
      <c r="D27" s="650">
        <f t="shared" ref="D27:R27" ca="1" si="3">D22+D16+D26</f>
        <v>62.357142857142847</v>
      </c>
      <c r="E27" s="650">
        <f t="shared" ca="1" si="3"/>
        <v>40743.845344159228</v>
      </c>
      <c r="F27" s="650">
        <f t="shared" si="3"/>
        <v>2087.6666572533554</v>
      </c>
      <c r="G27" s="650">
        <f t="shared" ca="1" si="3"/>
        <v>45236.542797393027</v>
      </c>
      <c r="H27" s="650">
        <f t="shared" si="3"/>
        <v>74133.38576605136</v>
      </c>
      <c r="I27" s="650">
        <f t="shared" si="3"/>
        <v>15982.15810035677</v>
      </c>
      <c r="J27" s="650">
        <f t="shared" si="3"/>
        <v>0</v>
      </c>
      <c r="K27" s="650">
        <f t="shared" si="3"/>
        <v>895.81900211235416</v>
      </c>
      <c r="L27" s="650">
        <f t="shared" si="3"/>
        <v>0</v>
      </c>
      <c r="M27" s="650">
        <f t="shared" ca="1" si="3"/>
        <v>0</v>
      </c>
      <c r="N27" s="650">
        <f t="shared" si="3"/>
        <v>4075.1786711975033</v>
      </c>
      <c r="O27" s="650">
        <f t="shared" ca="1" si="3"/>
        <v>6469.3659039343393</v>
      </c>
      <c r="P27" s="650">
        <f t="shared" si="3"/>
        <v>78.166666666666671</v>
      </c>
      <c r="Q27" s="650">
        <f t="shared" si="3"/>
        <v>286</v>
      </c>
      <c r="R27" s="650">
        <f t="shared" ca="1" si="3"/>
        <v>221750.19414118864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1856.9501926519702</v>
      </c>
      <c r="D40" s="640">
        <f ca="1">tertiair!C20</f>
        <v>0</v>
      </c>
      <c r="E40" s="640">
        <f ca="1">tertiair!D20</f>
        <v>1810.6868143940037</v>
      </c>
      <c r="F40" s="640">
        <f>tertiair!E20</f>
        <v>10.755834681174088</v>
      </c>
      <c r="G40" s="640">
        <f ca="1">tertiair!F20</f>
        <v>297.16047173067943</v>
      </c>
      <c r="H40" s="640">
        <f>tertiair!G20</f>
        <v>0</v>
      </c>
      <c r="I40" s="640">
        <f>tertiair!H20</f>
        <v>0</v>
      </c>
      <c r="J40" s="640">
        <f>tertiair!I20</f>
        <v>0</v>
      </c>
      <c r="K40" s="640">
        <f>tertiair!J20</f>
        <v>13.862105296299289</v>
      </c>
      <c r="L40" s="640">
        <f>tertiair!K20</f>
        <v>0</v>
      </c>
      <c r="M40" s="640">
        <f ca="1">tertiair!L20</f>
        <v>0</v>
      </c>
      <c r="N40" s="640">
        <f>tertiair!M20</f>
        <v>0</v>
      </c>
      <c r="O40" s="640">
        <f ca="1">tertiair!N20</f>
        <v>0</v>
      </c>
      <c r="P40" s="640">
        <f>tertiair!O20</f>
        <v>0</v>
      </c>
      <c r="Q40" s="717">
        <f>tertiair!P20</f>
        <v>0</v>
      </c>
      <c r="R40" s="795">
        <f t="shared" ca="1" si="4"/>
        <v>3989.4154187541271</v>
      </c>
    </row>
    <row r="41" spans="1:18">
      <c r="A41" s="767" t="s">
        <v>214</v>
      </c>
      <c r="B41" s="774"/>
      <c r="C41" s="640">
        <f ca="1">huishoudens!B12</f>
        <v>3941.3428446620806</v>
      </c>
      <c r="D41" s="640">
        <f ca="1">huishoudens!C12</f>
        <v>0</v>
      </c>
      <c r="E41" s="640">
        <f>huishoudens!D12</f>
        <v>5272.6787788619586</v>
      </c>
      <c r="F41" s="640">
        <f>huishoudens!E12</f>
        <v>295.03096273627284</v>
      </c>
      <c r="G41" s="640">
        <f>huishoudens!F12</f>
        <v>10634.555107253218</v>
      </c>
      <c r="H41" s="640">
        <f>huishoudens!G12</f>
        <v>0</v>
      </c>
      <c r="I41" s="640">
        <f>huishoudens!H12</f>
        <v>0</v>
      </c>
      <c r="J41" s="640">
        <f>huishoudens!I12</f>
        <v>0</v>
      </c>
      <c r="K41" s="640">
        <f>huishoudens!J12</f>
        <v>267.02113730741718</v>
      </c>
      <c r="L41" s="640">
        <f>huishoudens!K12</f>
        <v>0</v>
      </c>
      <c r="M41" s="640">
        <f>huishoudens!L12</f>
        <v>0</v>
      </c>
      <c r="N41" s="640">
        <f>huishoudens!M12</f>
        <v>0</v>
      </c>
      <c r="O41" s="640">
        <f>huishoudens!N12</f>
        <v>0</v>
      </c>
      <c r="P41" s="640">
        <f>huishoudens!O12</f>
        <v>0</v>
      </c>
      <c r="Q41" s="717">
        <f>huishoudens!P12</f>
        <v>0</v>
      </c>
      <c r="R41" s="795">
        <f t="shared" ca="1" si="4"/>
        <v>20410.628830820944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580.51295173404958</v>
      </c>
      <c r="D43" s="640">
        <f ca="1">industrie!C22</f>
        <v>0</v>
      </c>
      <c r="E43" s="640">
        <f>industrie!D22</f>
        <v>151.27045801235715</v>
      </c>
      <c r="F43" s="640">
        <f>industrie!E22</f>
        <v>93.775953516062529</v>
      </c>
      <c r="G43" s="640">
        <f>industrie!F22</f>
        <v>335.65562868696048</v>
      </c>
      <c r="H43" s="640">
        <f>industrie!G22</f>
        <v>0</v>
      </c>
      <c r="I43" s="640">
        <f>industrie!H22</f>
        <v>0</v>
      </c>
      <c r="J43" s="640">
        <f>industrie!I22</f>
        <v>0</v>
      </c>
      <c r="K43" s="640">
        <f>industrie!J22</f>
        <v>1.3493423917337051</v>
      </c>
      <c r="L43" s="640">
        <f>industrie!K22</f>
        <v>0</v>
      </c>
      <c r="M43" s="640">
        <f>industrie!L22</f>
        <v>0</v>
      </c>
      <c r="N43" s="640">
        <f>industrie!M22</f>
        <v>0</v>
      </c>
      <c r="O43" s="640">
        <f>industrie!N22</f>
        <v>0</v>
      </c>
      <c r="P43" s="640">
        <f>industrie!O22</f>
        <v>0</v>
      </c>
      <c r="Q43" s="717">
        <f>industrie!P22</f>
        <v>0</v>
      </c>
      <c r="R43" s="794">
        <f t="shared" ca="1" si="4"/>
        <v>1162.5643343411634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6378.8059890480999</v>
      </c>
      <c r="D46" s="675">
        <f t="shared" ref="D46:Q46" ca="1" si="5">SUM(D39:D45)</f>
        <v>0</v>
      </c>
      <c r="E46" s="675">
        <f t="shared" ca="1" si="5"/>
        <v>7234.6360512683195</v>
      </c>
      <c r="F46" s="675">
        <f t="shared" si="5"/>
        <v>399.56275093350945</v>
      </c>
      <c r="G46" s="675">
        <f t="shared" ca="1" si="5"/>
        <v>11267.371207670858</v>
      </c>
      <c r="H46" s="675">
        <f t="shared" si="5"/>
        <v>0</v>
      </c>
      <c r="I46" s="675">
        <f t="shared" si="5"/>
        <v>0</v>
      </c>
      <c r="J46" s="675">
        <f t="shared" si="5"/>
        <v>0</v>
      </c>
      <c r="K46" s="675">
        <f t="shared" si="5"/>
        <v>282.23258499545017</v>
      </c>
      <c r="L46" s="675">
        <f t="shared" si="5"/>
        <v>0</v>
      </c>
      <c r="M46" s="675">
        <f t="shared" ca="1" si="5"/>
        <v>0</v>
      </c>
      <c r="N46" s="675">
        <f t="shared" si="5"/>
        <v>0</v>
      </c>
      <c r="O46" s="675">
        <f t="shared" ca="1" si="5"/>
        <v>0</v>
      </c>
      <c r="P46" s="675">
        <f t="shared" si="5"/>
        <v>0</v>
      </c>
      <c r="Q46" s="675">
        <f t="shared" si="5"/>
        <v>0</v>
      </c>
      <c r="R46" s="675">
        <f ca="1">SUM(R39:R45)</f>
        <v>25562.608583916237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1.9885035228454566</v>
      </c>
      <c r="D49" s="640">
        <f ca="1">transport!C58</f>
        <v>0</v>
      </c>
      <c r="E49" s="640">
        <f>transport!D58</f>
        <v>0</v>
      </c>
      <c r="F49" s="640">
        <f>transport!E58</f>
        <v>0</v>
      </c>
      <c r="G49" s="640">
        <f>transport!F58</f>
        <v>0</v>
      </c>
      <c r="H49" s="640">
        <f>transport!G58</f>
        <v>490.99024571865255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492.97874924149801</v>
      </c>
    </row>
    <row r="50" spans="1:18">
      <c r="A50" s="770" t="s">
        <v>296</v>
      </c>
      <c r="B50" s="780"/>
      <c r="C50" s="646">
        <f ca="1">transport!B18</f>
        <v>1.6546155393153315</v>
      </c>
      <c r="D50" s="646">
        <f>transport!C18</f>
        <v>0</v>
      </c>
      <c r="E50" s="646">
        <f>transport!D18</f>
        <v>1.7977209818296069</v>
      </c>
      <c r="F50" s="646">
        <f>transport!E18</f>
        <v>70.287376443199832</v>
      </c>
      <c r="G50" s="646">
        <f>transport!F18</f>
        <v>0</v>
      </c>
      <c r="H50" s="646">
        <f>transport!G18</f>
        <v>19302.623753817061</v>
      </c>
      <c r="I50" s="646">
        <f>transport!H18</f>
        <v>3979.5573669888358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23355.92083377024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3.6431190621607881</v>
      </c>
      <c r="D52" s="675">
        <f t="shared" ref="D52:Q52" ca="1" si="6">SUM(D48:D51)</f>
        <v>0</v>
      </c>
      <c r="E52" s="675">
        <f t="shared" si="6"/>
        <v>1.7977209818296069</v>
      </c>
      <c r="F52" s="675">
        <f t="shared" si="6"/>
        <v>70.287376443199832</v>
      </c>
      <c r="G52" s="675">
        <f t="shared" si="6"/>
        <v>0</v>
      </c>
      <c r="H52" s="675">
        <f t="shared" si="6"/>
        <v>19793.613999535712</v>
      </c>
      <c r="I52" s="675">
        <f t="shared" si="6"/>
        <v>3979.5573669888358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23848.899583011738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180.85548859275562</v>
      </c>
      <c r="D54" s="646">
        <f ca="1">+landbouw!C12</f>
        <v>0</v>
      </c>
      <c r="E54" s="646">
        <f>+landbouw!D12</f>
        <v>737.96154468102259</v>
      </c>
      <c r="F54" s="646">
        <f>+landbouw!E12</f>
        <v>4.0502038198023849</v>
      </c>
      <c r="G54" s="646">
        <f>+landbouw!F12</f>
        <v>810.78571923308198</v>
      </c>
      <c r="H54" s="646">
        <f>+landbouw!G12</f>
        <v>0</v>
      </c>
      <c r="I54" s="646">
        <f>+landbouw!H12</f>
        <v>0</v>
      </c>
      <c r="J54" s="646">
        <f>+landbouw!I12</f>
        <v>0</v>
      </c>
      <c r="K54" s="646">
        <f>+landbouw!J12</f>
        <v>34.887341752323167</v>
      </c>
      <c r="L54" s="646">
        <f>+landbouw!K12</f>
        <v>0</v>
      </c>
      <c r="M54" s="646">
        <f>+landbouw!L12</f>
        <v>0</v>
      </c>
      <c r="N54" s="646">
        <f>+landbouw!M12</f>
        <v>0</v>
      </c>
      <c r="O54" s="646">
        <f>+landbouw!N12</f>
        <v>0</v>
      </c>
      <c r="P54" s="646">
        <f>+landbouw!O12</f>
        <v>0</v>
      </c>
      <c r="Q54" s="647">
        <f>+landbouw!P12</f>
        <v>0</v>
      </c>
      <c r="R54" s="674">
        <f ca="1">SUM(C54:Q54)</f>
        <v>1768.5402980789859</v>
      </c>
    </row>
    <row r="55" spans="1:18" ht="15" thickBot="1">
      <c r="A55" s="770" t="s">
        <v>806</v>
      </c>
      <c r="B55" s="780"/>
      <c r="C55" s="646">
        <f ca="1">C25*'EF ele_warmte'!B12</f>
        <v>108.78405173098452</v>
      </c>
      <c r="D55" s="646"/>
      <c r="E55" s="646">
        <f>E25*EF_CO2_aardgas</f>
        <v>255.86144258899407</v>
      </c>
      <c r="F55" s="646"/>
      <c r="G55" s="646"/>
      <c r="H55" s="646"/>
      <c r="I55" s="646"/>
      <c r="J55" s="646"/>
      <c r="K55" s="646"/>
      <c r="L55" s="646"/>
      <c r="M55" s="646"/>
      <c r="N55" s="646"/>
      <c r="O55" s="646"/>
      <c r="P55" s="646"/>
      <c r="Q55" s="647"/>
      <c r="R55" s="674">
        <f ca="1">SUM(C55:Q55)</f>
        <v>364.64549431997858</v>
      </c>
    </row>
    <row r="56" spans="1:18" ht="15.75" thickBot="1">
      <c r="A56" s="768" t="s">
        <v>807</v>
      </c>
      <c r="B56" s="781"/>
      <c r="C56" s="675">
        <f ca="1">SUM(C54:C55)</f>
        <v>289.63954032374011</v>
      </c>
      <c r="D56" s="675">
        <f t="shared" ref="D56:Q56" ca="1" si="7">SUM(D54:D55)</f>
        <v>0</v>
      </c>
      <c r="E56" s="675">
        <f t="shared" si="7"/>
        <v>993.82298727001671</v>
      </c>
      <c r="F56" s="675">
        <f t="shared" si="7"/>
        <v>4.0502038198023849</v>
      </c>
      <c r="G56" s="675">
        <f t="shared" si="7"/>
        <v>810.78571923308198</v>
      </c>
      <c r="H56" s="675">
        <f t="shared" si="7"/>
        <v>0</v>
      </c>
      <c r="I56" s="675">
        <f t="shared" si="7"/>
        <v>0</v>
      </c>
      <c r="J56" s="675">
        <f t="shared" si="7"/>
        <v>0</v>
      </c>
      <c r="K56" s="675">
        <f t="shared" si="7"/>
        <v>34.887341752323167</v>
      </c>
      <c r="L56" s="675">
        <f t="shared" si="7"/>
        <v>0</v>
      </c>
      <c r="M56" s="675">
        <f t="shared" si="7"/>
        <v>0</v>
      </c>
      <c r="N56" s="675">
        <f t="shared" si="7"/>
        <v>0</v>
      </c>
      <c r="O56" s="675">
        <f t="shared" si="7"/>
        <v>0</v>
      </c>
      <c r="P56" s="675">
        <f t="shared" si="7"/>
        <v>0</v>
      </c>
      <c r="Q56" s="676">
        <f t="shared" si="7"/>
        <v>0</v>
      </c>
      <c r="R56" s="677">
        <f ca="1">SUM(R54:R55)</f>
        <v>2133.1857923989646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6672.0886484340008</v>
      </c>
      <c r="D61" s="683">
        <f t="shared" ref="D61:Q61" ca="1" si="8">D46+D52+D56</f>
        <v>0</v>
      </c>
      <c r="E61" s="683">
        <f t="shared" ca="1" si="8"/>
        <v>8230.2567595201654</v>
      </c>
      <c r="F61" s="683">
        <f t="shared" si="8"/>
        <v>473.90033119651167</v>
      </c>
      <c r="G61" s="683">
        <f t="shared" ca="1" si="8"/>
        <v>12078.156926903939</v>
      </c>
      <c r="H61" s="683">
        <f t="shared" si="8"/>
        <v>19793.613999535712</v>
      </c>
      <c r="I61" s="683">
        <f t="shared" si="8"/>
        <v>3979.5573669888358</v>
      </c>
      <c r="J61" s="683">
        <f t="shared" si="8"/>
        <v>0</v>
      </c>
      <c r="K61" s="683">
        <f t="shared" si="8"/>
        <v>317.11992674777332</v>
      </c>
      <c r="L61" s="683">
        <f t="shared" si="8"/>
        <v>0</v>
      </c>
      <c r="M61" s="683">
        <f t="shared" ca="1" si="8"/>
        <v>0</v>
      </c>
      <c r="N61" s="683">
        <f t="shared" si="8"/>
        <v>0</v>
      </c>
      <c r="O61" s="683">
        <f t="shared" ca="1" si="8"/>
        <v>0</v>
      </c>
      <c r="P61" s="683">
        <f t="shared" si="8"/>
        <v>0</v>
      </c>
      <c r="Q61" s="683">
        <f t="shared" si="8"/>
        <v>0</v>
      </c>
      <c r="R61" s="683">
        <f ca="1">R46+R52+R56</f>
        <v>51544.693959326942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0.21047792079529287</v>
      </c>
      <c r="D63" s="726">
        <f t="shared" ca="1" si="9"/>
        <v>0</v>
      </c>
      <c r="E63" s="946">
        <f t="shared" ca="1" si="9"/>
        <v>0.20200000000000004</v>
      </c>
      <c r="F63" s="726">
        <f t="shared" si="9"/>
        <v>0.22700000000000001</v>
      </c>
      <c r="G63" s="726">
        <f t="shared" ca="1" si="9"/>
        <v>0.26700000000000002</v>
      </c>
      <c r="H63" s="726">
        <f t="shared" si="9"/>
        <v>0.26699999999999996</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1465.6117162024011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43.649999999999991</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51.35294117647058</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1509.2617162024012</v>
      </c>
      <c r="C78" s="698">
        <f>SUM(C72:C77)</f>
        <v>0</v>
      </c>
      <c r="D78" s="699">
        <f t="shared" ref="D78:H78" si="10">SUM(D76:D77)</f>
        <v>0</v>
      </c>
      <c r="E78" s="699">
        <f t="shared" si="10"/>
        <v>0</v>
      </c>
      <c r="F78" s="699">
        <f t="shared" si="10"/>
        <v>0</v>
      </c>
      <c r="G78" s="699">
        <f t="shared" si="10"/>
        <v>0</v>
      </c>
      <c r="H78" s="699">
        <f t="shared" si="10"/>
        <v>0</v>
      </c>
      <c r="I78" s="699">
        <f>SUM(I76:I77)</f>
        <v>0</v>
      </c>
      <c r="J78" s="699">
        <f>SUM(J76:J77)</f>
        <v>51.35294117647058</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62.357142857142847</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73.361344537815114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62.357142857142847</v>
      </c>
      <c r="C90" s="698">
        <f>SUM(C87:C89)</f>
        <v>0</v>
      </c>
      <c r="D90" s="698">
        <f t="shared" ref="D90:H90" si="12">SUM(D87:D89)</f>
        <v>0</v>
      </c>
      <c r="E90" s="698">
        <f t="shared" si="12"/>
        <v>0</v>
      </c>
      <c r="F90" s="698">
        <f t="shared" si="12"/>
        <v>0</v>
      </c>
      <c r="G90" s="698">
        <f t="shared" si="12"/>
        <v>0</v>
      </c>
      <c r="H90" s="698">
        <f t="shared" si="12"/>
        <v>0</v>
      </c>
      <c r="I90" s="698">
        <f>SUM(I87:I89)</f>
        <v>0</v>
      </c>
      <c r="J90" s="698">
        <f>SUM(J87:J89)</f>
        <v>73.361344537815114</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18725.683101437331</v>
      </c>
      <c r="C4" s="448">
        <f>huishoudens!C8</f>
        <v>0</v>
      </c>
      <c r="D4" s="448">
        <f>huishoudens!D8</f>
        <v>26102.37019238593</v>
      </c>
      <c r="E4" s="448">
        <f>huishoudens!E8</f>
        <v>1299.6958710849024</v>
      </c>
      <c r="F4" s="448">
        <f>huishoudens!F8</f>
        <v>39829.794409188078</v>
      </c>
      <c r="G4" s="448">
        <f>huishoudens!G8</f>
        <v>0</v>
      </c>
      <c r="H4" s="448">
        <f>huishoudens!H8</f>
        <v>0</v>
      </c>
      <c r="I4" s="448">
        <f>huishoudens!I8</f>
        <v>0</v>
      </c>
      <c r="J4" s="448">
        <f>huishoudens!J8</f>
        <v>754.29699804355141</v>
      </c>
      <c r="K4" s="448">
        <f>huishoudens!K8</f>
        <v>0</v>
      </c>
      <c r="L4" s="448">
        <f>huishoudens!L8</f>
        <v>0</v>
      </c>
      <c r="M4" s="448">
        <f>huishoudens!M8</f>
        <v>0</v>
      </c>
      <c r="N4" s="448">
        <f>huishoudens!N8</f>
        <v>5932.3727108793883</v>
      </c>
      <c r="O4" s="448">
        <f>huishoudens!O8</f>
        <v>75.040000000000006</v>
      </c>
      <c r="P4" s="449">
        <f>huishoudens!P8</f>
        <v>286</v>
      </c>
      <c r="Q4" s="450">
        <f>SUM(B4:P4)</f>
        <v>93005.253283019163</v>
      </c>
    </row>
    <row r="5" spans="1:17">
      <c r="A5" s="447" t="s">
        <v>149</v>
      </c>
      <c r="B5" s="448">
        <f ca="1">tertiair!B16</f>
        <v>8211.4455076102313</v>
      </c>
      <c r="C5" s="448">
        <f ca="1">tertiair!C16</f>
        <v>0</v>
      </c>
      <c r="D5" s="448">
        <f ca="1">tertiair!D16</f>
        <v>8963.7961108614036</v>
      </c>
      <c r="E5" s="448">
        <f>tertiair!E16</f>
        <v>47.382531635128139</v>
      </c>
      <c r="F5" s="448">
        <f ca="1">tertiair!F16</f>
        <v>1112.9605682796982</v>
      </c>
      <c r="G5" s="448">
        <f>tertiair!G16</f>
        <v>0</v>
      </c>
      <c r="H5" s="448">
        <f>tertiair!H16</f>
        <v>0</v>
      </c>
      <c r="I5" s="448">
        <f>tertiair!I16</f>
        <v>0</v>
      </c>
      <c r="J5" s="448">
        <f>tertiair!J16</f>
        <v>39.158489537568613</v>
      </c>
      <c r="K5" s="448">
        <f>tertiair!K16</f>
        <v>0</v>
      </c>
      <c r="L5" s="448">
        <f ca="1">tertiair!L16</f>
        <v>0</v>
      </c>
      <c r="M5" s="448">
        <f>tertiair!M16</f>
        <v>0</v>
      </c>
      <c r="N5" s="448">
        <f ca="1">tertiair!N16</f>
        <v>345.0902251725164</v>
      </c>
      <c r="O5" s="448">
        <f>tertiair!O16</f>
        <v>3.1266666666666669</v>
      </c>
      <c r="P5" s="449">
        <f>tertiair!P16</f>
        <v>0</v>
      </c>
      <c r="Q5" s="447">
        <f t="shared" ref="Q5:Q14" ca="1" si="0">SUM(B5:P5)</f>
        <v>18722.960099763211</v>
      </c>
    </row>
    <row r="6" spans="1:17">
      <c r="A6" s="447" t="s">
        <v>187</v>
      </c>
      <c r="B6" s="448">
        <f>'openbare verlichting'!B8</f>
        <v>611.096</v>
      </c>
      <c r="C6" s="448"/>
      <c r="D6" s="448"/>
      <c r="E6" s="448"/>
      <c r="F6" s="448"/>
      <c r="G6" s="448"/>
      <c r="H6" s="448"/>
      <c r="I6" s="448"/>
      <c r="J6" s="448"/>
      <c r="K6" s="448"/>
      <c r="L6" s="448"/>
      <c r="M6" s="448"/>
      <c r="N6" s="448"/>
      <c r="O6" s="448"/>
      <c r="P6" s="449"/>
      <c r="Q6" s="447">
        <f t="shared" si="0"/>
        <v>611.096</v>
      </c>
    </row>
    <row r="7" spans="1:17">
      <c r="A7" s="447" t="s">
        <v>105</v>
      </c>
      <c r="B7" s="448">
        <f>landbouw!B8</f>
        <v>859.26109451001503</v>
      </c>
      <c r="C7" s="448">
        <f>landbouw!C8</f>
        <v>62.357142857142847</v>
      </c>
      <c r="D7" s="448">
        <f>landbouw!D8</f>
        <v>3653.2749736684286</v>
      </c>
      <c r="E7" s="448">
        <f>landbouw!E8</f>
        <v>17.842307576221959</v>
      </c>
      <c r="F7" s="448">
        <f>landbouw!F8</f>
        <v>3036.6506338317677</v>
      </c>
      <c r="G7" s="448">
        <f>landbouw!G8</f>
        <v>0</v>
      </c>
      <c r="H7" s="448">
        <f>landbouw!H8</f>
        <v>0</v>
      </c>
      <c r="I7" s="448">
        <f>landbouw!I8</f>
        <v>0</v>
      </c>
      <c r="J7" s="448">
        <f>landbouw!J8</f>
        <v>98.551812859669965</v>
      </c>
      <c r="K7" s="448">
        <f>landbouw!K8</f>
        <v>0</v>
      </c>
      <c r="L7" s="448">
        <f>landbouw!L8</f>
        <v>0</v>
      </c>
      <c r="M7" s="448">
        <f>landbouw!M8</f>
        <v>0</v>
      </c>
      <c r="N7" s="448">
        <f>landbouw!N8</f>
        <v>0</v>
      </c>
      <c r="O7" s="448">
        <f>landbouw!O8</f>
        <v>0</v>
      </c>
      <c r="P7" s="449">
        <f>landbouw!P8</f>
        <v>0</v>
      </c>
      <c r="Q7" s="447">
        <f t="shared" si="0"/>
        <v>7727.9379653032456</v>
      </c>
    </row>
    <row r="8" spans="1:17">
      <c r="A8" s="447" t="s">
        <v>614</v>
      </c>
      <c r="B8" s="448">
        <f>industrie!B18</f>
        <v>2758.0705355724522</v>
      </c>
      <c r="C8" s="448">
        <f>industrie!C18</f>
        <v>0</v>
      </c>
      <c r="D8" s="448">
        <f>industrie!D18</f>
        <v>748.86365352652058</v>
      </c>
      <c r="E8" s="448">
        <f>industrie!E18</f>
        <v>413.10992738353536</v>
      </c>
      <c r="F8" s="448">
        <f>industrie!F18</f>
        <v>1257.1371860934848</v>
      </c>
      <c r="G8" s="448">
        <f>industrie!G18</f>
        <v>0</v>
      </c>
      <c r="H8" s="448">
        <f>industrie!H18</f>
        <v>0</v>
      </c>
      <c r="I8" s="448">
        <f>industrie!I18</f>
        <v>0</v>
      </c>
      <c r="J8" s="448">
        <f>industrie!J18</f>
        <v>3.8117016715641387</v>
      </c>
      <c r="K8" s="448">
        <f>industrie!K18</f>
        <v>0</v>
      </c>
      <c r="L8" s="448">
        <f>industrie!L18</f>
        <v>0</v>
      </c>
      <c r="M8" s="448">
        <f>industrie!M18</f>
        <v>0</v>
      </c>
      <c r="N8" s="448">
        <f>industrie!N18</f>
        <v>191.90296788243444</v>
      </c>
      <c r="O8" s="448">
        <f>industrie!O18</f>
        <v>0</v>
      </c>
      <c r="P8" s="449">
        <f>industrie!P18</f>
        <v>0</v>
      </c>
      <c r="Q8" s="447">
        <f t="shared" si="0"/>
        <v>5372.8959721299916</v>
      </c>
    </row>
    <row r="9" spans="1:17" s="453" customFormat="1">
      <c r="A9" s="451" t="s">
        <v>555</v>
      </c>
      <c r="B9" s="452">
        <f>transport!B14</f>
        <v>7.8612309218152223</v>
      </c>
      <c r="C9" s="452">
        <f>transport!C14</f>
        <v>0</v>
      </c>
      <c r="D9" s="452">
        <f>transport!D14</f>
        <v>8.8996088209386475</v>
      </c>
      <c r="E9" s="452">
        <f>transport!E14</f>
        <v>309.63601957356752</v>
      </c>
      <c r="F9" s="452">
        <f>transport!F14</f>
        <v>0</v>
      </c>
      <c r="G9" s="452">
        <f>transport!G14</f>
        <v>72294.470988078872</v>
      </c>
      <c r="H9" s="452">
        <f>transport!H14</f>
        <v>15982.15810035677</v>
      </c>
      <c r="I9" s="452">
        <f>transport!I14</f>
        <v>0</v>
      </c>
      <c r="J9" s="452">
        <f>transport!J14</f>
        <v>0</v>
      </c>
      <c r="K9" s="452">
        <f>transport!K14</f>
        <v>0</v>
      </c>
      <c r="L9" s="452">
        <f>transport!L14</f>
        <v>0</v>
      </c>
      <c r="M9" s="452">
        <f>transport!M14</f>
        <v>3992.720187376899</v>
      </c>
      <c r="N9" s="452">
        <f>transport!N14</f>
        <v>0</v>
      </c>
      <c r="O9" s="452">
        <f>transport!O14</f>
        <v>0</v>
      </c>
      <c r="P9" s="452">
        <f>transport!P14</f>
        <v>0</v>
      </c>
      <c r="Q9" s="451">
        <f>SUM(B9:P9)</f>
        <v>92595.746135128851</v>
      </c>
    </row>
    <row r="10" spans="1:17">
      <c r="A10" s="447" t="s">
        <v>545</v>
      </c>
      <c r="B10" s="448">
        <f>transport!B54</f>
        <v>9.4475635037246501</v>
      </c>
      <c r="C10" s="448">
        <f>transport!C54</f>
        <v>0</v>
      </c>
      <c r="D10" s="448">
        <f>transport!D54</f>
        <v>0</v>
      </c>
      <c r="E10" s="448">
        <f>transport!E54</f>
        <v>0</v>
      </c>
      <c r="F10" s="448">
        <f>transport!F54</f>
        <v>0</v>
      </c>
      <c r="G10" s="448">
        <f>transport!G54</f>
        <v>1838.9147779724813</v>
      </c>
      <c r="H10" s="448">
        <f>transport!H54</f>
        <v>0</v>
      </c>
      <c r="I10" s="448">
        <f>transport!I54</f>
        <v>0</v>
      </c>
      <c r="J10" s="448">
        <f>transport!J54</f>
        <v>0</v>
      </c>
      <c r="K10" s="448">
        <f>transport!K54</f>
        <v>0</v>
      </c>
      <c r="L10" s="448">
        <f>transport!L54</f>
        <v>0</v>
      </c>
      <c r="M10" s="448">
        <f>transport!M54</f>
        <v>82.458483820604229</v>
      </c>
      <c r="N10" s="448">
        <f>transport!N54</f>
        <v>0</v>
      </c>
      <c r="O10" s="448">
        <f>transport!O54</f>
        <v>0</v>
      </c>
      <c r="P10" s="449">
        <f>transport!P54</f>
        <v>0</v>
      </c>
      <c r="Q10" s="447">
        <f t="shared" si="0"/>
        <v>1930.8208252968102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516.84305565136196</v>
      </c>
      <c r="C14" s="455"/>
      <c r="D14" s="455">
        <f>'SEAP template'!E25</f>
        <v>1266.6408048960102</v>
      </c>
      <c r="E14" s="455"/>
      <c r="F14" s="455"/>
      <c r="G14" s="455"/>
      <c r="H14" s="455"/>
      <c r="I14" s="455"/>
      <c r="J14" s="455"/>
      <c r="K14" s="455"/>
      <c r="L14" s="455"/>
      <c r="M14" s="455"/>
      <c r="N14" s="455"/>
      <c r="O14" s="455"/>
      <c r="P14" s="456"/>
      <c r="Q14" s="447">
        <f t="shared" si="0"/>
        <v>1783.4838605473722</v>
      </c>
    </row>
    <row r="15" spans="1:17" s="460" customFormat="1">
      <c r="A15" s="457" t="s">
        <v>549</v>
      </c>
      <c r="B15" s="458">
        <f ca="1">SUM(B4:B14)</f>
        <v>31699.708089206932</v>
      </c>
      <c r="C15" s="458">
        <f t="shared" ref="C15:Q15" ca="1" si="1">SUM(C4:C14)</f>
        <v>62.357142857142847</v>
      </c>
      <c r="D15" s="458">
        <f t="shared" ca="1" si="1"/>
        <v>40743.845344159221</v>
      </c>
      <c r="E15" s="458">
        <f t="shared" si="1"/>
        <v>2087.666657253355</v>
      </c>
      <c r="F15" s="458">
        <f t="shared" ca="1" si="1"/>
        <v>45236.542797393027</v>
      </c>
      <c r="G15" s="458">
        <f t="shared" si="1"/>
        <v>74133.38576605136</v>
      </c>
      <c r="H15" s="458">
        <f t="shared" si="1"/>
        <v>15982.15810035677</v>
      </c>
      <c r="I15" s="458">
        <f t="shared" si="1"/>
        <v>0</v>
      </c>
      <c r="J15" s="458">
        <f t="shared" si="1"/>
        <v>895.81900211235416</v>
      </c>
      <c r="K15" s="458">
        <f t="shared" si="1"/>
        <v>0</v>
      </c>
      <c r="L15" s="458">
        <f t="shared" ca="1" si="1"/>
        <v>0</v>
      </c>
      <c r="M15" s="458">
        <f t="shared" si="1"/>
        <v>4075.1786711975033</v>
      </c>
      <c r="N15" s="458">
        <f t="shared" ca="1" si="1"/>
        <v>6469.3659039343393</v>
      </c>
      <c r="O15" s="458">
        <f t="shared" si="1"/>
        <v>78.166666666666671</v>
      </c>
      <c r="P15" s="458">
        <f t="shared" si="1"/>
        <v>286</v>
      </c>
      <c r="Q15" s="458">
        <f t="shared" ca="1" si="1"/>
        <v>221750.19414118864</v>
      </c>
    </row>
    <row r="17" spans="1:17">
      <c r="A17" s="461" t="s">
        <v>550</v>
      </c>
      <c r="B17" s="731">
        <f ca="1">huishoudens!B10</f>
        <v>0.21047792079529287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3941.3428446620806</v>
      </c>
      <c r="C22" s="448">
        <f t="shared" ref="C22:C32" ca="1" si="3">C4*$C$17</f>
        <v>0</v>
      </c>
      <c r="D22" s="448">
        <f t="shared" ref="D22:D32" si="4">D4*$D$17</f>
        <v>5272.6787788619586</v>
      </c>
      <c r="E22" s="448">
        <f t="shared" ref="E22:E32" si="5">E4*$E$17</f>
        <v>295.03096273627284</v>
      </c>
      <c r="F22" s="448">
        <f t="shared" ref="F22:F32" si="6">F4*$F$17</f>
        <v>10634.555107253218</v>
      </c>
      <c r="G22" s="448">
        <f t="shared" ref="G22:G32" si="7">G4*$G$17</f>
        <v>0</v>
      </c>
      <c r="H22" s="448">
        <f t="shared" ref="H22:H32" si="8">H4*$H$17</f>
        <v>0</v>
      </c>
      <c r="I22" s="448">
        <f t="shared" ref="I22:I32" si="9">I4*$I$17</f>
        <v>0</v>
      </c>
      <c r="J22" s="448">
        <f t="shared" ref="J22:J32" si="10">J4*$J$17</f>
        <v>267.02113730741718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20410.628830820944</v>
      </c>
    </row>
    <row r="23" spans="1:17">
      <c r="A23" s="447" t="s">
        <v>149</v>
      </c>
      <c r="B23" s="448">
        <f t="shared" ca="1" si="2"/>
        <v>1728.3279771656498</v>
      </c>
      <c r="C23" s="448">
        <f t="shared" ca="1" si="3"/>
        <v>0</v>
      </c>
      <c r="D23" s="448">
        <f t="shared" ca="1" si="4"/>
        <v>1810.6868143940037</v>
      </c>
      <c r="E23" s="448">
        <f t="shared" si="5"/>
        <v>10.755834681174088</v>
      </c>
      <c r="F23" s="448">
        <f t="shared" ca="1" si="6"/>
        <v>297.16047173067943</v>
      </c>
      <c r="G23" s="448">
        <f t="shared" si="7"/>
        <v>0</v>
      </c>
      <c r="H23" s="448">
        <f t="shared" si="8"/>
        <v>0</v>
      </c>
      <c r="I23" s="448">
        <f t="shared" si="9"/>
        <v>0</v>
      </c>
      <c r="J23" s="448">
        <f t="shared" si="10"/>
        <v>13.862105296299289</v>
      </c>
      <c r="K23" s="448">
        <f t="shared" si="11"/>
        <v>0</v>
      </c>
      <c r="L23" s="448">
        <f t="shared" ca="1" si="12"/>
        <v>0</v>
      </c>
      <c r="M23" s="448">
        <f t="shared" si="13"/>
        <v>0</v>
      </c>
      <c r="N23" s="448">
        <f t="shared" ca="1" si="14"/>
        <v>0</v>
      </c>
      <c r="O23" s="448">
        <f t="shared" si="15"/>
        <v>0</v>
      </c>
      <c r="P23" s="449">
        <f t="shared" si="16"/>
        <v>0</v>
      </c>
      <c r="Q23" s="447">
        <f t="shared" ref="Q23:Q32" ca="1" si="17">SUM(B23:P23)</f>
        <v>3860.7932032678068</v>
      </c>
    </row>
    <row r="24" spans="1:17">
      <c r="A24" s="447" t="s">
        <v>187</v>
      </c>
      <c r="B24" s="448">
        <f t="shared" ca="1" si="2"/>
        <v>128.6222154863203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128.6222154863203</v>
      </c>
    </row>
    <row r="25" spans="1:17">
      <c r="A25" s="447" t="s">
        <v>105</v>
      </c>
      <c r="B25" s="448">
        <f t="shared" ca="1" si="2"/>
        <v>180.85548859275562</v>
      </c>
      <c r="C25" s="448">
        <f t="shared" ca="1" si="3"/>
        <v>0</v>
      </c>
      <c r="D25" s="448">
        <f t="shared" si="4"/>
        <v>737.96154468102259</v>
      </c>
      <c r="E25" s="448">
        <f t="shared" si="5"/>
        <v>4.0502038198023849</v>
      </c>
      <c r="F25" s="448">
        <f t="shared" si="6"/>
        <v>810.78571923308198</v>
      </c>
      <c r="G25" s="448">
        <f t="shared" si="7"/>
        <v>0</v>
      </c>
      <c r="H25" s="448">
        <f t="shared" si="8"/>
        <v>0</v>
      </c>
      <c r="I25" s="448">
        <f t="shared" si="9"/>
        <v>0</v>
      </c>
      <c r="J25" s="448">
        <f t="shared" si="10"/>
        <v>34.887341752323167</v>
      </c>
      <c r="K25" s="448">
        <f t="shared" si="11"/>
        <v>0</v>
      </c>
      <c r="L25" s="448">
        <f t="shared" si="12"/>
        <v>0</v>
      </c>
      <c r="M25" s="448">
        <f t="shared" si="13"/>
        <v>0</v>
      </c>
      <c r="N25" s="448">
        <f t="shared" si="14"/>
        <v>0</v>
      </c>
      <c r="O25" s="448">
        <f t="shared" si="15"/>
        <v>0</v>
      </c>
      <c r="P25" s="449">
        <f t="shared" si="16"/>
        <v>0</v>
      </c>
      <c r="Q25" s="447">
        <f t="shared" ca="1" si="17"/>
        <v>1768.5402980789859</v>
      </c>
    </row>
    <row r="26" spans="1:17">
      <c r="A26" s="447" t="s">
        <v>614</v>
      </c>
      <c r="B26" s="448">
        <f t="shared" ca="1" si="2"/>
        <v>580.51295173404958</v>
      </c>
      <c r="C26" s="448">
        <f t="shared" ca="1" si="3"/>
        <v>0</v>
      </c>
      <c r="D26" s="448">
        <f t="shared" si="4"/>
        <v>151.27045801235715</v>
      </c>
      <c r="E26" s="448">
        <f t="shared" si="5"/>
        <v>93.775953516062529</v>
      </c>
      <c r="F26" s="448">
        <f t="shared" si="6"/>
        <v>335.65562868696048</v>
      </c>
      <c r="G26" s="448">
        <f t="shared" si="7"/>
        <v>0</v>
      </c>
      <c r="H26" s="448">
        <f t="shared" si="8"/>
        <v>0</v>
      </c>
      <c r="I26" s="448">
        <f t="shared" si="9"/>
        <v>0</v>
      </c>
      <c r="J26" s="448">
        <f t="shared" si="10"/>
        <v>1.3493423917337051</v>
      </c>
      <c r="K26" s="448">
        <f t="shared" si="11"/>
        <v>0</v>
      </c>
      <c r="L26" s="448">
        <f t="shared" si="12"/>
        <v>0</v>
      </c>
      <c r="M26" s="448">
        <f t="shared" si="13"/>
        <v>0</v>
      </c>
      <c r="N26" s="448">
        <f t="shared" si="14"/>
        <v>0</v>
      </c>
      <c r="O26" s="448">
        <f t="shared" si="15"/>
        <v>0</v>
      </c>
      <c r="P26" s="449">
        <f t="shared" si="16"/>
        <v>0</v>
      </c>
      <c r="Q26" s="447">
        <f t="shared" ca="1" si="17"/>
        <v>1162.5643343411634</v>
      </c>
    </row>
    <row r="27" spans="1:17" s="453" customFormat="1">
      <c r="A27" s="451" t="s">
        <v>555</v>
      </c>
      <c r="B27" s="725">
        <f t="shared" ca="1" si="2"/>
        <v>1.6546155393153315</v>
      </c>
      <c r="C27" s="452">
        <f t="shared" ca="1" si="3"/>
        <v>0</v>
      </c>
      <c r="D27" s="452">
        <f t="shared" si="4"/>
        <v>1.7977209818296069</v>
      </c>
      <c r="E27" s="452">
        <f t="shared" si="5"/>
        <v>70.287376443199832</v>
      </c>
      <c r="F27" s="452">
        <f t="shared" si="6"/>
        <v>0</v>
      </c>
      <c r="G27" s="452">
        <f t="shared" si="7"/>
        <v>19302.623753817061</v>
      </c>
      <c r="H27" s="452">
        <f t="shared" si="8"/>
        <v>3979.5573669888358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23355.92083377024</v>
      </c>
    </row>
    <row r="28" spans="1:17">
      <c r="A28" s="447" t="s">
        <v>545</v>
      </c>
      <c r="B28" s="448">
        <f t="shared" ca="1" si="2"/>
        <v>1.9885035228454566</v>
      </c>
      <c r="C28" s="448">
        <f t="shared" ca="1" si="3"/>
        <v>0</v>
      </c>
      <c r="D28" s="448">
        <f t="shared" si="4"/>
        <v>0</v>
      </c>
      <c r="E28" s="448">
        <f t="shared" si="5"/>
        <v>0</v>
      </c>
      <c r="F28" s="448">
        <f t="shared" si="6"/>
        <v>0</v>
      </c>
      <c r="G28" s="448">
        <f t="shared" si="7"/>
        <v>490.99024571865255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492.97874924149801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108.78405173098452</v>
      </c>
      <c r="C32" s="448">
        <f t="shared" ca="1" si="3"/>
        <v>0</v>
      </c>
      <c r="D32" s="448">
        <f t="shared" si="4"/>
        <v>255.86144258899407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364.64549431997858</v>
      </c>
    </row>
    <row r="33" spans="1:17" s="460" customFormat="1">
      <c r="A33" s="457" t="s">
        <v>549</v>
      </c>
      <c r="B33" s="458">
        <f ca="1">SUM(B22:B32)</f>
        <v>6672.0886484340008</v>
      </c>
      <c r="C33" s="458">
        <f t="shared" ref="C33:Q33" ca="1" si="18">SUM(C22:C32)</f>
        <v>0</v>
      </c>
      <c r="D33" s="458">
        <f t="shared" ca="1" si="18"/>
        <v>8230.2567595201672</v>
      </c>
      <c r="E33" s="458">
        <f t="shared" si="18"/>
        <v>473.90033119651167</v>
      </c>
      <c r="F33" s="458">
        <f t="shared" ca="1" si="18"/>
        <v>12078.156926903939</v>
      </c>
      <c r="G33" s="458">
        <f t="shared" si="18"/>
        <v>19793.613999535712</v>
      </c>
      <c r="H33" s="458">
        <f t="shared" si="18"/>
        <v>3979.5573669888358</v>
      </c>
      <c r="I33" s="458">
        <f t="shared" si="18"/>
        <v>0</v>
      </c>
      <c r="J33" s="458">
        <f t="shared" si="18"/>
        <v>317.11992674777332</v>
      </c>
      <c r="K33" s="458">
        <f t="shared" si="18"/>
        <v>0</v>
      </c>
      <c r="L33" s="458">
        <f t="shared" ca="1" si="18"/>
        <v>0</v>
      </c>
      <c r="M33" s="458">
        <f t="shared" si="18"/>
        <v>0</v>
      </c>
      <c r="N33" s="458">
        <f t="shared" ca="1" si="18"/>
        <v>0</v>
      </c>
      <c r="O33" s="458">
        <f t="shared" si="18"/>
        <v>0</v>
      </c>
      <c r="P33" s="458">
        <f t="shared" si="18"/>
        <v>0</v>
      </c>
      <c r="Q33" s="458">
        <f t="shared" ca="1" si="18"/>
        <v>51544.693959326942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1465.6117162024011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43.649999999999991</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51.35294117647058</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1509.2617162024012</v>
      </c>
      <c r="C10" s="986">
        <f>SUM(C4:C9)</f>
        <v>0</v>
      </c>
      <c r="D10" s="986">
        <f t="shared" ref="D10:H10" si="0">SUM(D8:D9)</f>
        <v>0</v>
      </c>
      <c r="E10" s="986">
        <f t="shared" si="0"/>
        <v>0</v>
      </c>
      <c r="F10" s="986">
        <f t="shared" si="0"/>
        <v>0</v>
      </c>
      <c r="G10" s="986">
        <f t="shared" si="0"/>
        <v>0</v>
      </c>
      <c r="H10" s="986">
        <f t="shared" si="0"/>
        <v>0</v>
      </c>
      <c r="I10" s="986">
        <f>SUM(I8:I9)</f>
        <v>0</v>
      </c>
      <c r="J10" s="986">
        <f>SUM(J8:J9)</f>
        <v>51.35294117647058</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0.21047792079529287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62.357142857142847</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73.361344537815114</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62.357142857142847</v>
      </c>
      <c r="C20" s="986">
        <f>SUM(C17:C19)</f>
        <v>0</v>
      </c>
      <c r="D20" s="986">
        <f t="shared" ref="D20:H20" si="2">SUM(D17:D19)</f>
        <v>0</v>
      </c>
      <c r="E20" s="986">
        <f t="shared" si="2"/>
        <v>0</v>
      </c>
      <c r="F20" s="986">
        <f t="shared" si="2"/>
        <v>0</v>
      </c>
      <c r="G20" s="986">
        <f t="shared" si="2"/>
        <v>0</v>
      </c>
      <c r="H20" s="986">
        <f t="shared" si="2"/>
        <v>0</v>
      </c>
      <c r="I20" s="986">
        <f>SUM(I17:I19)</f>
        <v>0</v>
      </c>
      <c r="J20" s="986">
        <f>SUM(J17:J19)</f>
        <v>73.361344537815114</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0.21047792079529287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2022-07-26T11:58:14Z</dcterms:modified>
</cp:coreProperties>
</file>