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31FA20E-47AB-4AD5-AF86-C309516A2B2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<sst xmlns="http://schemas.openxmlformats.org/spreadsheetml/2006/main" count="2446" uniqueCount="910">
  <si>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</si>
  <si>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</si>
  <si>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</si>
  <si>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</si>
  <si>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</si>
  <si>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</si>
  <si>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</si>
  <si>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</si>
  <si>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</si>
  <si>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</si>
  <si>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</si>
  <si>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</si>
  <si>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</si>
  <si>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</si>
  <si>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</si>
  <si>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</si>
  <si>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</si>
  <si>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</si>
  <si>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</si>
  <si>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</si>
  <si>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</si>
  <si>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</si>
  <si>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</si>
  <si>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</si>
  <si>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</si>
  <si>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</si>
  <si>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</si>
  <si>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</si>
  <si>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</si>
  <si>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</si>
  <si>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</si>
  <si>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</si>
  <si>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</si>
  <si>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</si>
  <si>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</si>
  <si>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</si>
  <si>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</si>
  <si>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</si>
  <si>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</si>
  <si>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</si>
  <si>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</si>
  <si>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</si>
  <si>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</si>
  <si>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</si>
  <si>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</si>
  <si>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</si>
  <si>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</si>
  <si>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</si>
  <si>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</si>
  <si>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</si>
  <si>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</si>
  <si>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</si>
  <si>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</si>
  <si>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</si>
  <si>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</si>
  <si>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</si>
  <si>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</si>
  <si>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</si>
  <si>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</si>
  <si>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</si>
  <si>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</si>
  <si>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</si>
  <si>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</si>
  <si>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</si>
  <si>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</si>
  <si>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</si>
  <si>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</si>
  <si>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</si>
  <si>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</si>
  <si>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</si>
  <si>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</si>
  <si>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</si>
  <si>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</si>
  <si>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</si>
  <si>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</si>
  <si>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</si>
  <si>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</si>
  <si>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</si>
  <si>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</si>
  <si>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</si>
  <si>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</si>
  <si>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</si>
  <si>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</si>
  <si>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</si>
  <si>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</si>
  <si>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</si>
  <si>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</si>
  <si>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</si>
  <si>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</si>
  <si>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</si>
  <si>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</si>
  <si>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</si>
  <si>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</si>
  <si>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</si>
  <si>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</si>
  <si>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</si>
  <si>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</si>
  <si>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</si>
  <si>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</si>
  <si>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</si>
  <si>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</si>
  <si>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</si>
  <si>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</si>
  <si>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</si>
  <si>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</si>
  <si>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</si>
  <si>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</si>
  <si>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</si>
  <si>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</si>
  <si>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</si>
  <si>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</si>
  <si>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</si>
  <si>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</si>
  <si>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</si>
  <si>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</si>
  <si>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</si>
  <si>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</si>
  <si>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</si>
  <si>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</si>
  <si>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</si>
  <si>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</si>
  <si>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</si>
  <si>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</si>
  <si>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</si>
  <si>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</si>
  <si>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</si>
  <si>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</si>
  <si>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</si>
  <si>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</si>
  <si>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</si>
  <si>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</si>
  <si>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</si>
  <si>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</si>
  <si>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</si>
  <si>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</si>
  <si>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</si>
  <si>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</si>
  <si>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</si>
  <si>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</si>
  <si>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</si>
  <si>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</si>
  <si>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</si>
  <si>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</si>
  <si>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</si>
  <si>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</si>
  <si>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</si>
  <si>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</si>
  <si>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</si>
  <si>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</si>
  <si>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</si>
  <si>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</si>
  <si>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</si>
  <si>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</si>
  <si>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</si>
  <si>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</si>
  <si>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</si>
  <si>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</si>
  <si>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</si>
  <si>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</si>
  <si>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</si>
  <si>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</si>
  <si>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</si>
  <si>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</si>
  <si>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</si>
  <si>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</si>
  <si>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</si>
  <si>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</si>
  <si>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</si>
  <si>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</si>
  <si>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</si>
  <si>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</si>
  <si>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</si>
  <si>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</si>
  <si>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</si>
  <si>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</si>
  <si>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</si>
  <si>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</si>
  <si>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</si>
  <si>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</si>
  <si>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</si>
  <si>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</si>
  <si>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</si>
  <si>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</si>
  <si>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</si>
  <si>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</si>
  <si>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</si>
  <si>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</si>
  <si>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</si>
  <si>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</si>
  <si>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</si>
  <si>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</si>
  <si>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</si>
  <si>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</si>
  <si>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</si>
  <si>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</si>
  <si>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</si>
  <si>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</si>
  <si>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</si>
  <si>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</si>
  <si>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</si>
  <si>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</si>
  <si>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</si>
  <si>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</si>
  <si>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</si>
  <si>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</si>
  <si>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</si>
  <si>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</si>
  <si>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</si>
  <si>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</si>
  <si>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</si>
  <si>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</si>
  <si>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</si>
  <si>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</si>
  <si>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</si>
  <si>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</si>
  <si>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</si>
  <si>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</si>
  <si>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</si>
  <si>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</si>
  <si>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</si>
  <si>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</si>
  <si>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</si>
  <si>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</si>
  <si>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</si>
  <si>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</si>
  <si>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</si>
  <si>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</si>
  <si>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</si>
  <si>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</si>
  <si>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</si>
  <si>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</si>
  <si>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</si>
  <si>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</si>
  <si>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</si>
  <si>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</si>
  <si>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</si>
  <si>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</si>
  <si>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</si>
  <si>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</si>
  <si>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</si>
  <si>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</si>
  <si>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</si>
  <si>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</si>
  <si>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</si>
  <si>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</si>
  <si>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</si>
  <si>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</si>
  <si>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</si>
  <si>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</si>
  <si>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</si>
  <si>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</si>
  <si>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</si>
  <si>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</si>
  <si>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</si>
  <si>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</si>
  <si>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</si>
  <si>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</si>
  <si>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</si>
  <si>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</si>
  <si>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</si>
  <si>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</si>
  <si>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</si>
  <si>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</si>
  <si>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</si>
  <si>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</si>
  <si>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</si>
  <si>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</si>
  <si>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</si>
  <si>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</si>
  <si>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</si>
  <si>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</si>
  <si>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</si>
  <si>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</si>
  <si>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</si>
  <si>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</si>
  <si>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</si>
  <si>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</si>
  <si>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</si>
  <si>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</si>
  <si>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</si>
  <si>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</si>
  <si>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</si>
  <si>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</si>
  <si>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</si>
  <si>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</si>
  <si>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</si>
  <si>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</si>
  <si>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</si>
  <si>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</si>
  <si>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</si>
  <si>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</si>
  <si>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</si>
  <si>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</si>
  <si>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</si>
  <si>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</si>
  <si>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</si>
  <si>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</si>
  <si>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</si>
  <si>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</si>
  <si>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</si>
  <si>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</si>
  <si>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</si>
  <si>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</si>
  <si>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</si>
  <si>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</si>
  <si>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</si>
  <si>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</si>
  <si>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</si>
  <si>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</si>
  <si>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</si>
  <si>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</si>
  <si>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</si>
  <si>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</si>
  <si>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</si>
  <si>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</si>
  <si>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</si>
  <si>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</si>
  <si>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</si>
  <si>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</si>
  <si>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</si>
  <si>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</si>
  <si>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</si>
  <si>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</si>
  <si>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</si>
  <si>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</si>
  <si>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</si>
  <si>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</si>
  <si>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</si>
  <si>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</si>
  <si>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</si>
  <si>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</si>
  <si>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</si>
  <si>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</si>
  <si>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</si>
  <si>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</si>
  <si>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</si>
  <si>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</si>
  <si>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</si>
  <si>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</si>
  <si>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</si>
  <si>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</si>
  <si>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</si>
  <si>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</si>
  <si>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</si>
  <si>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</si>
  <si>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</si>
  <si>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</si>
  <si>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</si>
  <si>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</si>
  <si>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</si>
  <si>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</si>
  <si>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</si>
  <si>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</si>
  <si>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</si>
  <si>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</si>
  <si>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</si>
  <si>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</si>
  <si>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</si>
  <si>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</si>
  <si>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</si>
  <si>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</si>
  <si>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</si>
  <si>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</si>
  <si>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</si>
  <si>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</si>
  <si>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</si>
  <si>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</si>
  <si>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</si>
  <si>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</si>
  <si>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</si>
  <si>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</si>
  <si>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</si>
  <si>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</si>
  <si>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</si>
  <si>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</si>
  <si>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</si>
  <si>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</si>
  <si>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</si>
  <si>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</si>
  <si>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</si>
  <si>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</si>
  <si>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</si>
  <si>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</si>
  <si>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</si>
  <si>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</si>
  <si>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</si>
  <si>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</si>
  <si>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</si>
  <si>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</si>
  <si>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</si>
  <si>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</si>
  <si>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</si>
  <si>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</si>
  <si>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</si>
  <si>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</si>
  <si>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</si>
  <si>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</si>
  <si>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</si>
  <si>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</si>
  <si>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</si>
  <si>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</si>
  <si>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</si>
  <si>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</si>
  <si>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</si>
  <si>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</si>
  <si>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</si>
  <si>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</si>
  <si>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</si>
  <si>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</si>
  <si>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</si>
  <si>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</si>
  <si>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</si>
  <si>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</si>
  <si>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</si>
  <si>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</si>
  <si>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</si>
  <si>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</si>
  <si>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</si>
  <si>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</si>
  <si>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</si>
  <si>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</si>
  <si>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</si>
  <si>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</si>
  <si>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</si>
  <si>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</si>
  <si>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</si>
  <si>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</si>
  <si>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</si>
  <si>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</si>
  <si>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</si>
  <si>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</si>
  <si>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</si>
  <si>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</si>
  <si>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</si>
  <si>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</si>
  <si>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</si>
  <si>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</si>
  <si>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</si>
  <si>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</si>
  <si>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</si>
  <si>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</si>
  <si>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</si>
  <si>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</si>
  <si>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</si>
  <si>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</si>
  <si>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</si>
  <si>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</si>
  <si>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</si>
  <si>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</si>
  <si>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</si>
  <si>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</si>
  <si>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</si>
  <si>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</si>
  <si>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</si>
  <si>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</si>
  <si>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</si>
  <si>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</si>
  <si>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</si>
  <si>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</si>
  <si>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</si>
  <si>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</si>
  <si>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</si>
  <si>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</si>
  <si>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</si>
  <si>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</si>
  <si>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</si>
  <si>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</si>
  <si>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</si>
  <si>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</si>
  <si>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</si>
  <si>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</si>
  <si>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</si>
  <si>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</si>
  <si>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</si>
  <si>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</si>
  <si>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</si>
  <si>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</si>
  <si>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</si>
  <si>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</si>
  <si>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</si>
  <si>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</si>
  <si>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</si>
  <si>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</si>
  <si>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</si>
  <si>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</si>
  <si>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</si>
  <si>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</si>
  <si>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</si>
  <si>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</si>
  <si>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</si>
  <si>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</si>
  <si>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</si>
  <si>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</si>
  <si>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</si>
  <si>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</si>
  <si>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</si>
  <si>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</si>
  <si>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</si>
  <si>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</si>
  <si>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</si>
  <si>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</si>
  <si>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</si>
  <si>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</si>
  <si>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</si>
  <si>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</si>
  <si>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</si>
  <si>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</si>
  <si>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</si>
  <si>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</si>
  <si>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</si>
  <si>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</si>
  <si>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</si>
  <si>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</si>
  <si>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</si>
  <si>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</si>
  <si>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</si>
  <si>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</si>
  <si>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</si>
  <si>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</si>
  <si>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</si>
  <si>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</si>
  <si>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</si>
  <si>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</si>
  <si>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</si>
  <si>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</si>
  <si>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</si>
  <si>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</si>
  <si>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</si>
  <si>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</si>
  <si>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</si>
  <si>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</si>
  <si>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</si>
  <si>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</si>
  <si>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</si>
  <si>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</si>
  <si>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</si>
  <si>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</si>
  <si>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</si>
  <si>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</si>
  <si>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</si>
  <si>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</si>
  <si>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</si>
  <si>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</si>
  <si>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</si>
  <si>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</si>
  <si>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</si>
  <si>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</si>
  <si>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</si>
  <si>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</si>
  <si>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</si>
  <si>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</si>
  <si>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</si>
  <si>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</si>
  <si>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</si>
  <si>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</si>
  <si>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</si>
  <si>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</si>
  <si>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</si>
  <si>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</si>
  <si>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</si>
  <si>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</si>
  <si>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</si>
  <si>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</si>
  <si>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</si>
  <si>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</si>
  <si>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</si>
  <si>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</si>
  <si>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</si>
  <si>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</si>
  <si>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</si>
  <si>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</si>
  <si>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</si>
  <si>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</si>
  <si>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</si>
  <si>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</si>
  <si>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</si>
  <si>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</si>
  <si>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</si>
  <si>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</si>
  <si>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</si>
  <si>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</si>
  <si>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</si>
  <si>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</si>
  <si>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</si>
  <si>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</si>
  <si>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</si>
  <si>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</si>
  <si>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</si>
  <si>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</si>
  <si>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</si>
  <si>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</si>
  <si>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</si>
  <si>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</si>
  <si>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</si>
  <si>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</si>
  <si>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</si>
  <si>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</si>
  <si>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</si>
  <si>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</si>
  <si>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</si>
  <si>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</si>
  <si>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</si>
  <si>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</si>
  <si>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</si>
  <si>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</si>
  <si>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</si>
  <si>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</si>
  <si>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</si>
  <si>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</si>
  <si>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</si>
  <si>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</si>
  <si>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</si>
  <si>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</si>
  <si>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</si>
  <si>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</si>
  <si>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</si>
  <si>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</si>
  <si>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</si>
  <si>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</si>
  <si>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</si>
  <si>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</si>
  <si>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</si>
  <si>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</si>
  <si>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</si>
  <si>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</si>
  <si>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</si>
  <si>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</si>
  <si>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</si>
  <si>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</si>
  <si>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</si>
  <si>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</si>
  <si>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</si>
  <si>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</si>
  <si>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</si>
  <si>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</si>
  <si>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</si>
  <si>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</si>
  <si>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</si>
  <si>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</si>
  <si>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</si>
  <si>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</si>
  <si>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</si>
  <si>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</si>
  <si>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</si>
  <si>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</si>
  <si>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</si>
  <si>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</si>
  <si>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</si>
  <si>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</si>
  <si>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</si>
  <si>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</si>
  <si>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</si>
  <si>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</si>
  <si>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</si>
  <si>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</si>
  <si>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</si>
  <si>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</si>
  <si>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</si>
  <si>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</si>
  <si>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</si>
  <si>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</si>
  <si>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</si>
  <si>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</si>
  <si>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</si>
  <si>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</si>
  <si>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</si>
  <si>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</si>
  <si>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</si>
  <si>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</si>
  <si>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</si>
  <si>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</si>
  <si>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</si>
  <si>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</si>
  <si>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</si>
  <si>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</si>
  <si>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</si>
  <si>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</si>
  <si>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</si>
  <si>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</si>
  <si>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</si>
  <si>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</si>
  <si>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</si>
  <si>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</si>
  <si>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</si>
  <si>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</si>
  <si>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</si>
  <si>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</si>
  <si>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</si>
  <si>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</si>
  <si>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</si>
  <si>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</si>
  <si>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</si>
  <si>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</si>
  <si>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</si>
  <si>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</si>
  <si>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</si>
  <si>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</si>
  <si>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</si>
  <si>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</si>
  <si>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</si>
  <si>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</si>
  <si>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</si>
  <si>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</si>
  <si>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</si>
  <si>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</si>
  <si>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</si>
  <si>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</si>
  <si>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</si>
  <si>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</si>
  <si>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</si>
  <si>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</si>
  <si>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</si>
  <si>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</si>
  <si>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</si>
  <si>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</si>
  <si>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</si>
  <si>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</si>
  <si>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</si>
  <si>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</si>
  <si>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</si>
  <si>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</si>
  <si>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</si>
  <si>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</si>
  <si>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</si>
  <si>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</si>
  <si>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</si>
  <si>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</si>
  <si>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</si>
  <si>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</si>
  <si>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</si>
  <si>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</si>
  <si>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</si>
  <si>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</si>
  <si>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</si>
  <si>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</si>
  <si>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</si>
  <si>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</si>
  <si>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</si>
  <si>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</si>
  <si>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</si>
  <si>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</si>
  <si>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</si>
  <si>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</si>
  <si>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</si>
  <si>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</si>
  <si>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</si>
  <si>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</si>
  <si>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</si>
  <si>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</si>
  <si>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</si>
  <si>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</si>
  <si>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</si>
  <si>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</si>
  <si>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</si>
  <si>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</si>
  <si>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</si>
  <si>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</si>
  <si>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</si>
  <si>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</si>
  <si>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</si>
  <si>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</si>
  <si>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</si>
  <si>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</si>
  <si>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</si>
  <si>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</si>
  <si>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</si>
  <si>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</si>
  <si>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</si>
  <si>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</si>
  <si>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</si>
  <si>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</si>
  <si>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</si>
  <si>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</si>
  <si>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</si>
  <si>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</si>
  <si>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</si>
  <si>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</si>
  <si>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</si>
  <si>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</si>
  <si>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</si>
  <si>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</si>
  <si>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</si>
  <si>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</si>
  <si>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</si>
  <si>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</si>
  <si>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</si>
  <si>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</si>
  <si>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</si>
  <si>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</si>
  <si>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</si>
  <si>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</si>
  <si>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</si>
  <si>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</si>
  <si>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</si>
  <si>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</si>
  <si>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</si>
  <si>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</si>
  <si>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</si>
  <si>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</si>
  <si>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</si>
  <si>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</si>
  <si>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</si>
  <si>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</si>
  <si>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</si>
  <si>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</si>
  <si>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</si>
  <si>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</si>
  <si>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</si>
  <si>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</si>
  <si>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</si>
  <si>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</si>
  <si>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</si>
  <si>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</si>
  <si>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</si>
  <si>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</si>
  <si>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</si>
  <si>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</si>
  <si>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</si>
  <si>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</si>
  <si>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</si>
  <si>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</si>
  <si>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</si>
  <si>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</si>
  <si>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</si>
  <si>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</si>
  <si>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</si>
  <si>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</si>
  <si>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</si>
  <si>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</si>
  <si>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</si>
  <si>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</si>
  <si>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</si>
  <si>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</si>
  <si>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</si>
  <si>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</si>
  <si>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</si>
  <si>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</si>
  <si>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</si>
  <si>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</si>
  <si>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</si>
  <si>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</si>
  <si>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</si>
  <si>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</si>
  <si>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</si>
  <si>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</si>
  <si>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</si>
  <si>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</si>
  <si>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</si>
  <si>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</si>
  <si>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</si>
  <si>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</si>
  <si>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</si>
  <si>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</si>
  <si>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</si>
  <si>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</si>
  <si>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</si>
  <si>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</si>
  <si>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</si>
  <si>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</si>
  <si>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</si>
  <si>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</si>
  <si>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</si>
  <si>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</si>
  <si>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</si>
  <si>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</si>
  <si>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</si>
  <si>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</si>
  <si>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</si>
  <si>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</si>
  <si>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</si>
  <si>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</si>
  <si>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</si>
  <si>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</si>
  <si>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</si>
  <si>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</si>
  <si>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</si>
  <si>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</si>
  <si>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</si>
  <si>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</si>
  <si>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</si>
  <si>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</si>
  <si>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</si>
  <si>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</si>
  <si>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</si>
  <si>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</si>
  <si>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</si>
  <si>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</si>
  <si>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</si>
  <si>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</si>
  <si>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</si>
  <si>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</si>
  <si>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</si>
  <si>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</si>
  <si>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</si>
  <si>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</si>
  <si>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</si>
  <si>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</si>
  <si>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</si>
  <si>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</si>
  <si>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</si>
  <si>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</si>
  <si>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</si>
  <si>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13025</t>
  </si>
  <si>
    <t>MOL</t>
  </si>
  <si>
    <t>Cultuurgrond (ha)</t>
  </si>
  <si>
    <t>Paarden&amp;pony's 200 - 600 kg</t>
  </si>
  <si>
    <t>Paarden&amp;pony's &lt; 200 kg</t>
  </si>
  <si>
    <t>vloeibaar gas (MWh)</t>
  </si>
  <si>
    <t>stirlingmotor</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</si>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</sst>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552A12A-4A1E-4728-ACB5-036D26B613B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351170.52539398213</c:v>
                </c:pt>
                <c:pt idx="1">
                  <c:v>219931.42540391456</c:v>
                </c:pt>
                <c:pt idx="2">
                  <c:v>1490.394</c:v>
                </c:pt>
                <c:pt idx="3">
                  <c:v>5769.1830593523682</c:v>
                </c:pt>
                <c:pt idx="4">
                  <c:v>109265.16555067798</c:v>
                </c:pt>
                <c:pt idx="5">
                  <c:v>248904.64344234607</c:v>
                </c:pt>
                <c:pt idx="6">
                  <c:v>2952.8987951368354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351170.52539398213</c:v>
                </c:pt>
                <c:pt idx="1">
                  <c:v>219931.42540391456</c:v>
                </c:pt>
                <c:pt idx="2">
                  <c:v>1490.394</c:v>
                </c:pt>
                <c:pt idx="3">
                  <c:v>5769.1830593523682</c:v>
                </c:pt>
                <c:pt idx="4">
                  <c:v>109265.16555067798</c:v>
                </c:pt>
                <c:pt idx="5">
                  <c:v>248904.64344234607</c:v>
                </c:pt>
                <c:pt idx="6">
                  <c:v>2952.8987951368354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74079.895731875571</c:v>
                </c:pt>
                <c:pt idx="2">
                  <c:v>45012.834685868729</c:v>
                </c:pt>
                <c:pt idx="3">
                  <c:v>311.47561139288808</c:v>
                </c:pt>
                <c:pt idx="4">
                  <c:v>1473.6313743424403</c:v>
                </c:pt>
                <c:pt idx="5">
                  <c:v>23200.535103544331</c:v>
                </c:pt>
                <c:pt idx="6">
                  <c:v>62971.536930883616</c:v>
                </c:pt>
                <c:pt idx="7">
                  <c:v>753.91501467058845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74079.895731875571</c:v>
                </c:pt>
                <c:pt idx="2">
                  <c:v>45012.834685868729</c:v>
                </c:pt>
                <c:pt idx="3">
                  <c:v>311.47561139288808</c:v>
                </c:pt>
                <c:pt idx="4">
                  <c:v>1473.6313743424403</c:v>
                </c:pt>
                <c:pt idx="5">
                  <c:v>23200.535103544331</c:v>
                </c:pt>
                <c:pt idx="6">
                  <c:v>62971.536930883616</c:v>
                </c:pt>
                <c:pt idx="7">
                  <c:v>753.91501467058845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13025</v>
      </c>
      <c r="B6" s="385"/>
      <c r="C6" s="386"/>
    </row>
    <row r="7" spans="1:7" s="383" customFormat="1" ht="15.75" customHeight="1">
      <c r="A7" s="387" t="str">
        <f>txtMunicipality</f>
        <v>MOL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0.20898877168915608</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0.20898877168915608</v>
      </c>
      <c r="C29" s="499">
        <f ca="1">'EF ele_warmte'!B22</f>
        <v>0.22444444444444447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14752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3159</v>
      </c>
      <c r="C14" s="327"/>
      <c r="D14" s="327"/>
      <c r="E14" s="327"/>
      <c r="F14" s="327"/>
    </row>
    <row r="15" spans="1:6">
      <c r="A15" s="1258" t="s">
        <v>177</v>
      </c>
      <c r="B15" s="1259">
        <v>93</v>
      </c>
      <c r="C15" s="327"/>
      <c r="D15" s="327"/>
      <c r="E15" s="327"/>
      <c r="F15" s="327"/>
    </row>
    <row r="16" spans="1:6">
      <c r="A16" s="1258" t="s">
        <v>6</v>
      </c>
      <c r="B16" s="1259">
        <v>978</v>
      </c>
      <c r="C16" s="327"/>
      <c r="D16" s="327"/>
      <c r="E16" s="327"/>
      <c r="F16" s="327"/>
    </row>
    <row r="17" spans="1:6">
      <c r="A17" s="1258" t="s">
        <v>7</v>
      </c>
      <c r="B17" s="1259">
        <v>281</v>
      </c>
      <c r="C17" s="327"/>
      <c r="D17" s="327"/>
      <c r="E17" s="327"/>
      <c r="F17" s="327"/>
    </row>
    <row r="18" spans="1:6">
      <c r="A18" s="1258" t="s">
        <v>8</v>
      </c>
      <c r="B18" s="1259">
        <v>784</v>
      </c>
      <c r="C18" s="327"/>
      <c r="D18" s="327"/>
      <c r="E18" s="327"/>
      <c r="F18" s="327"/>
    </row>
    <row r="19" spans="1:6">
      <c r="A19" s="1258" t="s">
        <v>9</v>
      </c>
      <c r="B19" s="1259">
        <v>756</v>
      </c>
      <c r="C19" s="327"/>
      <c r="D19" s="327"/>
      <c r="E19" s="327"/>
      <c r="F19" s="327"/>
    </row>
    <row r="20" spans="1:6">
      <c r="A20" s="1258" t="s">
        <v>10</v>
      </c>
      <c r="B20" s="1259">
        <v>318</v>
      </c>
      <c r="C20" s="327"/>
      <c r="D20" s="327"/>
      <c r="E20" s="327"/>
      <c r="F20" s="327"/>
    </row>
    <row r="21" spans="1:6">
      <c r="A21" s="1258" t="s">
        <v>11</v>
      </c>
      <c r="B21" s="1259">
        <v>680</v>
      </c>
      <c r="C21" s="327"/>
      <c r="D21" s="327"/>
      <c r="E21" s="327"/>
      <c r="F21" s="327"/>
    </row>
    <row r="22" spans="1:6">
      <c r="A22" s="1258" t="s">
        <v>12</v>
      </c>
      <c r="B22" s="1259">
        <v>2882</v>
      </c>
      <c r="C22" s="327"/>
      <c r="D22" s="327"/>
      <c r="E22" s="327"/>
      <c r="F22" s="327"/>
    </row>
    <row r="23" spans="1:6">
      <c r="A23" s="1258" t="s">
        <v>13</v>
      </c>
      <c r="B23" s="1259">
        <v>36</v>
      </c>
      <c r="C23" s="327"/>
      <c r="D23" s="327"/>
      <c r="E23" s="327"/>
      <c r="F23" s="327"/>
    </row>
    <row r="24" spans="1:6">
      <c r="A24" s="1258" t="s">
        <v>14</v>
      </c>
      <c r="B24" s="1259">
        <v>1</v>
      </c>
      <c r="C24" s="327"/>
      <c r="D24" s="327"/>
      <c r="E24" s="327"/>
      <c r="F24" s="327"/>
    </row>
    <row r="25" spans="1:6">
      <c r="A25" s="1258" t="s">
        <v>15</v>
      </c>
      <c r="B25" s="1259">
        <v>228</v>
      </c>
      <c r="C25" s="327"/>
      <c r="D25" s="327"/>
      <c r="E25" s="327"/>
      <c r="F25" s="327"/>
    </row>
    <row r="26" spans="1:6">
      <c r="A26" s="1258" t="s">
        <v>16</v>
      </c>
      <c r="B26" s="1259">
        <v>630</v>
      </c>
      <c r="C26" s="327"/>
      <c r="D26" s="327"/>
      <c r="E26" s="327"/>
      <c r="F26" s="327"/>
    </row>
    <row r="27" spans="1:6">
      <c r="A27" s="1258" t="s">
        <v>17</v>
      </c>
      <c r="B27" s="1259">
        <v>0</v>
      </c>
      <c r="C27" s="327"/>
      <c r="D27" s="327"/>
      <c r="E27" s="327"/>
      <c r="F27" s="327"/>
    </row>
    <row r="28" spans="1:6">
      <c r="A28" s="1258" t="s">
        <v>18</v>
      </c>
      <c r="B28" s="1260">
        <v>49171</v>
      </c>
      <c r="C28" s="327"/>
      <c r="D28" s="327"/>
      <c r="E28" s="327"/>
      <c r="F28" s="327"/>
    </row>
    <row r="29" spans="1:6">
      <c r="A29" s="1258" t="s">
        <v>905</v>
      </c>
      <c r="B29" s="1260">
        <v>108</v>
      </c>
      <c r="C29" s="327"/>
      <c r="D29" s="327"/>
      <c r="E29" s="327"/>
      <c r="F29" s="327"/>
    </row>
    <row r="30" spans="1:6">
      <c r="A30" s="1253" t="s">
        <v>906</v>
      </c>
      <c r="B30" s="1261">
        <v>14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29611.954563344501</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3</v>
      </c>
      <c r="D38" s="1259">
        <v>497663.69279326597</v>
      </c>
      <c r="E38" s="1259">
        <v>3</v>
      </c>
      <c r="F38" s="1259">
        <v>7770.2106524897999</v>
      </c>
    </row>
    <row r="39" spans="1:6">
      <c r="A39" s="1258" t="s">
        <v>29</v>
      </c>
      <c r="B39" s="1258" t="s">
        <v>30</v>
      </c>
      <c r="C39" s="1259">
        <v>8584</v>
      </c>
      <c r="D39" s="1259">
        <v>155447576.07463399</v>
      </c>
      <c r="E39" s="1259">
        <v>14652</v>
      </c>
      <c r="F39" s="1259">
        <v>55934102.891603597</v>
      </c>
    </row>
    <row r="40" spans="1:6">
      <c r="A40" s="1258" t="s">
        <v>29</v>
      </c>
      <c r="B40" s="1258" t="s">
        <v>28</v>
      </c>
      <c r="C40" s="1259">
        <v>0</v>
      </c>
      <c r="D40" s="1259">
        <v>0</v>
      </c>
      <c r="E40" s="1259">
        <v>2</v>
      </c>
      <c r="F40" s="1259">
        <v>65259.484866680803</v>
      </c>
    </row>
    <row r="41" spans="1:6">
      <c r="A41" s="1258" t="s">
        <v>31</v>
      </c>
      <c r="B41" s="1258" t="s">
        <v>32</v>
      </c>
      <c r="C41" s="1259">
        <v>138</v>
      </c>
      <c r="D41" s="1259">
        <v>10850093.806063799</v>
      </c>
      <c r="E41" s="1259">
        <v>405</v>
      </c>
      <c r="F41" s="1259">
        <v>6427238.2226895802</v>
      </c>
    </row>
    <row r="42" spans="1:6">
      <c r="A42" s="1258" t="s">
        <v>31</v>
      </c>
      <c r="B42" s="1258" t="s">
        <v>33</v>
      </c>
      <c r="C42" s="1259">
        <v>0</v>
      </c>
      <c r="D42" s="1259">
        <v>0</v>
      </c>
      <c r="E42" s="1259">
        <v>3</v>
      </c>
      <c r="F42" s="1259">
        <v>10500.2753459866</v>
      </c>
    </row>
    <row r="43" spans="1:6">
      <c r="A43" s="1258" t="s">
        <v>31</v>
      </c>
      <c r="B43" s="1258" t="s">
        <v>34</v>
      </c>
      <c r="C43" s="1259">
        <v>0</v>
      </c>
      <c r="D43" s="1259">
        <v>0</v>
      </c>
      <c r="E43" s="1259">
        <v>0</v>
      </c>
      <c r="F43" s="1259">
        <v>0</v>
      </c>
    </row>
    <row r="44" spans="1:6">
      <c r="A44" s="1258" t="s">
        <v>31</v>
      </c>
      <c r="B44" s="1258" t="s">
        <v>35</v>
      </c>
      <c r="C44" s="1259">
        <v>0</v>
      </c>
      <c r="D44" s="1259">
        <v>0</v>
      </c>
      <c r="E44" s="1259">
        <v>27</v>
      </c>
      <c r="F44" s="1259">
        <v>996189.38995977095</v>
      </c>
    </row>
    <row r="45" spans="1:6">
      <c r="A45" s="1258" t="s">
        <v>31</v>
      </c>
      <c r="B45" s="1258" t="s">
        <v>36</v>
      </c>
      <c r="C45" s="1259">
        <v>0</v>
      </c>
      <c r="D45" s="1259">
        <v>0</v>
      </c>
      <c r="E45" s="1259">
        <v>3</v>
      </c>
      <c r="F45" s="1259">
        <v>933379.44602251996</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33</v>
      </c>
      <c r="D48" s="1259">
        <v>10406232.2574034</v>
      </c>
      <c r="E48" s="1259">
        <v>45</v>
      </c>
      <c r="F48" s="1259">
        <v>53096176.745841697</v>
      </c>
    </row>
    <row r="49" spans="1:6">
      <c r="A49" s="1258" t="s">
        <v>31</v>
      </c>
      <c r="B49" s="1258" t="s">
        <v>39</v>
      </c>
      <c r="C49" s="1259">
        <v>0</v>
      </c>
      <c r="D49" s="1259">
        <v>0</v>
      </c>
      <c r="E49" s="1259">
        <v>0</v>
      </c>
      <c r="F49" s="1259">
        <v>0</v>
      </c>
    </row>
    <row r="50" spans="1:6">
      <c r="A50" s="1258" t="s">
        <v>31</v>
      </c>
      <c r="B50" s="1258" t="s">
        <v>40</v>
      </c>
      <c r="C50" s="1259">
        <v>6</v>
      </c>
      <c r="D50" s="1259">
        <v>744705.42519904801</v>
      </c>
      <c r="E50" s="1259">
        <v>22</v>
      </c>
      <c r="F50" s="1259">
        <v>932214.40278607805</v>
      </c>
    </row>
    <row r="51" spans="1:6">
      <c r="A51" s="1258" t="s">
        <v>41</v>
      </c>
      <c r="B51" s="1258" t="s">
        <v>42</v>
      </c>
      <c r="C51" s="1259">
        <v>3</v>
      </c>
      <c r="D51" s="1259">
        <v>48356.317675979997</v>
      </c>
      <c r="E51" s="1259">
        <v>36</v>
      </c>
      <c r="F51" s="1259">
        <v>826990.06257407903</v>
      </c>
    </row>
    <row r="52" spans="1:6">
      <c r="A52" s="1258" t="s">
        <v>41</v>
      </c>
      <c r="B52" s="1258" t="s">
        <v>28</v>
      </c>
      <c r="C52" s="1259">
        <v>4</v>
      </c>
      <c r="D52" s="1259">
        <v>99705.711163961998</v>
      </c>
      <c r="E52" s="1259">
        <v>10</v>
      </c>
      <c r="F52" s="1259">
        <v>381522.746824815</v>
      </c>
    </row>
    <row r="53" spans="1:6">
      <c r="A53" s="1258" t="s">
        <v>43</v>
      </c>
      <c r="B53" s="1258" t="s">
        <v>44</v>
      </c>
      <c r="C53" s="1259">
        <v>225</v>
      </c>
      <c r="D53" s="1259">
        <v>8173595.1268104604</v>
      </c>
      <c r="E53" s="1259">
        <v>495</v>
      </c>
      <c r="F53" s="1259">
        <v>2098086.7078331402</v>
      </c>
    </row>
    <row r="54" spans="1:6">
      <c r="A54" s="1258" t="s">
        <v>45</v>
      </c>
      <c r="B54" s="1258" t="s">
        <v>46</v>
      </c>
      <c r="C54" s="1259">
        <v>0</v>
      </c>
      <c r="D54" s="1259">
        <v>0</v>
      </c>
      <c r="E54" s="1259">
        <v>1</v>
      </c>
      <c r="F54" s="1259">
        <v>1490394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67</v>
      </c>
      <c r="D57" s="1259">
        <v>2116853.63702538</v>
      </c>
      <c r="E57" s="1259">
        <v>166</v>
      </c>
      <c r="F57" s="1259">
        <v>7672640.4759898698</v>
      </c>
    </row>
    <row r="58" spans="1:6">
      <c r="A58" s="1258" t="s">
        <v>48</v>
      </c>
      <c r="B58" s="1258" t="s">
        <v>50</v>
      </c>
      <c r="C58" s="1259">
        <v>70</v>
      </c>
      <c r="D58" s="1259">
        <v>8246574.4955623997</v>
      </c>
      <c r="E58" s="1259">
        <v>94</v>
      </c>
      <c r="F58" s="1259">
        <v>1958686.6476889299</v>
      </c>
    </row>
    <row r="59" spans="1:6">
      <c r="A59" s="1258" t="s">
        <v>48</v>
      </c>
      <c r="B59" s="1258" t="s">
        <v>51</v>
      </c>
      <c r="C59" s="1259">
        <v>237</v>
      </c>
      <c r="D59" s="1259">
        <v>11896198.020044601</v>
      </c>
      <c r="E59" s="1259">
        <v>489</v>
      </c>
      <c r="F59" s="1259">
        <v>14457408.9286686</v>
      </c>
    </row>
    <row r="60" spans="1:6">
      <c r="A60" s="1258" t="s">
        <v>48</v>
      </c>
      <c r="B60" s="1258" t="s">
        <v>52</v>
      </c>
      <c r="C60" s="1259">
        <v>145</v>
      </c>
      <c r="D60" s="1259">
        <v>76868161.005093902</v>
      </c>
      <c r="E60" s="1259">
        <v>216</v>
      </c>
      <c r="F60" s="1259">
        <v>39730817.267363399</v>
      </c>
    </row>
    <row r="61" spans="1:6">
      <c r="A61" s="1258" t="s">
        <v>48</v>
      </c>
      <c r="B61" s="1258" t="s">
        <v>53</v>
      </c>
      <c r="C61" s="1259">
        <v>190</v>
      </c>
      <c r="D61" s="1259">
        <v>15142284.813351599</v>
      </c>
      <c r="E61" s="1259">
        <v>462</v>
      </c>
      <c r="F61" s="1259">
        <v>10135175.450896</v>
      </c>
    </row>
    <row r="62" spans="1:6">
      <c r="A62" s="1258" t="s">
        <v>48</v>
      </c>
      <c r="B62" s="1258" t="s">
        <v>54</v>
      </c>
      <c r="C62" s="1259">
        <v>27</v>
      </c>
      <c r="D62" s="1259">
        <v>7280958.4310532296</v>
      </c>
      <c r="E62" s="1259">
        <v>37</v>
      </c>
      <c r="F62" s="1259">
        <v>3281760.4371993002</v>
      </c>
    </row>
    <row r="63" spans="1:6">
      <c r="A63" s="1258" t="s">
        <v>48</v>
      </c>
      <c r="B63" s="1258" t="s">
        <v>28</v>
      </c>
      <c r="C63" s="1259">
        <v>100</v>
      </c>
      <c r="D63" s="1259">
        <v>4798061.0451974301</v>
      </c>
      <c r="E63" s="1259">
        <v>98</v>
      </c>
      <c r="F63" s="1259">
        <v>6841591.0623771204</v>
      </c>
    </row>
    <row r="64" spans="1:6">
      <c r="A64" s="1258" t="s">
        <v>55</v>
      </c>
      <c r="B64" s="1258" t="s">
        <v>56</v>
      </c>
      <c r="C64" s="1259">
        <v>0</v>
      </c>
      <c r="D64" s="1259">
        <v>0</v>
      </c>
      <c r="E64" s="1259">
        <v>0</v>
      </c>
      <c r="F64" s="1259">
        <v>0</v>
      </c>
    </row>
    <row r="65" spans="1:6">
      <c r="A65" s="1258" t="s">
        <v>55</v>
      </c>
      <c r="B65" s="1258" t="s">
        <v>28</v>
      </c>
      <c r="C65" s="1259">
        <v>3</v>
      </c>
      <c r="D65" s="1259">
        <v>78198.901038388794</v>
      </c>
      <c r="E65" s="1259">
        <v>2</v>
      </c>
      <c r="F65" s="1259">
        <v>7052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194388.10958068399</v>
      </c>
      <c r="E68" s="1261">
        <v>16</v>
      </c>
      <c r="F68" s="1261">
        <v>702608.12222556595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157757382</v>
      </c>
      <c r="E73" s="446"/>
      <c r="F73" s="327"/>
    </row>
    <row r="74" spans="1:6">
      <c r="A74" s="1258" t="s">
        <v>63</v>
      </c>
      <c r="B74" s="1258" t="s">
        <v>681</v>
      </c>
      <c r="C74" s="1271" t="s">
        <v>682</v>
      </c>
      <c r="D74" s="1259">
        <v>11329889.527031768</v>
      </c>
      <c r="E74" s="446"/>
      <c r="F74" s="327"/>
    </row>
    <row r="75" spans="1:6">
      <c r="A75" s="1258" t="s">
        <v>64</v>
      </c>
      <c r="B75" s="1258" t="s">
        <v>679</v>
      </c>
      <c r="C75" s="1271" t="s">
        <v>683</v>
      </c>
      <c r="D75" s="1259">
        <v>47457116</v>
      </c>
      <c r="E75" s="446"/>
      <c r="F75" s="327"/>
    </row>
    <row r="76" spans="1:6">
      <c r="A76" s="1258" t="s">
        <v>64</v>
      </c>
      <c r="B76" s="1258" t="s">
        <v>681</v>
      </c>
      <c r="C76" s="1271" t="s">
        <v>684</v>
      </c>
      <c r="D76" s="1259">
        <v>1937683.5270317688</v>
      </c>
      <c r="E76" s="446"/>
      <c r="F76" s="327"/>
    </row>
    <row r="77" spans="1:6">
      <c r="A77" s="1258" t="s">
        <v>65</v>
      </c>
      <c r="B77" s="1258" t="s">
        <v>679</v>
      </c>
      <c r="C77" s="1271" t="s">
        <v>685</v>
      </c>
      <c r="D77" s="1259">
        <v>40211841</v>
      </c>
      <c r="E77" s="446"/>
      <c r="F77" s="327"/>
    </row>
    <row r="78" spans="1:6">
      <c r="A78" s="1253" t="s">
        <v>65</v>
      </c>
      <c r="B78" s="1253" t="s">
        <v>681</v>
      </c>
      <c r="C78" s="1253" t="s">
        <v>686</v>
      </c>
      <c r="D78" s="1261">
        <v>16766265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781544.94593646238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8795.5309517448532</v>
      </c>
      <c r="C91" s="327"/>
      <c r="D91" s="327"/>
      <c r="E91" s="327"/>
      <c r="F91" s="327"/>
    </row>
    <row r="92" spans="1:6">
      <c r="A92" s="1253" t="s">
        <v>68</v>
      </c>
      <c r="B92" s="1254">
        <v>2949.3933756021397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4099</v>
      </c>
      <c r="C97" s="327"/>
      <c r="D97" s="327"/>
      <c r="E97" s="327"/>
      <c r="F97" s="327"/>
    </row>
    <row r="98" spans="1:6">
      <c r="A98" s="1258" t="s">
        <v>71</v>
      </c>
      <c r="B98" s="1259">
        <v>23</v>
      </c>
      <c r="C98" s="327"/>
      <c r="D98" s="327"/>
      <c r="E98" s="327"/>
      <c r="F98" s="327"/>
    </row>
    <row r="99" spans="1:6">
      <c r="A99" s="1258" t="s">
        <v>72</v>
      </c>
      <c r="B99" s="1259">
        <v>75</v>
      </c>
      <c r="C99" s="327"/>
      <c r="D99" s="327"/>
      <c r="E99" s="327"/>
      <c r="F99" s="327"/>
    </row>
    <row r="100" spans="1:6">
      <c r="A100" s="1258" t="s">
        <v>73</v>
      </c>
      <c r="B100" s="1259">
        <v>669</v>
      </c>
      <c r="C100" s="327"/>
      <c r="D100" s="327"/>
      <c r="E100" s="327"/>
      <c r="F100" s="327"/>
    </row>
    <row r="101" spans="1:6">
      <c r="A101" s="1258" t="s">
        <v>74</v>
      </c>
      <c r="B101" s="1259">
        <v>148</v>
      </c>
      <c r="C101" s="327"/>
      <c r="D101" s="327"/>
      <c r="E101" s="327"/>
      <c r="F101" s="327"/>
    </row>
    <row r="102" spans="1:6">
      <c r="A102" s="1258" t="s">
        <v>75</v>
      </c>
      <c r="B102" s="1259">
        <v>146</v>
      </c>
      <c r="C102" s="327"/>
      <c r="D102" s="327"/>
      <c r="E102" s="327"/>
      <c r="F102" s="327"/>
    </row>
    <row r="103" spans="1:6">
      <c r="A103" s="1258" t="s">
        <v>76</v>
      </c>
      <c r="B103" s="1259">
        <v>214</v>
      </c>
      <c r="C103" s="327"/>
      <c r="D103" s="327"/>
      <c r="E103" s="327"/>
      <c r="F103" s="327"/>
    </row>
    <row r="104" spans="1:6">
      <c r="A104" s="1258" t="s">
        <v>77</v>
      </c>
      <c r="B104" s="1259">
        <v>6977</v>
      </c>
      <c r="C104" s="327"/>
      <c r="D104" s="327"/>
      <c r="E104" s="327"/>
      <c r="F104" s="327"/>
    </row>
    <row r="105" spans="1:6">
      <c r="A105" s="1253" t="s">
        <v>78</v>
      </c>
      <c r="B105" s="1261">
        <v>15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2</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2</v>
      </c>
      <c r="C121" s="1259">
        <v>0</v>
      </c>
      <c r="D121" s="327"/>
      <c r="E121" s="327"/>
      <c r="F121" s="327"/>
    </row>
    <row r="122" spans="1:6">
      <c r="A122" s="1258" t="s">
        <v>86</v>
      </c>
      <c r="B122" s="1259">
        <v>0</v>
      </c>
      <c r="C122" s="1259">
        <v>0</v>
      </c>
      <c r="D122" s="327"/>
      <c r="E122" s="327"/>
      <c r="F122" s="327"/>
    </row>
    <row r="123" spans="1:6">
      <c r="A123" s="1258" t="s">
        <v>87</v>
      </c>
      <c r="B123" s="1259">
        <v>44</v>
      </c>
      <c r="C123" s="1259">
        <v>28</v>
      </c>
      <c r="D123" s="327"/>
      <c r="E123" s="327"/>
      <c r="F123" s="327"/>
    </row>
    <row r="124" spans="1:6">
      <c r="A124" s="1258" t="s">
        <v>88</v>
      </c>
      <c r="B124" s="1259">
        <v>1</v>
      </c>
      <c r="C124" s="1259">
        <v>4</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357</v>
      </c>
      <c r="C129" s="327"/>
      <c r="D129" s="327"/>
      <c r="E129" s="327"/>
      <c r="F129" s="327"/>
    </row>
    <row r="130" spans="1:6">
      <c r="A130" s="1258" t="s">
        <v>284</v>
      </c>
      <c r="B130" s="1259">
        <v>4</v>
      </c>
      <c r="C130" s="327"/>
      <c r="D130" s="327"/>
      <c r="E130" s="327"/>
      <c r="F130" s="327"/>
    </row>
    <row r="131" spans="1:6">
      <c r="A131" s="1258" t="s">
        <v>285</v>
      </c>
      <c r="B131" s="1259">
        <v>0</v>
      </c>
      <c r="C131" s="327"/>
      <c r="D131" s="327"/>
      <c r="E131" s="327"/>
      <c r="F131" s="327"/>
    </row>
    <row r="132" spans="1:6">
      <c r="A132" s="1253" t="s">
        <v>286</v>
      </c>
      <c r="B132" s="1254">
        <v>40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216098.86259512039</v>
      </c>
      <c r="C3" s="43" t="s">
        <v>163</v>
      </c>
      <c r="D3" s="43"/>
      <c r="E3" s="156"/>
      <c r="F3" s="43"/>
      <c r="G3" s="43"/>
      <c r="H3" s="43"/>
      <c r="I3" s="43"/>
      <c r="J3" s="43"/>
      <c r="K3" s="96"/>
    </row>
    <row r="4" spans="1:11">
      <c r="A4" s="353" t="s">
        <v>164</v>
      </c>
      <c r="B4" s="49">
        <f>IF(ISERROR('SEAP template'!B78+'SEAP template'!C78),0,'SEAP template'!B78+'SEAP template'!C78)</f>
        <v>11749.424327346993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1.01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0.20898877168915608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5.0500000000000007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22.5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0.22444444444444447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1490.394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1490.394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0.20898877168915608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311.47561139288808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55999.362376470279</v>
      </c>
      <c r="C5" s="17">
        <f>IF(ISERROR('Eigen informatie GS &amp; warmtenet'!B57),0,'Eigen informatie GS &amp; warmtenet'!B57)</f>
        <v>0</v>
      </c>
      <c r="D5" s="30">
        <f>(SUM(HH_hh_gas_kWh,HH_rest_gas_kWh)/1000)*0.902</f>
        <v>140213.71361931987</v>
      </c>
      <c r="E5" s="17">
        <f>B32*B41</f>
        <v>3739.536285452582</v>
      </c>
      <c r="F5" s="17">
        <f>B36*B45</f>
        <v>114599.85735812604</v>
      </c>
      <c r="G5" s="18"/>
      <c r="H5" s="17"/>
      <c r="I5" s="17"/>
      <c r="J5" s="17">
        <f>B35*B44+C35*C44</f>
        <v>2170.2931100621718</v>
      </c>
      <c r="K5" s="17"/>
      <c r="L5" s="17"/>
      <c r="M5" s="17"/>
      <c r="N5" s="17">
        <f>B34*B43+C34*C43</f>
        <v>23423.428359472968</v>
      </c>
      <c r="O5" s="17">
        <f>B52*B53*B54</f>
        <v>608.13666666666677</v>
      </c>
      <c r="P5" s="17">
        <f>B60*B61*B62/1000-B60*B61*B62/1000/B63</f>
        <v>1620.6666666666665</v>
      </c>
    </row>
    <row r="6" spans="1:16">
      <c r="A6" s="16" t="s">
        <v>592</v>
      </c>
      <c r="B6" s="733">
        <f>kWh_PV_kleiner_dan_10kW</f>
        <v>8795.5309517448532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64794.893328215134</v>
      </c>
      <c r="C8" s="21">
        <f>C5</f>
        <v>0</v>
      </c>
      <c r="D8" s="21">
        <f>D5</f>
        <v>140213.71361931987</v>
      </c>
      <c r="E8" s="21">
        <f>E5</f>
        <v>3739.536285452582</v>
      </c>
      <c r="F8" s="21">
        <f>F5</f>
        <v>114599.85735812604</v>
      </c>
      <c r="G8" s="21"/>
      <c r="H8" s="21"/>
      <c r="I8" s="21"/>
      <c r="J8" s="21">
        <f>J5</f>
        <v>2170.2931100621718</v>
      </c>
      <c r="K8" s="21"/>
      <c r="L8" s="21">
        <f>L5</f>
        <v>0</v>
      </c>
      <c r="M8" s="21">
        <f>M5</f>
        <v>0</v>
      </c>
      <c r="N8" s="21">
        <f>N5</f>
        <v>23423.428359472968</v>
      </c>
      <c r="O8" s="21">
        <f>O5</f>
        <v>608.13666666666677</v>
      </c>
      <c r="P8" s="21">
        <f>P5</f>
        <v>1620.6666666666665</v>
      </c>
    </row>
    <row r="9" spans="1:16">
      <c r="B9" s="19"/>
      <c r="C9" s="19"/>
      <c r="D9" s="257"/>
      <c r="E9" s="19"/>
      <c r="F9" s="19"/>
      <c r="G9" s="19"/>
      <c r="H9" s="19"/>
      <c r="I9" s="19"/>
      <c r="J9" s="19"/>
      <c r="K9" s="19"/>
      <c r="L9" s="19"/>
      <c r="M9" s="19"/>
      <c r="N9" s="19"/>
      <c r="O9" s="19"/>
      <c r="P9" s="19"/>
    </row>
    <row r="10" spans="1:16">
      <c r="A10" s="24" t="s">
        <v>207</v>
      </c>
      <c r="B10" s="25">
        <f ca="1">'EF ele_warmte'!B12</f>
        <v>0.20898877168915608</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13541.405168393576</v>
      </c>
      <c r="C12" s="23">
        <f ca="1">C10*C8</f>
        <v>0</v>
      </c>
      <c r="D12" s="23">
        <f>D8*D10</f>
        <v>28323.170151102615</v>
      </c>
      <c r="E12" s="23">
        <f>E10*E8</f>
        <v>848.87473679773609</v>
      </c>
      <c r="F12" s="23">
        <f>F10*F8</f>
        <v>30598.161914619654</v>
      </c>
      <c r="G12" s="23"/>
      <c r="H12" s="23"/>
      <c r="I12" s="23"/>
      <c r="J12" s="23">
        <f>J10*J8</f>
        <v>768.28376096200873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14752</v>
      </c>
      <c r="C26" s="36"/>
      <c r="D26" s="227"/>
    </row>
    <row r="27" spans="1:5" s="15" customFormat="1">
      <c r="A27" s="229" t="s">
        <v>697</v>
      </c>
      <c r="B27" s="37">
        <f>SUM(HH_hh_gas_aantal,HH_rest_gas_aantal)</f>
        <v>8584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8154.8</v>
      </c>
      <c r="C31" s="34" t="s">
        <v>104</v>
      </c>
      <c r="D31" s="173"/>
    </row>
    <row r="32" spans="1:5">
      <c r="A32" s="170" t="s">
        <v>72</v>
      </c>
      <c r="B32" s="33">
        <f>IF((B21*($B$26-($B$27-0.05*$B$27)-$B$60))&lt;0,0,B21*($B$26-($B$27-0.05*$B$27)-$B$60))</f>
        <v>163.07566042503615</v>
      </c>
      <c r="C32" s="34" t="s">
        <v>104</v>
      </c>
      <c r="D32" s="173"/>
    </row>
    <row r="33" spans="1:6">
      <c r="A33" s="170" t="s">
        <v>73</v>
      </c>
      <c r="B33" s="33">
        <f>IF((B22*($B$26-($B$27-0.05*$B$27)-$B$60))&lt;0,0,B22*($B$26-($B$27-0.05*$B$27)-$B$60))</f>
        <v>1097.6904562375353</v>
      </c>
      <c r="C33" s="34" t="s">
        <v>104</v>
      </c>
      <c r="D33" s="173"/>
    </row>
    <row r="34" spans="1:6">
      <c r="A34" s="170" t="s">
        <v>74</v>
      </c>
      <c r="B34" s="33">
        <f>IF((B24*($B$26-($B$27-0.05*$B$27)-$B$60))&lt;0,0,B24*($B$26-($B$27-0.05*$B$27)-$B$60))</f>
        <v>278.49894741232549</v>
      </c>
      <c r="C34" s="33">
        <f>B26*C24</f>
        <v>3017.6701176597458</v>
      </c>
      <c r="D34" s="232"/>
    </row>
    <row r="35" spans="1:6">
      <c r="A35" s="170" t="s">
        <v>76</v>
      </c>
      <c r="B35" s="33">
        <f>IF((B19*($B$26-($B$27-0.05*$B$27)-$B$60))&lt;0,0,B19*($B$26-($B$27-0.05*$B$27)-$B$60))</f>
        <v>103.49935690967573</v>
      </c>
      <c r="C35" s="33">
        <f>B35/2</f>
        <v>51.749678454837863</v>
      </c>
      <c r="D35" s="232"/>
    </row>
    <row r="36" spans="1:6">
      <c r="A36" s="170" t="s">
        <v>77</v>
      </c>
      <c r="B36" s="33">
        <f>IF((B18*($B$26-($B$27-0.05*$B$27)-$B$60))&lt;0,0,B18*($B$26-($B$27-0.05*$B$27)-$B$60))</f>
        <v>4869.4355790154277</v>
      </c>
      <c r="C36" s="34" t="s">
        <v>104</v>
      </c>
      <c r="D36" s="173"/>
    </row>
    <row r="37" spans="1:6">
      <c r="A37" s="170" t="s">
        <v>78</v>
      </c>
      <c r="B37" s="33">
        <f>B60</f>
        <v>85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389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85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84078.080270183214</v>
      </c>
      <c r="C5" s="17">
        <f>IF(ISERROR('Eigen informatie GS &amp; warmtenet'!B58),0,'Eigen informatie GS &amp; warmtenet'!B58)</f>
        <v>0</v>
      </c>
      <c r="D5" s="30">
        <f>SUM(D6:D12)</f>
        <v>113966.88048549034</v>
      </c>
      <c r="E5" s="17">
        <f>SUM(E6:E12)</f>
        <v>720.11292155855745</v>
      </c>
      <c r="F5" s="17">
        <f>SUM(F6:F12)</f>
        <v>15807.293359606614</v>
      </c>
      <c r="G5" s="18"/>
      <c r="H5" s="17"/>
      <c r="I5" s="17"/>
      <c r="J5" s="17">
        <f>SUM(J6:J12)</f>
        <v>102.08233317247955</v>
      </c>
      <c r="K5" s="17"/>
      <c r="L5" s="17"/>
      <c r="M5" s="17"/>
      <c r="N5" s="17">
        <f>SUM(N6:N12)</f>
        <v>5212.5893672367029</v>
      </c>
      <c r="O5" s="17">
        <f>B38*B39*B40</f>
        <v>6.2533333333333339</v>
      </c>
      <c r="P5" s="17">
        <f>B46*B47*B48/1000-B46*B47*B48/1000/B49</f>
        <v>38.133333333333333</v>
      </c>
      <c r="R5" s="32"/>
    </row>
    <row r="6" spans="1:18">
      <c r="A6" s="32" t="s">
        <v>53</v>
      </c>
      <c r="B6" s="37">
        <f>B26</f>
        <v>10135.175450896</v>
      </c>
      <c r="C6" s="33"/>
      <c r="D6" s="37">
        <f>IF(ISERROR(TER_kantoor_gas_kWh/1000),0,TER_kantoor_gas_kWh/1000)*0.902</f>
        <v>13658.340901643143</v>
      </c>
      <c r="E6" s="33">
        <f>$C$26*'E Balans VL '!I12/100/3.6*1000000</f>
        <v>85.549720613030559</v>
      </c>
      <c r="F6" s="33">
        <f>$C$26*('E Balans VL '!L12+'E Balans VL '!N12)/100/3.6*1000000</f>
        <v>1359.0148104341392</v>
      </c>
      <c r="G6" s="34"/>
      <c r="H6" s="33"/>
      <c r="I6" s="33"/>
      <c r="J6" s="33">
        <f>$C$26*('E Balans VL '!D12+'E Balans VL '!E12)/100/3.6*1000000</f>
        <v>0</v>
      </c>
      <c r="K6" s="33"/>
      <c r="L6" s="33"/>
      <c r="M6" s="33"/>
      <c r="N6" s="33">
        <f>$C$26*'E Balans VL '!Y12/100/3.6*1000000</f>
        <v>89.135733480090238</v>
      </c>
      <c r="O6" s="33"/>
      <c r="P6" s="33"/>
      <c r="R6" s="32"/>
    </row>
    <row r="7" spans="1:18">
      <c r="A7" s="32" t="s">
        <v>52</v>
      </c>
      <c r="B7" s="37">
        <f t="shared" ref="B7:B12" si="0">B27</f>
        <v>39730.817267363396</v>
      </c>
      <c r="C7" s="33"/>
      <c r="D7" s="37">
        <f>IF(ISERROR(TER_horeca_gas_kWh/1000),0,TER_horeca_gas_kWh/1000)*0.902</f>
        <v>69335.081226594702</v>
      </c>
      <c r="E7" s="33">
        <f>$C$27*'E Balans VL '!I9/100/3.6*1000000</f>
        <v>522.38092742714389</v>
      </c>
      <c r="F7" s="33">
        <f>$C$27*('E Balans VL '!L9+'E Balans VL '!N9)/100/3.6*1000000</f>
        <v>9977.8920713751813</v>
      </c>
      <c r="G7" s="34"/>
      <c r="H7" s="33"/>
      <c r="I7" s="33"/>
      <c r="J7" s="33">
        <f>$C$27*('E Balans VL '!D9+'E Balans VL '!E9)/100/3.6*1000000</f>
        <v>0</v>
      </c>
      <c r="K7" s="33"/>
      <c r="L7" s="33"/>
      <c r="M7" s="33"/>
      <c r="N7" s="33">
        <f>$C$27*'E Balans VL '!Y9/100/3.6*1000000</f>
        <v>10.816227310160921</v>
      </c>
      <c r="O7" s="33"/>
      <c r="P7" s="33"/>
      <c r="R7" s="32"/>
    </row>
    <row r="8" spans="1:18">
      <c r="A8" s="6" t="s">
        <v>51</v>
      </c>
      <c r="B8" s="37">
        <f t="shared" si="0"/>
        <v>14457.408928668599</v>
      </c>
      <c r="C8" s="33"/>
      <c r="D8" s="37">
        <f>IF(ISERROR(TER_handel_gas_kWh/1000),0,TER_handel_gas_kWh/1000)*0.902</f>
        <v>10730.370614080231</v>
      </c>
      <c r="E8" s="33">
        <f>$C$28*'E Balans VL '!I13/100/3.6*1000000</f>
        <v>63.314312131847792</v>
      </c>
      <c r="F8" s="33">
        <f>$C$28*('E Balans VL '!L13+'E Balans VL '!N13)/100/3.6*1000000</f>
        <v>971.74927248120571</v>
      </c>
      <c r="G8" s="34"/>
      <c r="H8" s="33"/>
      <c r="I8" s="33"/>
      <c r="J8" s="33">
        <f>$C$28*('E Balans VL '!D13+'E Balans VL '!E13)/100/3.6*1000000</f>
        <v>0</v>
      </c>
      <c r="K8" s="33"/>
      <c r="L8" s="33"/>
      <c r="M8" s="33"/>
      <c r="N8" s="33">
        <f>$C$28*'E Balans VL '!Y13/100/3.6*1000000</f>
        <v>42.710876638783638</v>
      </c>
      <c r="O8" s="33"/>
      <c r="P8" s="33"/>
      <c r="R8" s="32"/>
    </row>
    <row r="9" spans="1:18">
      <c r="A9" s="32" t="s">
        <v>50</v>
      </c>
      <c r="B9" s="37">
        <f t="shared" si="0"/>
        <v>1958.68664768893</v>
      </c>
      <c r="C9" s="33"/>
      <c r="D9" s="37">
        <f>IF(ISERROR(TER_gezond_gas_kWh/1000),0,TER_gezond_gas_kWh/1000)*0.902</f>
        <v>7438.4101949972846</v>
      </c>
      <c r="E9" s="33">
        <f>$C$29*'E Balans VL '!I10/100/3.6*1000000</f>
        <v>0.67360098580989836</v>
      </c>
      <c r="F9" s="33">
        <f>$C$29*('E Balans VL '!L10+'E Balans VL '!N10)/100/3.6*1000000</f>
        <v>171.19692788949945</v>
      </c>
      <c r="G9" s="34"/>
      <c r="H9" s="33"/>
      <c r="I9" s="33"/>
      <c r="J9" s="33">
        <f>$C$29*('E Balans VL '!D10+'E Balans VL '!E10)/100/3.6*1000000</f>
        <v>81.248001889627332</v>
      </c>
      <c r="K9" s="33"/>
      <c r="L9" s="33"/>
      <c r="M9" s="33"/>
      <c r="N9" s="33">
        <f>$C$29*'E Balans VL '!Y10/100/3.6*1000000</f>
        <v>20.536105692939412</v>
      </c>
      <c r="O9" s="33"/>
      <c r="P9" s="33"/>
      <c r="R9" s="32"/>
    </row>
    <row r="10" spans="1:18">
      <c r="A10" s="32" t="s">
        <v>49</v>
      </c>
      <c r="B10" s="37">
        <f t="shared" si="0"/>
        <v>7672.6404759898696</v>
      </c>
      <c r="C10" s="33"/>
      <c r="D10" s="37">
        <f>IF(ISERROR(TER_ander_gas_kWh/1000),0,TER_ander_gas_kWh/1000)*0.902</f>
        <v>1909.4019805968928</v>
      </c>
      <c r="E10" s="33">
        <f>$C$30*'E Balans VL '!I14/100/3.6*1000000</f>
        <v>4.5631992493849971</v>
      </c>
      <c r="F10" s="33">
        <f>$C$30*('E Balans VL '!L14+'E Balans VL '!N14)/100/3.6*1000000</f>
        <v>1358.4650804377713</v>
      </c>
      <c r="G10" s="34"/>
      <c r="H10" s="33"/>
      <c r="I10" s="33"/>
      <c r="J10" s="33">
        <f>$C$30*('E Balans VL '!D14+'E Balans VL '!E14)/100/3.6*1000000</f>
        <v>0</v>
      </c>
      <c r="K10" s="33"/>
      <c r="L10" s="33"/>
      <c r="M10" s="33"/>
      <c r="N10" s="33">
        <f>$C$30*'E Balans VL '!Y14/100/3.6*1000000</f>
        <v>4555.7523493952995</v>
      </c>
      <c r="O10" s="33"/>
      <c r="P10" s="33"/>
      <c r="R10" s="32"/>
    </row>
    <row r="11" spans="1:18">
      <c r="A11" s="32" t="s">
        <v>54</v>
      </c>
      <c r="B11" s="37">
        <f t="shared" si="0"/>
        <v>3281.7604371993002</v>
      </c>
      <c r="C11" s="33"/>
      <c r="D11" s="37">
        <f>IF(ISERROR(TER_onderwijs_gas_kWh/1000),0,TER_onderwijs_gas_kWh/1000)*0.902</f>
        <v>6567.4245048100138</v>
      </c>
      <c r="E11" s="33">
        <f>$C$31*'E Balans VL '!I11/100/3.6*1000000</f>
        <v>2.1828663124322145</v>
      </c>
      <c r="F11" s="33">
        <f>$C$31*('E Balans VL '!L11+'E Balans VL '!N11)/100/3.6*1000000</f>
        <v>1051.4120995891212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6841.5910623771206</v>
      </c>
      <c r="C12" s="33"/>
      <c r="D12" s="37">
        <f>IF(ISERROR(TER_rest_gas_kWh/1000),0,TER_rest_gas_kWh/1000)*0.902</f>
        <v>4327.8510627680816</v>
      </c>
      <c r="E12" s="33">
        <f>$C$32*'E Balans VL '!I8/100/3.6*1000000</f>
        <v>41.44829483890809</v>
      </c>
      <c r="F12" s="33">
        <f>$C$32*('E Balans VL '!L8+'E Balans VL '!N8)/100/3.6*1000000</f>
        <v>917.56309739969731</v>
      </c>
      <c r="G12" s="34"/>
      <c r="H12" s="33"/>
      <c r="I12" s="33"/>
      <c r="J12" s="33">
        <f>$C$32*('E Balans VL '!D8+'E Balans VL '!E8)/100/3.6*1000000</f>
        <v>20.834331282852219</v>
      </c>
      <c r="K12" s="33"/>
      <c r="L12" s="33"/>
      <c r="M12" s="33"/>
      <c r="N12" s="33">
        <f>$C$32*'E Balans VL '!Y8/100/3.6*1000000</f>
        <v>493.63807471942914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84078.080270183214</v>
      </c>
      <c r="C16" s="21">
        <f t="shared" ca="1" si="1"/>
        <v>0</v>
      </c>
      <c r="D16" s="21">
        <f t="shared" ca="1" si="1"/>
        <v>113966.88048549034</v>
      </c>
      <c r="E16" s="21">
        <f t="shared" si="1"/>
        <v>720.11292155855745</v>
      </c>
      <c r="F16" s="21">
        <f t="shared" ca="1" si="1"/>
        <v>15807.293359606614</v>
      </c>
      <c r="G16" s="21">
        <f t="shared" si="1"/>
        <v>0</v>
      </c>
      <c r="H16" s="21">
        <f t="shared" si="1"/>
        <v>0</v>
      </c>
      <c r="I16" s="21">
        <f t="shared" si="1"/>
        <v>0</v>
      </c>
      <c r="J16" s="21">
        <f t="shared" si="1"/>
        <v>102.08233317247955</v>
      </c>
      <c r="K16" s="21">
        <f t="shared" si="1"/>
        <v>0</v>
      </c>
      <c r="L16" s="21">
        <f t="shared" ca="1" si="1"/>
        <v>0</v>
      </c>
      <c r="M16" s="21">
        <f t="shared" si="1"/>
        <v>0</v>
      </c>
      <c r="N16" s="21">
        <f t="shared" ca="1" si="1"/>
        <v>5212.5893672367029</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0.20898877168915608</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17571.374721647859</v>
      </c>
      <c r="C20" s="23">
        <f t="shared" ref="C20:P20" ca="1" si="2">C16*C18</f>
        <v>0</v>
      </c>
      <c r="D20" s="23">
        <f t="shared" ca="1" si="2"/>
        <v>23021.309858069049</v>
      </c>
      <c r="E20" s="23">
        <f t="shared" si="2"/>
        <v>163.46563319379254</v>
      </c>
      <c r="F20" s="23">
        <f t="shared" ca="1" si="2"/>
        <v>4220.547327014966</v>
      </c>
      <c r="G20" s="23">
        <f t="shared" si="2"/>
        <v>0</v>
      </c>
      <c r="H20" s="23">
        <f t="shared" si="2"/>
        <v>0</v>
      </c>
      <c r="I20" s="23">
        <f t="shared" si="2"/>
        <v>0</v>
      </c>
      <c r="J20" s="23">
        <f t="shared" si="2"/>
        <v>36.13714594305776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10135.175450896</v>
      </c>
      <c r="C26" s="39">
        <f>IF(ISERROR(B26*3.6/1000000/'E Balans VL '!Z12*100),0,B26*3.6/1000000/'E Balans VL '!Z12*100)</f>
        <v>0.21242069504755534</v>
      </c>
      <c r="D26" s="235" t="s">
        <v>647</v>
      </c>
      <c r="F26" s="6"/>
    </row>
    <row r="27" spans="1:18">
      <c r="A27" s="230" t="s">
        <v>52</v>
      </c>
      <c r="B27" s="33">
        <f>IF(ISERROR(TER_horeca_ele_kWh/1000),0,TER_horeca_ele_kWh/1000)</f>
        <v>39730.817267363396</v>
      </c>
      <c r="C27" s="39">
        <f>IF(ISERROR(B27*3.6/1000000/'E Balans VL '!Z9*100),0,B27*3.6/1000000/'E Balans VL '!Z9*100)</f>
        <v>3.0461549233846745</v>
      </c>
      <c r="D27" s="235" t="s">
        <v>647</v>
      </c>
      <c r="F27" s="6"/>
    </row>
    <row r="28" spans="1:18">
      <c r="A28" s="170" t="s">
        <v>51</v>
      </c>
      <c r="B28" s="33">
        <f>IF(ISERROR(TER_handel_ele_kWh/1000),0,TER_handel_ele_kWh/1000)</f>
        <v>14457.408928668599</v>
      </c>
      <c r="C28" s="39">
        <f>IF(ISERROR(B28*3.6/1000000/'E Balans VL '!Z13*100),0,B28*3.6/1000000/'E Balans VL '!Z13*100)</f>
        <v>0.40786483373179017</v>
      </c>
      <c r="D28" s="235" t="s">
        <v>647</v>
      </c>
      <c r="F28" s="6"/>
    </row>
    <row r="29" spans="1:18">
      <c r="A29" s="230" t="s">
        <v>50</v>
      </c>
      <c r="B29" s="33">
        <f>IF(ISERROR(TER_gezond_ele_kWh/1000),0,TER_gezond_ele_kWh/1000)</f>
        <v>1958.68664768893</v>
      </c>
      <c r="C29" s="39">
        <f>IF(ISERROR(B29*3.6/1000000/'E Balans VL '!Z10*100),0,B29*3.6/1000000/'E Balans VL '!Z10*100)</f>
        <v>0.21748779198187068</v>
      </c>
      <c r="D29" s="235" t="s">
        <v>647</v>
      </c>
      <c r="F29" s="6"/>
    </row>
    <row r="30" spans="1:18">
      <c r="A30" s="230" t="s">
        <v>49</v>
      </c>
      <c r="B30" s="33">
        <f>IF(ISERROR(TER_ander_ele_kWh/1000),0,TER_ander_ele_kWh/1000)</f>
        <v>7672.6404759898696</v>
      </c>
      <c r="C30" s="39">
        <f>IF(ISERROR(B30*3.6/1000000/'E Balans VL '!Z14*100),0,B30*3.6/1000000/'E Balans VL '!Z14*100)</f>
        <v>0.55362266999545873</v>
      </c>
      <c r="D30" s="235" t="s">
        <v>647</v>
      </c>
      <c r="F30" s="6"/>
    </row>
    <row r="31" spans="1:18">
      <c r="A31" s="230" t="s">
        <v>54</v>
      </c>
      <c r="B31" s="33">
        <f>IF(ISERROR(TER_onderwijs_ele_kWh/1000),0,TER_onderwijs_ele_kWh/1000)</f>
        <v>3281.7604371993002</v>
      </c>
      <c r="C31" s="39">
        <f>IF(ISERROR(B31*3.6/1000000/'E Balans VL '!Z11*100),0,B31*3.6/1000000/'E Balans VL '!Z11*100)</f>
        <v>0.90967799802556748</v>
      </c>
      <c r="D31" s="235" t="s">
        <v>647</v>
      </c>
    </row>
    <row r="32" spans="1:18">
      <c r="A32" s="230" t="s">
        <v>249</v>
      </c>
      <c r="B32" s="33">
        <f>IF(ISERROR(TER_rest_ele_kWh/1000),0,TER_rest_ele_kWh/1000)</f>
        <v>6841.5910623771206</v>
      </c>
      <c r="C32" s="39">
        <f>IF(ISERROR(B32*3.6/1000000/'E Balans VL '!Z8*100),0,B32*3.6/1000000/'E Balans VL '!Z8*100)</f>
        <v>5.5770143298808056E-2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4</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62395.698482645632</v>
      </c>
      <c r="C5" s="17">
        <f>IF(ISERROR('Eigen informatie GS &amp; warmtenet'!B59),0,'Eigen informatie GS &amp; warmtenet'!B59)</f>
        <v>0</v>
      </c>
      <c r="D5" s="30">
        <f>SUM(D6:D15)</f>
        <v>19844.930402776954</v>
      </c>
      <c r="E5" s="17">
        <f>SUM(E6:E15)</f>
        <v>4813.8019409792541</v>
      </c>
      <c r="F5" s="17">
        <f>SUM(F6:F15)</f>
        <v>18760.781502608843</v>
      </c>
      <c r="G5" s="18"/>
      <c r="H5" s="17"/>
      <c r="I5" s="17"/>
      <c r="J5" s="17">
        <f>SUM(J6:J15)</f>
        <v>141.23467742791112</v>
      </c>
      <c r="K5" s="17"/>
      <c r="L5" s="17"/>
      <c r="M5" s="17"/>
      <c r="N5" s="17">
        <f>SUM(N6:N15)</f>
        <v>3308.7185442393875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996.18938995977101</v>
      </c>
      <c r="C8" s="33"/>
      <c r="D8" s="37">
        <f>IF( ISERROR(IND_metaal_Gas_kWH/1000),0,IND_metaal_Gas_kWH/1000)*0.902</f>
        <v>0</v>
      </c>
      <c r="E8" s="33">
        <f>C30*'E Balans VL '!I18/100/3.6*1000000</f>
        <v>28.614298515890422</v>
      </c>
      <c r="F8" s="33">
        <f>C30*'E Balans VL '!L18/100/3.6*1000000+C30*'E Balans VL '!N18/100/3.6*1000000</f>
        <v>255.50341904927947</v>
      </c>
      <c r="G8" s="34"/>
      <c r="H8" s="33"/>
      <c r="I8" s="33"/>
      <c r="J8" s="40">
        <f>C30*'E Balans VL '!D18/100/3.6*1000000+C30*'E Balans VL '!E18/100/3.6*1000000</f>
        <v>0</v>
      </c>
      <c r="K8" s="33"/>
      <c r="L8" s="33"/>
      <c r="M8" s="33"/>
      <c r="N8" s="33">
        <f>C30*'E Balans VL '!Y18/100/3.6*1000000</f>
        <v>27.048575448055846</v>
      </c>
      <c r="O8" s="33"/>
      <c r="P8" s="33"/>
      <c r="R8" s="32"/>
    </row>
    <row r="9" spans="1:18">
      <c r="A9" s="6" t="s">
        <v>32</v>
      </c>
      <c r="B9" s="37">
        <f t="shared" si="0"/>
        <v>6427.2382226895797</v>
      </c>
      <c r="C9" s="33"/>
      <c r="D9" s="37">
        <f>IF( ISERROR(IND_andere_gas_kWh/1000),0,IND_andere_gas_kWh/1000)*0.902</f>
        <v>9786.784613069547</v>
      </c>
      <c r="E9" s="33">
        <f>C31*'E Balans VL '!I19/100/3.6*1000000</f>
        <v>1739.6953601159335</v>
      </c>
      <c r="F9" s="33">
        <f>C31*'E Balans VL '!L19/100/3.6*1000000+C31*'E Balans VL '!N19/100/3.6*1000000</f>
        <v>4281.2208001906456</v>
      </c>
      <c r="G9" s="34"/>
      <c r="H9" s="33"/>
      <c r="I9" s="33"/>
      <c r="J9" s="40">
        <f>C31*'E Balans VL '!D19/100/3.6*1000000+C31*'E Balans VL '!E19/100/3.6*1000000</f>
        <v>0</v>
      </c>
      <c r="K9" s="33"/>
      <c r="L9" s="33"/>
      <c r="M9" s="33"/>
      <c r="N9" s="33">
        <f>C31*'E Balans VL '!Y19/100/3.6*1000000</f>
        <v>543.38041613704615</v>
      </c>
      <c r="O9" s="33"/>
      <c r="P9" s="33"/>
      <c r="R9" s="32"/>
    </row>
    <row r="10" spans="1:18">
      <c r="A10" s="6" t="s">
        <v>40</v>
      </c>
      <c r="B10" s="37">
        <f t="shared" si="0"/>
        <v>932.21440278607804</v>
      </c>
      <c r="C10" s="33"/>
      <c r="D10" s="37">
        <f>IF( ISERROR(IND_voed_gas_kWh/1000),0,IND_voed_gas_kWh/1000)*0.902</f>
        <v>671.72429352954134</v>
      </c>
      <c r="E10" s="33">
        <f>C32*'E Balans VL '!I20/100/3.6*1000000</f>
        <v>76.033548398092819</v>
      </c>
      <c r="F10" s="33">
        <f>C32*'E Balans VL '!L20/100/3.6*1000000+C32*'E Balans VL '!N20/100/3.6*1000000</f>
        <v>1390.0162524554878</v>
      </c>
      <c r="G10" s="34"/>
      <c r="H10" s="33"/>
      <c r="I10" s="33"/>
      <c r="J10" s="40">
        <f>C32*'E Balans VL '!D20/100/3.6*1000000+C32*'E Balans VL '!E20/100/3.6*1000000</f>
        <v>1.2332064992373826E-2</v>
      </c>
      <c r="K10" s="33"/>
      <c r="L10" s="33"/>
      <c r="M10" s="33"/>
      <c r="N10" s="33">
        <f>C32*'E Balans VL '!Y20/100/3.6*1000000</f>
        <v>273.85169723919728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933.37944602251991</v>
      </c>
      <c r="C12" s="33"/>
      <c r="D12" s="37">
        <f>IF( ISERROR(IND_min_gas_kWh/1000),0,IND_min_gas_kWh/1000)*0.902</f>
        <v>0</v>
      </c>
      <c r="E12" s="33">
        <f>C34*'E Balans VL '!I22/100/3.6*1000000</f>
        <v>7.2708225097908965</v>
      </c>
      <c r="F12" s="33">
        <f>C34*'E Balans VL '!L22/100/3.6*1000000+C34*'E Balans VL '!N22/100/3.6*1000000</f>
        <v>352.01336912089687</v>
      </c>
      <c r="G12" s="34"/>
      <c r="H12" s="33"/>
      <c r="I12" s="33"/>
      <c r="J12" s="40">
        <f>C34*'E Balans VL '!D22/100/3.6*1000000+C34*'E Balans VL '!E22/100/3.6*1000000</f>
        <v>5.133505345026486</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10.5002753459866</v>
      </c>
      <c r="C14" s="33"/>
      <c r="D14" s="37">
        <f>IF( ISERROR(IND_chemie_gas_kWh/1000),0,IND_chemie_gas_kWh/1000)*0.902</f>
        <v>0</v>
      </c>
      <c r="E14" s="33">
        <f>C36*'E Balans VL '!I24/100/3.6*1000000</f>
        <v>4.9637267342536998E-2</v>
      </c>
      <c r="F14" s="33">
        <f>C36*'E Balans VL '!L24/100/3.6*1000000+C36*'E Balans VL '!N24/100/3.6*1000000</f>
        <v>0.19844956790028112</v>
      </c>
      <c r="G14" s="34"/>
      <c r="H14" s="33"/>
      <c r="I14" s="33"/>
      <c r="J14" s="40">
        <f>C36*'E Balans VL '!D24/100/3.6*1000000+C36*'E Balans VL '!E24/100/3.6*1000000</f>
        <v>0</v>
      </c>
      <c r="K14" s="33"/>
      <c r="L14" s="33"/>
      <c r="M14" s="33"/>
      <c r="N14" s="33">
        <f>C36*'E Balans VL '!Y24/100/3.6*1000000</f>
        <v>0.25491116264191382</v>
      </c>
      <c r="O14" s="33"/>
      <c r="P14" s="33"/>
      <c r="R14" s="32"/>
    </row>
    <row r="15" spans="1:18">
      <c r="A15" s="6" t="s">
        <v>259</v>
      </c>
      <c r="B15" s="37">
        <f t="shared" si="0"/>
        <v>53096.176745841694</v>
      </c>
      <c r="C15" s="33"/>
      <c r="D15" s="37">
        <f>IF( ISERROR(IND_rest_gas_kWh/1000),0,IND_rest_gas_kWh/1000)*0.902</f>
        <v>9386.4214961778671</v>
      </c>
      <c r="E15" s="33">
        <f>C37*'E Balans VL '!I15/100/3.6*1000000</f>
        <v>2962.1382741722041</v>
      </c>
      <c r="F15" s="33">
        <f>C37*'E Balans VL '!L15/100/3.6*1000000+C37*'E Balans VL '!N15/100/3.6*1000000</f>
        <v>12481.829212224633</v>
      </c>
      <c r="G15" s="34"/>
      <c r="H15" s="33"/>
      <c r="I15" s="33"/>
      <c r="J15" s="40">
        <f>C37*'E Balans VL '!D15/100/3.6*1000000+C37*'E Balans VL '!E15/100/3.6*1000000</f>
        <v>136.08884001789227</v>
      </c>
      <c r="K15" s="33"/>
      <c r="L15" s="33"/>
      <c r="M15" s="33"/>
      <c r="N15" s="33">
        <f>C37*'E Balans VL '!Y15/100/3.6*1000000</f>
        <v>2464.1829442524463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62395.698482645632</v>
      </c>
      <c r="C18" s="21">
        <f>C5+C16</f>
        <v>0</v>
      </c>
      <c r="D18" s="21">
        <f>MAX((D5+D16),0)</f>
        <v>19844.930402776954</v>
      </c>
      <c r="E18" s="21">
        <f>MAX((E5+E16),0)</f>
        <v>4813.8019409792541</v>
      </c>
      <c r="F18" s="21">
        <f>MAX((F5+F16),0)</f>
        <v>18760.781502608843</v>
      </c>
      <c r="G18" s="21"/>
      <c r="H18" s="21"/>
      <c r="I18" s="21"/>
      <c r="J18" s="21">
        <f>MAX((J5+J16),0)</f>
        <v>141.23467742791112</v>
      </c>
      <c r="K18" s="21"/>
      <c r="L18" s="21">
        <f>MAX((L5+L16),0)</f>
        <v>0</v>
      </c>
      <c r="M18" s="21"/>
      <c r="N18" s="21">
        <f>MAX((N5+N16),0)</f>
        <v>3308.7185442393875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0.20898877168915608</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13040.000384575051</v>
      </c>
      <c r="C22" s="23">
        <f ca="1">C18*C20</f>
        <v>0</v>
      </c>
      <c r="D22" s="23">
        <f>D18*D20</f>
        <v>4008.6759413609448</v>
      </c>
      <c r="E22" s="23">
        <f>E18*E20</f>
        <v>1092.7330406022907</v>
      </c>
      <c r="F22" s="23">
        <f>F18*F20</f>
        <v>5009.1286611965616</v>
      </c>
      <c r="G22" s="23"/>
      <c r="H22" s="23"/>
      <c r="I22" s="23"/>
      <c r="J22" s="23">
        <f>J18*J20</f>
        <v>49.997075809480535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996.18938995977101</v>
      </c>
      <c r="C30" s="39">
        <f>IF(ISERROR(B30*3.6/1000000/'E Balans VL '!Z18*100),0,B30*3.6/1000000/'E Balans VL '!Z18*100)</f>
        <v>9.8022492971422182E-2</v>
      </c>
      <c r="D30" s="235" t="s">
        <v>647</v>
      </c>
    </row>
    <row r="31" spans="1:18">
      <c r="A31" s="6" t="s">
        <v>32</v>
      </c>
      <c r="B31" s="37">
        <f>IF( ISERROR(IND_ander_ele_kWh/1000),0,IND_ander_ele_kWh/1000)</f>
        <v>6427.2382226895797</v>
      </c>
      <c r="C31" s="39">
        <f>IF(ISERROR(B31*3.6/1000000/'E Balans VL '!Z19*100),0,B31*3.6/1000000/'E Balans VL '!Z19*100)</f>
        <v>0.27990109764070481</v>
      </c>
      <c r="D31" s="235" t="s">
        <v>647</v>
      </c>
    </row>
    <row r="32" spans="1:18">
      <c r="A32" s="170" t="s">
        <v>40</v>
      </c>
      <c r="B32" s="37">
        <f>IF( ISERROR(IND_voed_ele_kWh/1000),0,IND_voed_ele_kWh/1000)</f>
        <v>932.21440278607804</v>
      </c>
      <c r="C32" s="39">
        <f>IF(ISERROR(B32*3.6/1000000/'E Balans VL '!Z20*100),0,B32*3.6/1000000/'E Balans VL '!Z20*100)</f>
        <v>0.17687423893443832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933.37944602251991</v>
      </c>
      <c r="C34" s="39">
        <f>IF(ISERROR(B34*3.6/1000000/'E Balans VL '!Z22*100),0,B34*3.6/1000000/'E Balans VL '!Z22*100)</f>
        <v>0.13124252281501952</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10.5002753459866</v>
      </c>
      <c r="C36" s="39">
        <f>IF(ISERROR(B36*3.6/1000000/'E Balans VL '!Z24*100),0,B36*3.6/1000000/'E Balans VL '!Z24*100)</f>
        <v>3.0600905129123216E-4</v>
      </c>
      <c r="D36" s="235" t="s">
        <v>647</v>
      </c>
    </row>
    <row r="37" spans="1:5">
      <c r="A37" s="170" t="s">
        <v>259</v>
      </c>
      <c r="B37" s="37">
        <f>IF( ISERROR(IND_rest_ele_kWh/1000),0,IND_rest_ele_kWh/1000)</f>
        <v>53096.176745841694</v>
      </c>
      <c r="C37" s="39">
        <f>IF(ISERROR(B37*3.6/1000000/'E Balans VL '!Z15*100),0,B37*3.6/1000000/'E Balans VL '!Z15*100)</f>
        <v>0.4091712573745403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1208.512809398894</v>
      </c>
      <c r="C5" s="17">
        <f>'Eigen informatie GS &amp; warmtenet'!B60</f>
        <v>0</v>
      </c>
      <c r="D5" s="30">
        <f>IF(ISERROR(SUM(LB_lb_gas_kWh,LB_rest_gas_kWh)/1000),0,SUM(LB_lb_gas_kWh,LB_rest_gas_kWh)/1000)*0.902</f>
        <v>133.5519500136277</v>
      </c>
      <c r="E5" s="17">
        <f>B17*'E Balans VL '!I25/3.6*1000000/100</f>
        <v>25.094418207535696</v>
      </c>
      <c r="F5" s="17">
        <f>B17*('E Balans VL '!L25/3.6*1000000+'E Balans VL '!N25/3.6*1000000)/100</f>
        <v>4270.9151061327238</v>
      </c>
      <c r="G5" s="18"/>
      <c r="H5" s="17"/>
      <c r="I5" s="17"/>
      <c r="J5" s="17">
        <f>('E Balans VL '!D25+'E Balans VL '!E25)/3.6*1000000*landbouw!B17/100</f>
        <v>138.60877559958655</v>
      </c>
      <c r="K5" s="17"/>
      <c r="L5" s="17">
        <f>L6*(-1)</f>
        <v>0</v>
      </c>
      <c r="M5" s="17"/>
      <c r="N5" s="17">
        <f>N6*(-1)</f>
        <v>0</v>
      </c>
      <c r="O5" s="17"/>
      <c r="P5" s="17"/>
      <c r="R5" s="32"/>
    </row>
    <row r="6" spans="1:18">
      <c r="A6" s="16" t="s">
        <v>483</v>
      </c>
      <c r="B6" s="17" t="s">
        <v>204</v>
      </c>
      <c r="C6" s="17">
        <f>'lokale energieproductie'!O39+'lokale energieproductie'!O32</f>
        <v>22.5</v>
      </c>
      <c r="D6" s="305">
        <f>('lokale energieproductie'!P32+'lokale energieproductie'!P39)*(-1)</f>
        <v>-30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1208.512809398894</v>
      </c>
      <c r="C8" s="21">
        <f>C5+C6</f>
        <v>22.5</v>
      </c>
      <c r="D8" s="21">
        <f>MAX((D5+D6),0)</f>
        <v>103.5519500136277</v>
      </c>
      <c r="E8" s="21">
        <f>MAX((E5+E6),0)</f>
        <v>25.094418207535696</v>
      </c>
      <c r="F8" s="21">
        <f>MAX((F5+F6),0)</f>
        <v>4270.9151061327238</v>
      </c>
      <c r="G8" s="21"/>
      <c r="H8" s="21"/>
      <c r="I8" s="21"/>
      <c r="J8" s="21">
        <f>MAX((J5+J6),0)</f>
        <v>138.60877559958655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0.20898877168915608</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252.56560760688606</v>
      </c>
      <c r="C12" s="23">
        <f ca="1">C8*C10</f>
        <v>5.0500000000000007</v>
      </c>
      <c r="D12" s="23">
        <f>D8*D10</f>
        <v>20.917493902752799</v>
      </c>
      <c r="E12" s="23">
        <f>E8*E10</f>
        <v>5.6964329331106036</v>
      </c>
      <c r="F12" s="23">
        <f>F8*F10</f>
        <v>1140.3343333374373</v>
      </c>
      <c r="G12" s="23"/>
      <c r="H12" s="23"/>
      <c r="I12" s="23"/>
      <c r="J12" s="23">
        <f>J8*J10</f>
        <v>49.067506562253634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0.16854944679838357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226.74614852015608</v>
      </c>
      <c r="C26" s="245">
        <f>B26*'GWP N2O_CH4'!B5</f>
        <v>4761.6691189232779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55.842522008086888</v>
      </c>
      <c r="C27" s="245">
        <f>B27*'GWP N2O_CH4'!B5</f>
        <v>1172.6929621698246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3.129997293812647</v>
      </c>
      <c r="C28" s="245">
        <f>B28*'GWP N2O_CH4'!B4</f>
        <v>970.2991610819206</v>
      </c>
      <c r="D28" s="50"/>
    </row>
    <row r="29" spans="1:4">
      <c r="A29" s="41" t="s">
        <v>266</v>
      </c>
      <c r="B29" s="245">
        <f>B34*'ha_N2O bodem landbouw'!B4</f>
        <v>18.816975707788345</v>
      </c>
      <c r="C29" s="245">
        <f>B29*'GWP N2O_CH4'!B4</f>
        <v>5833.2624694143869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4.6984108097656747E-3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6.7494151989136447E-5</v>
      </c>
      <c r="C5" s="434" t="s">
        <v>204</v>
      </c>
      <c r="D5" s="419">
        <f>SUM(D6:D11)</f>
        <v>6.4411462489176273E-5</v>
      </c>
      <c r="E5" s="419">
        <f>SUM(E6:E11)</f>
        <v>2.3581774023928707E-3</v>
      </c>
      <c r="F5" s="432" t="s">
        <v>204</v>
      </c>
      <c r="G5" s="419">
        <f>SUM(G6:G11)</f>
        <v>0.73673573119648617</v>
      </c>
      <c r="H5" s="419">
        <f>SUM(H6:H11)</f>
        <v>0.11817939685153747</v>
      </c>
      <c r="I5" s="434" t="s">
        <v>204</v>
      </c>
      <c r="J5" s="434" t="s">
        <v>204</v>
      </c>
      <c r="K5" s="434" t="s">
        <v>204</v>
      </c>
      <c r="L5" s="434" t="s">
        <v>204</v>
      </c>
      <c r="M5" s="419">
        <f>SUM(M6:M11)</f>
        <v>3.8651505327551107E-2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4.1129897360677118E-5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3.6482545681488081E-5</v>
      </c>
      <c r="E6" s="836">
        <f>vkm_GW_PW*SUMIFS(TableVerdeelsleutelVkm[LPG],TableVerdeelsleutelVkm[Voertuigtype],"Lichte voertuigen")*SUMIFS(TableECFTransport[EnergieConsumptieFactor (PJ per km)],TableECFTransport[Index],CONCATENATE($A6,"_LPG_LPG"))</f>
        <v>1.3100581053547512E-3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0.26043225580332907</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6.7229002004800073E-2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1.4823457213835881E-2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6.8526308912453636E-7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0.10723348454349771</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2.8208400059307955E-6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4.8417742185843564E-3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1.3380867875542198E-5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1.8673333308447617E-5</v>
      </c>
      <c r="E8" s="422">
        <f>vkm_NGW_PW*SUMIFS(TableVerdeelsleutelVkm[LPG],TableVerdeelsleutelVkm[Voertuigtype],"Lichte voertuigen")*SUMIFS(TableECFTransport[EnergieConsumptieFactor (PJ per km)],TableECFTransport[Index],CONCATENATE($A8,"_LPG_LPG"))</f>
        <v>6.3660194878421448E-4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0.11939373442186764</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3.2983171595506233E-2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6.894311306761278E-3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1.1719646482973107E-7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2.355741545200659E-2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5.8230708256370888E-7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1.0636556717536394E-3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1.1166857068837731E-5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9.2555834992405755E-6</v>
      </c>
      <c r="E10" s="422">
        <f>vkm_SW_PW*SUMIFS(TableVerdeelsleutelVkm[LPG],TableVerdeelsleutelVkm[Voertuigtype],"Lichte voertuigen")*SUMIFS(TableECFTransport[EnergieConsumptieFactor (PJ per km)],TableECFTransport[Index],CONCATENATE($A10,"_LPG_LPG"))</f>
        <v>4.1151734825390512E-4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7.4923445469079086E-2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1.7959523557364215E-2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4.2015630896124218E-3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1.0140701301251426E-6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0.15119539550670599</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4.2965467784546521E-6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6.8267438270035296E-3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18.748375552537901</v>
      </c>
      <c r="C14" s="21"/>
      <c r="D14" s="21">
        <f t="shared" ref="D14:M14" si="0">((D5)*10^9/3600)+D12</f>
        <v>17.892072913660076</v>
      </c>
      <c r="E14" s="21">
        <f t="shared" si="0"/>
        <v>655.04927844246413</v>
      </c>
      <c r="F14" s="21"/>
      <c r="G14" s="21">
        <f t="shared" si="0"/>
        <v>204648.81422124614</v>
      </c>
      <c r="H14" s="21">
        <f t="shared" si="0"/>
        <v>32827.610236538188</v>
      </c>
      <c r="I14" s="21"/>
      <c r="J14" s="21"/>
      <c r="K14" s="21"/>
      <c r="L14" s="21"/>
      <c r="M14" s="21">
        <f t="shared" si="0"/>
        <v>10736.529257653085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0.20898877168915608</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3.918199977891899</v>
      </c>
      <c r="C18" s="23"/>
      <c r="D18" s="23">
        <f t="shared" ref="D18:M18" si="1">D14*D16</f>
        <v>3.6141987285593355</v>
      </c>
      <c r="E18" s="23">
        <f t="shared" si="1"/>
        <v>148.69618620643936</v>
      </c>
      <c r="F18" s="23"/>
      <c r="G18" s="23">
        <f t="shared" si="1"/>
        <v>54641.23339707272</v>
      </c>
      <c r="H18" s="23">
        <f t="shared" si="1"/>
        <v>8174.0749488980091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5.2015036650653238E-5</v>
      </c>
      <c r="C50" s="316">
        <f t="shared" ref="C50:P50" si="2">SUM(C51:C52)</f>
        <v>0</v>
      </c>
      <c r="D50" s="316">
        <f t="shared" si="2"/>
        <v>0</v>
      </c>
      <c r="E50" s="316">
        <f t="shared" si="2"/>
        <v>0</v>
      </c>
      <c r="F50" s="316">
        <f t="shared" si="2"/>
        <v>0</v>
      </c>
      <c r="G50" s="316">
        <f t="shared" si="2"/>
        <v>1.0124432562528584E-2</v>
      </c>
      <c r="H50" s="316">
        <f t="shared" si="2"/>
        <v>0</v>
      </c>
      <c r="I50" s="316">
        <f t="shared" si="2"/>
        <v>0</v>
      </c>
      <c r="J50" s="316">
        <f t="shared" si="2"/>
        <v>0</v>
      </c>
      <c r="K50" s="316">
        <f t="shared" si="2"/>
        <v>0</v>
      </c>
      <c r="L50" s="316">
        <f t="shared" si="2"/>
        <v>0</v>
      </c>
      <c r="M50" s="316">
        <f t="shared" si="2"/>
        <v>4.5398806331336958E-4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5.2015036650653238E-5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1.0124432562528584E-2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4.5398806331336958E-4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14.448621291848122</v>
      </c>
      <c r="C54" s="21">
        <f t="shared" ref="C54:P54" si="3">(C50)*10^9/3600</f>
        <v>0</v>
      </c>
      <c r="D54" s="21">
        <f t="shared" si="3"/>
        <v>0</v>
      </c>
      <c r="E54" s="21">
        <f t="shared" si="3"/>
        <v>0</v>
      </c>
      <c r="F54" s="21">
        <f t="shared" si="3"/>
        <v>0</v>
      </c>
      <c r="G54" s="21">
        <f t="shared" si="3"/>
        <v>2812.3423784801621</v>
      </c>
      <c r="H54" s="21">
        <f t="shared" si="3"/>
        <v>0</v>
      </c>
      <c r="I54" s="21">
        <f t="shared" si="3"/>
        <v>0</v>
      </c>
      <c r="J54" s="21">
        <f t="shared" si="3"/>
        <v>0</v>
      </c>
      <c r="K54" s="21">
        <f t="shared" si="3"/>
        <v>0</v>
      </c>
      <c r="L54" s="21">
        <f t="shared" si="3"/>
        <v>0</v>
      </c>
      <c r="M54" s="21">
        <f t="shared" si="3"/>
        <v>126.10779536482488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0.20898877168915608</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3.0195996163851264</v>
      </c>
      <c r="C58" s="23">
        <f t="shared" ref="C58:P58" ca="1" si="4">C54*C56</f>
        <v>0</v>
      </c>
      <c r="D58" s="23">
        <f t="shared" si="4"/>
        <v>0</v>
      </c>
      <c r="E58" s="23">
        <f t="shared" si="4"/>
        <v>0</v>
      </c>
      <c r="F58" s="23">
        <f t="shared" si="4"/>
        <v>0</v>
      </c>
      <c r="G58" s="23">
        <f t="shared" si="4"/>
        <v>750.89541505420334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11744.924327346993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4.5</v>
      </c>
      <c r="C8" s="546">
        <f>B48</f>
        <v>5</v>
      </c>
      <c r="D8" s="963"/>
      <c r="E8" s="963">
        <f>E48</f>
        <v>0</v>
      </c>
      <c r="F8" s="964"/>
      <c r="G8" s="547"/>
      <c r="H8" s="963">
        <f>I48</f>
        <v>0</v>
      </c>
      <c r="I8" s="963">
        <f>G48+F48</f>
        <v>0</v>
      </c>
      <c r="J8" s="963">
        <f>H48+D48+C48</f>
        <v>0</v>
      </c>
      <c r="K8" s="963"/>
      <c r="L8" s="963"/>
      <c r="M8" s="963"/>
      <c r="N8" s="548"/>
      <c r="O8" s="549">
        <f>C8*$C$12+D8*$D$12+E8*$E$12+F8*$F$12+G8*$G$12+H8*$H$12+I8*$I$12+J8*$J$12</f>
        <v>1.01</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11749.424327346993</v>
      </c>
      <c r="C10" s="559">
        <f t="shared" ref="C10:L10" si="0">SUM(C8:C9)</f>
        <v>5</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1.01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22.5</v>
      </c>
      <c r="C17" s="571">
        <f>B49</f>
        <v>25</v>
      </c>
      <c r="D17" s="572"/>
      <c r="E17" s="572">
        <f>E49</f>
        <v>0</v>
      </c>
      <c r="F17" s="969"/>
      <c r="G17" s="573"/>
      <c r="H17" s="571">
        <f>I49</f>
        <v>0</v>
      </c>
      <c r="I17" s="572">
        <f>G49+F49</f>
        <v>0</v>
      </c>
      <c r="J17" s="572">
        <f>H49+D49+C49</f>
        <v>0</v>
      </c>
      <c r="K17" s="572"/>
      <c r="L17" s="572"/>
      <c r="M17" s="572"/>
      <c r="N17" s="970"/>
      <c r="O17" s="574">
        <f>C17*$C$22+E17*$E$22+H17*$H$22+I17*$I$22+J17*$J$22+D17*$D$22+F17*$F$22+G17*$G$22+K17*$K$22+L17*$L$22</f>
        <v>5.0500000000000007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22.5</v>
      </c>
      <c r="C20" s="558">
        <f>SUM(C17:C19)</f>
        <v>25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5.0500000000000007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v>13025</v>
      </c>
      <c r="C28" s="741">
        <v>2400</v>
      </c>
      <c r="D28" s="630"/>
      <c r="E28" s="629"/>
      <c r="F28" s="629"/>
      <c r="G28" s="629" t="s">
        <v>908</v>
      </c>
      <c r="H28" s="629" t="s">
        <v>908</v>
      </c>
      <c r="I28" s="629"/>
      <c r="J28" s="740"/>
      <c r="K28" s="740"/>
      <c r="L28" s="629" t="s">
        <v>909</v>
      </c>
      <c r="M28" s="629">
        <v>1</v>
      </c>
      <c r="N28" s="629">
        <v>4.5</v>
      </c>
      <c r="O28" s="629">
        <v>22.5</v>
      </c>
      <c r="P28" s="629">
        <v>30</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v>
      </c>
      <c r="N29" s="587">
        <f>SUM(N28:N28)</f>
        <v>4.5</v>
      </c>
      <c r="O29" s="587">
        <f>SUM(O28:O28)</f>
        <v>22.5</v>
      </c>
      <c r="P29" s="587">
        <f>SUM(P28:P28)</f>
        <v>30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v>
      </c>
      <c r="N32" s="592">
        <f>SUMIF($AA$28:$AA$28,"landbouw",N28:N28)</f>
        <v>4.5</v>
      </c>
      <c r="O32" s="592">
        <f>SUMIF($AA$28:$AA$28,"landbouw",O28:O28)</f>
        <v>22.5</v>
      </c>
      <c r="P32" s="592">
        <f>SUMIF($AA$28:$AA$28,"landbouw",P28:P28)</f>
        <v>30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0.83333333333333337</v>
      </c>
      <c r="C45" s="612">
        <f>IF(ISERROR(N29/(O29+N29)),0,N29/(N29+O29))</f>
        <v>0.16666666666666666</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5</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25</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85568.474270183215</v>
      </c>
      <c r="D10" s="640">
        <f ca="1">tertiair!C16</f>
        <v>0</v>
      </c>
      <c r="E10" s="640">
        <f ca="1">tertiair!D16</f>
        <v>113966.88048549034</v>
      </c>
      <c r="F10" s="640">
        <f>tertiair!E16</f>
        <v>720.11292155855745</v>
      </c>
      <c r="G10" s="640">
        <f ca="1">tertiair!F16</f>
        <v>15807.293359606614</v>
      </c>
      <c r="H10" s="640">
        <f>tertiair!G16</f>
        <v>0</v>
      </c>
      <c r="I10" s="640">
        <f>tertiair!H16</f>
        <v>0</v>
      </c>
      <c r="J10" s="640">
        <f>tertiair!I16</f>
        <v>0</v>
      </c>
      <c r="K10" s="640">
        <f>tertiair!J16</f>
        <v>102.08233317247955</v>
      </c>
      <c r="L10" s="640">
        <f>tertiair!K16</f>
        <v>0</v>
      </c>
      <c r="M10" s="640">
        <f ca="1">tertiair!L16</f>
        <v>0</v>
      </c>
      <c r="N10" s="640">
        <f>tertiair!M16</f>
        <v>0</v>
      </c>
      <c r="O10" s="640">
        <f ca="1">tertiair!N16</f>
        <v>5212.5893672367029</v>
      </c>
      <c r="P10" s="640">
        <f>tertiair!O16</f>
        <v>6.2533333333333339</v>
      </c>
      <c r="Q10" s="641">
        <f>tertiair!P16</f>
        <v>38.133333333333333</v>
      </c>
      <c r="R10" s="643">
        <f ca="1">SUM(C10:Q10)</f>
        <v>221421.81940391456</v>
      </c>
      <c r="S10" s="67"/>
    </row>
    <row r="11" spans="1:19" s="444" customFormat="1">
      <c r="A11" s="754" t="s">
        <v>214</v>
      </c>
      <c r="B11" s="759"/>
      <c r="C11" s="640">
        <f>huishoudens!B8</f>
        <v>64794.893328215134</v>
      </c>
      <c r="D11" s="640">
        <f>huishoudens!C8</f>
        <v>0</v>
      </c>
      <c r="E11" s="640">
        <f>huishoudens!D8</f>
        <v>140213.71361931987</v>
      </c>
      <c r="F11" s="640">
        <f>huishoudens!E8</f>
        <v>3739.536285452582</v>
      </c>
      <c r="G11" s="640">
        <f>huishoudens!F8</f>
        <v>114599.85735812604</v>
      </c>
      <c r="H11" s="640">
        <f>huishoudens!G8</f>
        <v>0</v>
      </c>
      <c r="I11" s="640">
        <f>huishoudens!H8</f>
        <v>0</v>
      </c>
      <c r="J11" s="640">
        <f>huishoudens!I8</f>
        <v>0</v>
      </c>
      <c r="K11" s="640">
        <f>huishoudens!J8</f>
        <v>2170.2931100621718</v>
      </c>
      <c r="L11" s="640">
        <f>huishoudens!K8</f>
        <v>0</v>
      </c>
      <c r="M11" s="640">
        <f>huishoudens!L8</f>
        <v>0</v>
      </c>
      <c r="N11" s="640">
        <f>huishoudens!M8</f>
        <v>0</v>
      </c>
      <c r="O11" s="640">
        <f>huishoudens!N8</f>
        <v>23423.428359472968</v>
      </c>
      <c r="P11" s="640">
        <f>huishoudens!O8</f>
        <v>608.13666666666677</v>
      </c>
      <c r="Q11" s="641">
        <f>huishoudens!P8</f>
        <v>1620.6666666666665</v>
      </c>
      <c r="R11" s="643">
        <f>SUM(C11:Q11)</f>
        <v>351170.52539398213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62395.698482645632</v>
      </c>
      <c r="D13" s="640">
        <f>industrie!C18</f>
        <v>0</v>
      </c>
      <c r="E13" s="640">
        <f>industrie!D18</f>
        <v>19844.930402776954</v>
      </c>
      <c r="F13" s="640">
        <f>industrie!E18</f>
        <v>4813.8019409792541</v>
      </c>
      <c r="G13" s="640">
        <f>industrie!F18</f>
        <v>18760.781502608843</v>
      </c>
      <c r="H13" s="640">
        <f>industrie!G18</f>
        <v>0</v>
      </c>
      <c r="I13" s="640">
        <f>industrie!H18</f>
        <v>0</v>
      </c>
      <c r="J13" s="640">
        <f>industrie!I18</f>
        <v>0</v>
      </c>
      <c r="K13" s="640">
        <f>industrie!J18</f>
        <v>141.23467742791112</v>
      </c>
      <c r="L13" s="640">
        <f>industrie!K18</f>
        <v>0</v>
      </c>
      <c r="M13" s="640">
        <f>industrie!L18</f>
        <v>0</v>
      </c>
      <c r="N13" s="640">
        <f>industrie!M18</f>
        <v>0</v>
      </c>
      <c r="O13" s="640">
        <f>industrie!N18</f>
        <v>3308.7185442393875</v>
      </c>
      <c r="P13" s="640">
        <f>industrie!O18</f>
        <v>0</v>
      </c>
      <c r="Q13" s="641">
        <f>industrie!P18</f>
        <v>0</v>
      </c>
      <c r="R13" s="643">
        <f>SUM(C13:Q13)</f>
        <v>109265.16555067798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212759.06608104397</v>
      </c>
      <c r="D16" s="675">
        <f t="shared" ref="D16:R16" ca="1" si="0">SUM(D9:D15)</f>
        <v>0</v>
      </c>
      <c r="E16" s="675">
        <f t="shared" ca="1" si="0"/>
        <v>274025.52450758719</v>
      </c>
      <c r="F16" s="675">
        <f t="shared" si="0"/>
        <v>9273.451147990394</v>
      </c>
      <c r="G16" s="675">
        <f t="shared" ca="1" si="0"/>
        <v>149167.93222034149</v>
      </c>
      <c r="H16" s="675">
        <f t="shared" si="0"/>
        <v>0</v>
      </c>
      <c r="I16" s="675">
        <f t="shared" si="0"/>
        <v>0</v>
      </c>
      <c r="J16" s="675">
        <f t="shared" si="0"/>
        <v>0</v>
      </c>
      <c r="K16" s="675">
        <f t="shared" si="0"/>
        <v>2413.6101206625626</v>
      </c>
      <c r="L16" s="675">
        <f t="shared" si="0"/>
        <v>0</v>
      </c>
      <c r="M16" s="675">
        <f t="shared" ca="1" si="0"/>
        <v>0</v>
      </c>
      <c r="N16" s="675">
        <f t="shared" si="0"/>
        <v>0</v>
      </c>
      <c r="O16" s="675">
        <f t="shared" ca="1" si="0"/>
        <v>31944.736270949055</v>
      </c>
      <c r="P16" s="675">
        <f t="shared" si="0"/>
        <v>614.3900000000001</v>
      </c>
      <c r="Q16" s="675">
        <f t="shared" si="0"/>
        <v>1658.8</v>
      </c>
      <c r="R16" s="675">
        <f t="shared" ca="1" si="0"/>
        <v>681857.51034857472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14.448621291848122</v>
      </c>
      <c r="D19" s="640">
        <f>transport!C54</f>
        <v>0</v>
      </c>
      <c r="E19" s="640">
        <f>transport!D54</f>
        <v>0</v>
      </c>
      <c r="F19" s="640">
        <f>transport!E54</f>
        <v>0</v>
      </c>
      <c r="G19" s="640">
        <f>transport!F54</f>
        <v>0</v>
      </c>
      <c r="H19" s="640">
        <f>transport!G54</f>
        <v>2812.3423784801621</v>
      </c>
      <c r="I19" s="640">
        <f>transport!H54</f>
        <v>0</v>
      </c>
      <c r="J19" s="640">
        <f>transport!I54</f>
        <v>0</v>
      </c>
      <c r="K19" s="640">
        <f>transport!J54</f>
        <v>0</v>
      </c>
      <c r="L19" s="640">
        <f>transport!K54</f>
        <v>0</v>
      </c>
      <c r="M19" s="640">
        <f>transport!L54</f>
        <v>0</v>
      </c>
      <c r="N19" s="640">
        <f>transport!M54</f>
        <v>126.10779536482488</v>
      </c>
      <c r="O19" s="640">
        <f>transport!N54</f>
        <v>0</v>
      </c>
      <c r="P19" s="640">
        <f>transport!O54</f>
        <v>0</v>
      </c>
      <c r="Q19" s="641">
        <f>transport!P54</f>
        <v>0</v>
      </c>
      <c r="R19" s="643">
        <f>SUM(C19:Q19)</f>
        <v>2952.8987951368354</v>
      </c>
      <c r="S19" s="67"/>
    </row>
    <row r="20" spans="1:19" s="444" customFormat="1">
      <c r="A20" s="754" t="s">
        <v>296</v>
      </c>
      <c r="B20" s="759"/>
      <c r="C20" s="640">
        <f>transport!B14</f>
        <v>18.748375552537901</v>
      </c>
      <c r="D20" s="640">
        <f>transport!C14</f>
        <v>0</v>
      </c>
      <c r="E20" s="640">
        <f>transport!D14</f>
        <v>17.892072913660076</v>
      </c>
      <c r="F20" s="640">
        <f>transport!E14</f>
        <v>655.04927844246413</v>
      </c>
      <c r="G20" s="640">
        <f>transport!F14</f>
        <v>0</v>
      </c>
      <c r="H20" s="640">
        <f>transport!G14</f>
        <v>204648.81422124614</v>
      </c>
      <c r="I20" s="640">
        <f>transport!H14</f>
        <v>32827.610236538188</v>
      </c>
      <c r="J20" s="640">
        <f>transport!I14</f>
        <v>0</v>
      </c>
      <c r="K20" s="640">
        <f>transport!J14</f>
        <v>0</v>
      </c>
      <c r="L20" s="640">
        <f>transport!K14</f>
        <v>0</v>
      </c>
      <c r="M20" s="640">
        <f>transport!L14</f>
        <v>0</v>
      </c>
      <c r="N20" s="640">
        <f>transport!M14</f>
        <v>10736.529257653085</v>
      </c>
      <c r="O20" s="640">
        <f>transport!N14</f>
        <v>0</v>
      </c>
      <c r="P20" s="640">
        <f>transport!O14</f>
        <v>0</v>
      </c>
      <c r="Q20" s="641">
        <f>transport!P14</f>
        <v>0</v>
      </c>
      <c r="R20" s="643">
        <f>SUM(C20:Q20)</f>
        <v>248904.64344234607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33.196996844386021</v>
      </c>
      <c r="D22" s="757">
        <f t="shared" ref="D22:R22" si="1">SUM(D18:D21)</f>
        <v>0</v>
      </c>
      <c r="E22" s="757">
        <f t="shared" si="1"/>
        <v>17.892072913660076</v>
      </c>
      <c r="F22" s="757">
        <f t="shared" si="1"/>
        <v>655.04927844246413</v>
      </c>
      <c r="G22" s="757">
        <f t="shared" si="1"/>
        <v>0</v>
      </c>
      <c r="H22" s="757">
        <f t="shared" si="1"/>
        <v>207461.1565997263</v>
      </c>
      <c r="I22" s="757">
        <f t="shared" si="1"/>
        <v>32827.610236538188</v>
      </c>
      <c r="J22" s="757">
        <f t="shared" si="1"/>
        <v>0</v>
      </c>
      <c r="K22" s="757">
        <f t="shared" si="1"/>
        <v>0</v>
      </c>
      <c r="L22" s="757">
        <f t="shared" si="1"/>
        <v>0</v>
      </c>
      <c r="M22" s="757">
        <f t="shared" si="1"/>
        <v>0</v>
      </c>
      <c r="N22" s="757">
        <f t="shared" si="1"/>
        <v>10862.63705301791</v>
      </c>
      <c r="O22" s="757">
        <f t="shared" si="1"/>
        <v>0</v>
      </c>
      <c r="P22" s="757">
        <f t="shared" si="1"/>
        <v>0</v>
      </c>
      <c r="Q22" s="757">
        <f t="shared" si="1"/>
        <v>0</v>
      </c>
      <c r="R22" s="757">
        <f t="shared" si="1"/>
        <v>251857.54223748291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1208.512809398894</v>
      </c>
      <c r="D24" s="640">
        <f>+landbouw!C8</f>
        <v>22.5</v>
      </c>
      <c r="E24" s="640">
        <f>+landbouw!D8</f>
        <v>103.5519500136277</v>
      </c>
      <c r="F24" s="640">
        <f>+landbouw!E8</f>
        <v>25.094418207535696</v>
      </c>
      <c r="G24" s="640">
        <f>+landbouw!F8</f>
        <v>4270.9151061327238</v>
      </c>
      <c r="H24" s="640">
        <f>+landbouw!G8</f>
        <v>0</v>
      </c>
      <c r="I24" s="640">
        <f>+landbouw!H8</f>
        <v>0</v>
      </c>
      <c r="J24" s="640">
        <f>+landbouw!I8</f>
        <v>0</v>
      </c>
      <c r="K24" s="640">
        <f>+landbouw!J8</f>
        <v>138.60877559958655</v>
      </c>
      <c r="L24" s="640">
        <f>+landbouw!K8</f>
        <v>0</v>
      </c>
      <c r="M24" s="640">
        <f>+landbouw!L8</f>
        <v>0</v>
      </c>
      <c r="N24" s="640">
        <f>+landbouw!M8</f>
        <v>0</v>
      </c>
      <c r="O24" s="640">
        <f>+landbouw!N8</f>
        <v>0</v>
      </c>
      <c r="P24" s="640">
        <f>+landbouw!O8</f>
        <v>0</v>
      </c>
      <c r="Q24" s="641">
        <f>+landbouw!P8</f>
        <v>0</v>
      </c>
      <c r="R24" s="643">
        <f>SUM(C24:Q24)</f>
        <v>5769.1830593523682</v>
      </c>
      <c r="S24" s="67"/>
    </row>
    <row r="25" spans="1:19" s="444" customFormat="1" ht="15" thickBot="1">
      <c r="A25" s="776" t="s">
        <v>806</v>
      </c>
      <c r="B25" s="939"/>
      <c r="C25" s="940">
        <f>IF(Onbekend_ele_kWh="---",0,Onbekend_ele_kWh)/1000+IF(REST_rest_ele_kWh="---",0,REST_rest_ele_kWh)/1000</f>
        <v>2098.0867078331403</v>
      </c>
      <c r="D25" s="940"/>
      <c r="E25" s="940">
        <f>IF(onbekend_gas_kWh="---",0,onbekend_gas_kWh)/1000+IF(REST_rest_gas_kWh="---",0,REST_rest_gas_kWh)/1000</f>
        <v>8173.59512681046</v>
      </c>
      <c r="F25" s="940"/>
      <c r="G25" s="940"/>
      <c r="H25" s="940"/>
      <c r="I25" s="940"/>
      <c r="J25" s="940"/>
      <c r="K25" s="940"/>
      <c r="L25" s="940"/>
      <c r="M25" s="940"/>
      <c r="N25" s="940"/>
      <c r="O25" s="940"/>
      <c r="P25" s="940"/>
      <c r="Q25" s="941"/>
      <c r="R25" s="643">
        <f>SUM(C25:Q25)</f>
        <v>10271.681834643601</v>
      </c>
      <c r="S25" s="67"/>
    </row>
    <row r="26" spans="1:19" s="444" customFormat="1" ht="15.75" thickBot="1">
      <c r="A26" s="648" t="s">
        <v>807</v>
      </c>
      <c r="B26" s="762"/>
      <c r="C26" s="757">
        <f>SUM(C24:C25)</f>
        <v>3306.5995172320345</v>
      </c>
      <c r="D26" s="757">
        <f t="shared" ref="D26:R26" si="2">SUM(D24:D25)</f>
        <v>22.5</v>
      </c>
      <c r="E26" s="757">
        <f t="shared" si="2"/>
        <v>8277.147076824087</v>
      </c>
      <c r="F26" s="757">
        <f t="shared" si="2"/>
        <v>25.094418207535696</v>
      </c>
      <c r="G26" s="757">
        <f t="shared" si="2"/>
        <v>4270.9151061327238</v>
      </c>
      <c r="H26" s="757">
        <f t="shared" si="2"/>
        <v>0</v>
      </c>
      <c r="I26" s="757">
        <f t="shared" si="2"/>
        <v>0</v>
      </c>
      <c r="J26" s="757">
        <f t="shared" si="2"/>
        <v>0</v>
      </c>
      <c r="K26" s="757">
        <f t="shared" si="2"/>
        <v>138.60877559958655</v>
      </c>
      <c r="L26" s="757">
        <f t="shared" si="2"/>
        <v>0</v>
      </c>
      <c r="M26" s="757">
        <f t="shared" si="2"/>
        <v>0</v>
      </c>
      <c r="N26" s="757">
        <f t="shared" si="2"/>
        <v>0</v>
      </c>
      <c r="O26" s="757">
        <f t="shared" si="2"/>
        <v>0</v>
      </c>
      <c r="P26" s="757">
        <f t="shared" si="2"/>
        <v>0</v>
      </c>
      <c r="Q26" s="757">
        <f t="shared" si="2"/>
        <v>0</v>
      </c>
      <c r="R26" s="757">
        <f t="shared" si="2"/>
        <v>16040.864893995969</v>
      </c>
      <c r="S26" s="67"/>
    </row>
    <row r="27" spans="1:19" s="444" customFormat="1" ht="17.25" thickTop="1" thickBot="1">
      <c r="A27" s="649" t="s">
        <v>109</v>
      </c>
      <c r="B27" s="749"/>
      <c r="C27" s="650">
        <f ca="1">C22+C16+C26</f>
        <v>216098.86259512039</v>
      </c>
      <c r="D27" s="650">
        <f t="shared" ref="D27:R27" ca="1" si="3">D22+D16+D26</f>
        <v>22.5</v>
      </c>
      <c r="E27" s="650">
        <f t="shared" ca="1" si="3"/>
        <v>282320.56365732494</v>
      </c>
      <c r="F27" s="650">
        <f t="shared" si="3"/>
        <v>9953.5948446403945</v>
      </c>
      <c r="G27" s="650">
        <f t="shared" ca="1" si="3"/>
        <v>153438.84732647421</v>
      </c>
      <c r="H27" s="650">
        <f t="shared" si="3"/>
        <v>207461.1565997263</v>
      </c>
      <c r="I27" s="650">
        <f t="shared" si="3"/>
        <v>32827.610236538188</v>
      </c>
      <c r="J27" s="650">
        <f t="shared" si="3"/>
        <v>0</v>
      </c>
      <c r="K27" s="650">
        <f t="shared" si="3"/>
        <v>2552.218896262149</v>
      </c>
      <c r="L27" s="650">
        <f t="shared" si="3"/>
        <v>0</v>
      </c>
      <c r="M27" s="650">
        <f t="shared" ca="1" si="3"/>
        <v>0</v>
      </c>
      <c r="N27" s="650">
        <f t="shared" si="3"/>
        <v>10862.63705301791</v>
      </c>
      <c r="O27" s="650">
        <f t="shared" ca="1" si="3"/>
        <v>31944.736270949055</v>
      </c>
      <c r="P27" s="650">
        <f t="shared" si="3"/>
        <v>614.3900000000001</v>
      </c>
      <c r="Q27" s="650">
        <f t="shared" si="3"/>
        <v>1658.8</v>
      </c>
      <c r="R27" s="650">
        <f t="shared" ca="1" si="3"/>
        <v>949755.91748005361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17882.850333040748</v>
      </c>
      <c r="D40" s="640">
        <f ca="1">tertiair!C20</f>
        <v>0</v>
      </c>
      <c r="E40" s="640">
        <f ca="1">tertiair!D20</f>
        <v>23021.309858069049</v>
      </c>
      <c r="F40" s="640">
        <f>tertiair!E20</f>
        <v>163.46563319379254</v>
      </c>
      <c r="G40" s="640">
        <f ca="1">tertiair!F20</f>
        <v>4220.547327014966</v>
      </c>
      <c r="H40" s="640">
        <f>tertiair!G20</f>
        <v>0</v>
      </c>
      <c r="I40" s="640">
        <f>tertiair!H20</f>
        <v>0</v>
      </c>
      <c r="J40" s="640">
        <f>tertiair!I20</f>
        <v>0</v>
      </c>
      <c r="K40" s="640">
        <f>tertiair!J20</f>
        <v>36.13714594305776</v>
      </c>
      <c r="L40" s="640">
        <f>tertiair!K20</f>
        <v>0</v>
      </c>
      <c r="M40" s="640">
        <f ca="1">tertiair!L20</f>
        <v>0</v>
      </c>
      <c r="N40" s="640">
        <f>tertiair!M20</f>
        <v>0</v>
      </c>
      <c r="O40" s="640">
        <f ca="1">tertiair!N20</f>
        <v>0</v>
      </c>
      <c r="P40" s="640">
        <f>tertiair!O20</f>
        <v>0</v>
      </c>
      <c r="Q40" s="717">
        <f>tertiair!P20</f>
        <v>0</v>
      </c>
      <c r="R40" s="795">
        <f t="shared" ca="1" si="4"/>
        <v>45324.310297261618</v>
      </c>
    </row>
    <row r="41" spans="1:18">
      <c r="A41" s="767" t="s">
        <v>214</v>
      </c>
      <c r="B41" s="774"/>
      <c r="C41" s="640">
        <f ca="1">huishoudens!B12</f>
        <v>13541.405168393576</v>
      </c>
      <c r="D41" s="640">
        <f ca="1">huishoudens!C12</f>
        <v>0</v>
      </c>
      <c r="E41" s="640">
        <f>huishoudens!D12</f>
        <v>28323.170151102615</v>
      </c>
      <c r="F41" s="640">
        <f>huishoudens!E12</f>
        <v>848.87473679773609</v>
      </c>
      <c r="G41" s="640">
        <f>huishoudens!F12</f>
        <v>30598.161914619654</v>
      </c>
      <c r="H41" s="640">
        <f>huishoudens!G12</f>
        <v>0</v>
      </c>
      <c r="I41" s="640">
        <f>huishoudens!H12</f>
        <v>0</v>
      </c>
      <c r="J41" s="640">
        <f>huishoudens!I12</f>
        <v>0</v>
      </c>
      <c r="K41" s="640">
        <f>huishoudens!J12</f>
        <v>768.28376096200873</v>
      </c>
      <c r="L41" s="640">
        <f>huishoudens!K12</f>
        <v>0</v>
      </c>
      <c r="M41" s="640">
        <f>huishoudens!L12</f>
        <v>0</v>
      </c>
      <c r="N41" s="640">
        <f>huishoudens!M12</f>
        <v>0</v>
      </c>
      <c r="O41" s="640">
        <f>huishoudens!N12</f>
        <v>0</v>
      </c>
      <c r="P41" s="640">
        <f>huishoudens!O12</f>
        <v>0</v>
      </c>
      <c r="Q41" s="717">
        <f>huishoudens!P12</f>
        <v>0</v>
      </c>
      <c r="R41" s="795">
        <f t="shared" ca="1" si="4"/>
        <v>74079.895731875571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13040.000384575051</v>
      </c>
      <c r="D43" s="640">
        <f ca="1">industrie!C22</f>
        <v>0</v>
      </c>
      <c r="E43" s="640">
        <f>industrie!D22</f>
        <v>4008.6759413609448</v>
      </c>
      <c r="F43" s="640">
        <f>industrie!E22</f>
        <v>1092.7330406022907</v>
      </c>
      <c r="G43" s="640">
        <f>industrie!F22</f>
        <v>5009.1286611965616</v>
      </c>
      <c r="H43" s="640">
        <f>industrie!G22</f>
        <v>0</v>
      </c>
      <c r="I43" s="640">
        <f>industrie!H22</f>
        <v>0</v>
      </c>
      <c r="J43" s="640">
        <f>industrie!I22</f>
        <v>0</v>
      </c>
      <c r="K43" s="640">
        <f>industrie!J22</f>
        <v>49.997075809480535</v>
      </c>
      <c r="L43" s="640">
        <f>industrie!K22</f>
        <v>0</v>
      </c>
      <c r="M43" s="640">
        <f>industrie!L22</f>
        <v>0</v>
      </c>
      <c r="N43" s="640">
        <f>industrie!M22</f>
        <v>0</v>
      </c>
      <c r="O43" s="640">
        <f>industrie!N22</f>
        <v>0</v>
      </c>
      <c r="P43" s="640">
        <f>industrie!O22</f>
        <v>0</v>
      </c>
      <c r="Q43" s="717">
        <f>industrie!P22</f>
        <v>0</v>
      </c>
      <c r="R43" s="794">
        <f t="shared" ca="1" si="4"/>
        <v>23200.535103544331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44464.25588600937</v>
      </c>
      <c r="D46" s="675">
        <f t="shared" ref="D46:Q46" ca="1" si="5">SUM(D39:D45)</f>
        <v>0</v>
      </c>
      <c r="E46" s="675">
        <f t="shared" ca="1" si="5"/>
        <v>55353.155950532608</v>
      </c>
      <c r="F46" s="675">
        <f t="shared" si="5"/>
        <v>2105.0734105938191</v>
      </c>
      <c r="G46" s="675">
        <f t="shared" ca="1" si="5"/>
        <v>39827.837902831183</v>
      </c>
      <c r="H46" s="675">
        <f t="shared" si="5"/>
        <v>0</v>
      </c>
      <c r="I46" s="675">
        <f t="shared" si="5"/>
        <v>0</v>
      </c>
      <c r="J46" s="675">
        <f t="shared" si="5"/>
        <v>0</v>
      </c>
      <c r="K46" s="675">
        <f t="shared" si="5"/>
        <v>854.41798271454695</v>
      </c>
      <c r="L46" s="675">
        <f t="shared" si="5"/>
        <v>0</v>
      </c>
      <c r="M46" s="675">
        <f t="shared" ca="1" si="5"/>
        <v>0</v>
      </c>
      <c r="N46" s="675">
        <f t="shared" si="5"/>
        <v>0</v>
      </c>
      <c r="O46" s="675">
        <f t="shared" ca="1" si="5"/>
        <v>0</v>
      </c>
      <c r="P46" s="675">
        <f t="shared" si="5"/>
        <v>0</v>
      </c>
      <c r="Q46" s="675">
        <f t="shared" si="5"/>
        <v>0</v>
      </c>
      <c r="R46" s="675">
        <f ca="1">SUM(R39:R45)</f>
        <v>142604.74113268152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3.0195996163851264</v>
      </c>
      <c r="D49" s="640">
        <f ca="1">transport!C58</f>
        <v>0</v>
      </c>
      <c r="E49" s="640">
        <f>transport!D58</f>
        <v>0</v>
      </c>
      <c r="F49" s="640">
        <f>transport!E58</f>
        <v>0</v>
      </c>
      <c r="G49" s="640">
        <f>transport!F58</f>
        <v>0</v>
      </c>
      <c r="H49" s="640">
        <f>transport!G58</f>
        <v>750.89541505420334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753.91501467058845</v>
      </c>
    </row>
    <row r="50" spans="1:18">
      <c r="A50" s="770" t="s">
        <v>296</v>
      </c>
      <c r="B50" s="780"/>
      <c r="C50" s="646">
        <f ca="1">transport!B18</f>
        <v>3.918199977891899</v>
      </c>
      <c r="D50" s="646">
        <f>transport!C18</f>
        <v>0</v>
      </c>
      <c r="E50" s="646">
        <f>transport!D18</f>
        <v>3.6141987285593355</v>
      </c>
      <c r="F50" s="646">
        <f>transport!E18</f>
        <v>148.69618620643936</v>
      </c>
      <c r="G50" s="646">
        <f>transport!F18</f>
        <v>0</v>
      </c>
      <c r="H50" s="646">
        <f>transport!G18</f>
        <v>54641.23339707272</v>
      </c>
      <c r="I50" s="646">
        <f>transport!H18</f>
        <v>8174.0749488980091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62971.536930883616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6.9377995942770259</v>
      </c>
      <c r="D52" s="675">
        <f t="shared" ref="D52:Q52" ca="1" si="6">SUM(D48:D51)</f>
        <v>0</v>
      </c>
      <c r="E52" s="675">
        <f t="shared" si="6"/>
        <v>3.6141987285593355</v>
      </c>
      <c r="F52" s="675">
        <f t="shared" si="6"/>
        <v>148.69618620643936</v>
      </c>
      <c r="G52" s="675">
        <f t="shared" si="6"/>
        <v>0</v>
      </c>
      <c r="H52" s="675">
        <f t="shared" si="6"/>
        <v>55392.128812126924</v>
      </c>
      <c r="I52" s="675">
        <f t="shared" si="6"/>
        <v>8174.0749488980091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63725.451945554203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252.56560760688606</v>
      </c>
      <c r="D54" s="646">
        <f ca="1">+landbouw!C12</f>
        <v>5.0500000000000007</v>
      </c>
      <c r="E54" s="646">
        <f>+landbouw!D12</f>
        <v>20.917493902752799</v>
      </c>
      <c r="F54" s="646">
        <f>+landbouw!E12</f>
        <v>5.6964329331106036</v>
      </c>
      <c r="G54" s="646">
        <f>+landbouw!F12</f>
        <v>1140.3343333374373</v>
      </c>
      <c r="H54" s="646">
        <f>+landbouw!G12</f>
        <v>0</v>
      </c>
      <c r="I54" s="646">
        <f>+landbouw!H12</f>
        <v>0</v>
      </c>
      <c r="J54" s="646">
        <f>+landbouw!I12</f>
        <v>0</v>
      </c>
      <c r="K54" s="646">
        <f>+landbouw!J12</f>
        <v>49.067506562253634</v>
      </c>
      <c r="L54" s="646">
        <f>+landbouw!K12</f>
        <v>0</v>
      </c>
      <c r="M54" s="646">
        <f>+landbouw!L12</f>
        <v>0</v>
      </c>
      <c r="N54" s="646">
        <f>+landbouw!M12</f>
        <v>0</v>
      </c>
      <c r="O54" s="646">
        <f>+landbouw!N12</f>
        <v>0</v>
      </c>
      <c r="P54" s="646">
        <f>+landbouw!O12</f>
        <v>0</v>
      </c>
      <c r="Q54" s="647">
        <f>+landbouw!P12</f>
        <v>0</v>
      </c>
      <c r="R54" s="674">
        <f ca="1">SUM(C54:Q54)</f>
        <v>1473.6313743424403</v>
      </c>
    </row>
    <row r="55" spans="1:18" ht="15" thickBot="1">
      <c r="A55" s="770" t="s">
        <v>806</v>
      </c>
      <c r="B55" s="780"/>
      <c r="C55" s="646">
        <f ca="1">C25*'EF ele_warmte'!B12</f>
        <v>438.4765639673933</v>
      </c>
      <c r="D55" s="646"/>
      <c r="E55" s="646">
        <f>E25*EF_CO2_aardgas</f>
        <v>1651.066215615713</v>
      </c>
      <c r="F55" s="646"/>
      <c r="G55" s="646"/>
      <c r="H55" s="646"/>
      <c r="I55" s="646"/>
      <c r="J55" s="646"/>
      <c r="K55" s="646"/>
      <c r="L55" s="646"/>
      <c r="M55" s="646"/>
      <c r="N55" s="646"/>
      <c r="O55" s="646"/>
      <c r="P55" s="646"/>
      <c r="Q55" s="647"/>
      <c r="R55" s="674">
        <f ca="1">SUM(C55:Q55)</f>
        <v>2089.5427795831065</v>
      </c>
    </row>
    <row r="56" spans="1:18" ht="15.75" thickBot="1">
      <c r="A56" s="768" t="s">
        <v>807</v>
      </c>
      <c r="B56" s="781"/>
      <c r="C56" s="675">
        <f ca="1">SUM(C54:C55)</f>
        <v>691.04217157427934</v>
      </c>
      <c r="D56" s="675">
        <f t="shared" ref="D56:Q56" ca="1" si="7">SUM(D54:D55)</f>
        <v>5.0500000000000007</v>
      </c>
      <c r="E56" s="675">
        <f t="shared" si="7"/>
        <v>1671.9837095184657</v>
      </c>
      <c r="F56" s="675">
        <f t="shared" si="7"/>
        <v>5.6964329331106036</v>
      </c>
      <c r="G56" s="675">
        <f t="shared" si="7"/>
        <v>1140.3343333374373</v>
      </c>
      <c r="H56" s="675">
        <f t="shared" si="7"/>
        <v>0</v>
      </c>
      <c r="I56" s="675">
        <f t="shared" si="7"/>
        <v>0</v>
      </c>
      <c r="J56" s="675">
        <f t="shared" si="7"/>
        <v>0</v>
      </c>
      <c r="K56" s="675">
        <f t="shared" si="7"/>
        <v>49.067506562253634</v>
      </c>
      <c r="L56" s="675">
        <f t="shared" si="7"/>
        <v>0</v>
      </c>
      <c r="M56" s="675">
        <f t="shared" si="7"/>
        <v>0</v>
      </c>
      <c r="N56" s="675">
        <f t="shared" si="7"/>
        <v>0</v>
      </c>
      <c r="O56" s="675">
        <f t="shared" si="7"/>
        <v>0</v>
      </c>
      <c r="P56" s="675">
        <f t="shared" si="7"/>
        <v>0</v>
      </c>
      <c r="Q56" s="676">
        <f t="shared" si="7"/>
        <v>0</v>
      </c>
      <c r="R56" s="677">
        <f ca="1">SUM(R54:R55)</f>
        <v>3563.1741539255468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45162.235857177926</v>
      </c>
      <c r="D61" s="683">
        <f t="shared" ref="D61:Q61" ca="1" si="8">D46+D52+D56</f>
        <v>5.0500000000000007</v>
      </c>
      <c r="E61" s="683">
        <f t="shared" ca="1" si="8"/>
        <v>57028.75385877963</v>
      </c>
      <c r="F61" s="683">
        <f t="shared" si="8"/>
        <v>2259.4660297333694</v>
      </c>
      <c r="G61" s="683">
        <f t="shared" ca="1" si="8"/>
        <v>40968.172236168619</v>
      </c>
      <c r="H61" s="683">
        <f t="shared" si="8"/>
        <v>55392.128812126924</v>
      </c>
      <c r="I61" s="683">
        <f t="shared" si="8"/>
        <v>8174.0749488980091</v>
      </c>
      <c r="J61" s="683">
        <f t="shared" si="8"/>
        <v>0</v>
      </c>
      <c r="K61" s="683">
        <f t="shared" si="8"/>
        <v>903.48548927680054</v>
      </c>
      <c r="L61" s="683">
        <f t="shared" si="8"/>
        <v>0</v>
      </c>
      <c r="M61" s="683">
        <f t="shared" ca="1" si="8"/>
        <v>0</v>
      </c>
      <c r="N61" s="683">
        <f t="shared" si="8"/>
        <v>0</v>
      </c>
      <c r="O61" s="683">
        <f t="shared" ca="1" si="8"/>
        <v>0</v>
      </c>
      <c r="P61" s="683">
        <f t="shared" si="8"/>
        <v>0</v>
      </c>
      <c r="Q61" s="683">
        <f t="shared" si="8"/>
        <v>0</v>
      </c>
      <c r="R61" s="683">
        <f ca="1">R46+R52+R56</f>
        <v>209893.36723216128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0.20898877168915608</v>
      </c>
      <c r="D63" s="726">
        <f t="shared" ca="1" si="9"/>
        <v>0.22444444444444447</v>
      </c>
      <c r="E63" s="946">
        <f t="shared" ca="1" si="9"/>
        <v>0.20199999999999999</v>
      </c>
      <c r="F63" s="726">
        <f t="shared" si="9"/>
        <v>0.22699999999999998</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11744.924327346993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4.5</v>
      </c>
      <c r="D76" s="956">
        <f>'lokale energieproductie'!C8</f>
        <v>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1.01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11744.924327346993</v>
      </c>
      <c r="C78" s="698">
        <f>SUM(C72:C77)</f>
        <v>4.5</v>
      </c>
      <c r="D78" s="699">
        <f t="shared" ref="D78:H78" si="10">SUM(D76:D77)</f>
        <v>5</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1.01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22.5</v>
      </c>
      <c r="D87" s="720">
        <f>'lokale energieproductie'!C17</f>
        <v>25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5.0500000000000007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22.5</v>
      </c>
      <c r="D90" s="698">
        <f t="shared" ref="D90:H90" si="12">SUM(D87:D89)</f>
        <v>25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5.0500000000000007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64794.893328215134</v>
      </c>
      <c r="C4" s="448">
        <f>huishoudens!C8</f>
        <v>0</v>
      </c>
      <c r="D4" s="448">
        <f>huishoudens!D8</f>
        <v>140213.71361931987</v>
      </c>
      <c r="E4" s="448">
        <f>huishoudens!E8</f>
        <v>3739.536285452582</v>
      </c>
      <c r="F4" s="448">
        <f>huishoudens!F8</f>
        <v>114599.85735812604</v>
      </c>
      <c r="G4" s="448">
        <f>huishoudens!G8</f>
        <v>0</v>
      </c>
      <c r="H4" s="448">
        <f>huishoudens!H8</f>
        <v>0</v>
      </c>
      <c r="I4" s="448">
        <f>huishoudens!I8</f>
        <v>0</v>
      </c>
      <c r="J4" s="448">
        <f>huishoudens!J8</f>
        <v>2170.2931100621718</v>
      </c>
      <c r="K4" s="448">
        <f>huishoudens!K8</f>
        <v>0</v>
      </c>
      <c r="L4" s="448">
        <f>huishoudens!L8</f>
        <v>0</v>
      </c>
      <c r="M4" s="448">
        <f>huishoudens!M8</f>
        <v>0</v>
      </c>
      <c r="N4" s="448">
        <f>huishoudens!N8</f>
        <v>23423.428359472968</v>
      </c>
      <c r="O4" s="448">
        <f>huishoudens!O8</f>
        <v>608.13666666666677</v>
      </c>
      <c r="P4" s="449">
        <f>huishoudens!P8</f>
        <v>1620.6666666666665</v>
      </c>
      <c r="Q4" s="450">
        <f>SUM(B4:P4)</f>
        <v>351170.52539398213</v>
      </c>
    </row>
    <row r="5" spans="1:17">
      <c r="A5" s="447" t="s">
        <v>149</v>
      </c>
      <c r="B5" s="448">
        <f ca="1">tertiair!B16</f>
        <v>84078.080270183214</v>
      </c>
      <c r="C5" s="448">
        <f ca="1">tertiair!C16</f>
        <v>0</v>
      </c>
      <c r="D5" s="448">
        <f ca="1">tertiair!D16</f>
        <v>113966.88048549034</v>
      </c>
      <c r="E5" s="448">
        <f>tertiair!E16</f>
        <v>720.11292155855745</v>
      </c>
      <c r="F5" s="448">
        <f ca="1">tertiair!F16</f>
        <v>15807.293359606614</v>
      </c>
      <c r="G5" s="448">
        <f>tertiair!G16</f>
        <v>0</v>
      </c>
      <c r="H5" s="448">
        <f>tertiair!H16</f>
        <v>0</v>
      </c>
      <c r="I5" s="448">
        <f>tertiair!I16</f>
        <v>0</v>
      </c>
      <c r="J5" s="448">
        <f>tertiair!J16</f>
        <v>102.08233317247955</v>
      </c>
      <c r="K5" s="448">
        <f>tertiair!K16</f>
        <v>0</v>
      </c>
      <c r="L5" s="448">
        <f ca="1">tertiair!L16</f>
        <v>0</v>
      </c>
      <c r="M5" s="448">
        <f>tertiair!M16</f>
        <v>0</v>
      </c>
      <c r="N5" s="448">
        <f ca="1">tertiair!N16</f>
        <v>5212.5893672367029</v>
      </c>
      <c r="O5" s="448">
        <f>tertiair!O16</f>
        <v>6.2533333333333339</v>
      </c>
      <c r="P5" s="449">
        <f>tertiair!P16</f>
        <v>38.133333333333333</v>
      </c>
      <c r="Q5" s="447">
        <f t="shared" ref="Q5:Q14" ca="1" si="0">SUM(B5:P5)</f>
        <v>219931.42540391456</v>
      </c>
    </row>
    <row r="6" spans="1:17">
      <c r="A6" s="447" t="s">
        <v>187</v>
      </c>
      <c r="B6" s="448">
        <f>'openbare verlichting'!B8</f>
        <v>1490.394</v>
      </c>
      <c r="C6" s="448"/>
      <c r="D6" s="448"/>
      <c r="E6" s="448"/>
      <c r="F6" s="448"/>
      <c r="G6" s="448"/>
      <c r="H6" s="448"/>
      <c r="I6" s="448"/>
      <c r="J6" s="448"/>
      <c r="K6" s="448"/>
      <c r="L6" s="448"/>
      <c r="M6" s="448"/>
      <c r="N6" s="448"/>
      <c r="O6" s="448"/>
      <c r="P6" s="449"/>
      <c r="Q6" s="447">
        <f t="shared" si="0"/>
        <v>1490.394</v>
      </c>
    </row>
    <row r="7" spans="1:17">
      <c r="A7" s="447" t="s">
        <v>105</v>
      </c>
      <c r="B7" s="448">
        <f>landbouw!B8</f>
        <v>1208.512809398894</v>
      </c>
      <c r="C7" s="448">
        <f>landbouw!C8</f>
        <v>22.5</v>
      </c>
      <c r="D7" s="448">
        <f>landbouw!D8</f>
        <v>103.5519500136277</v>
      </c>
      <c r="E7" s="448">
        <f>landbouw!E8</f>
        <v>25.094418207535696</v>
      </c>
      <c r="F7" s="448">
        <f>landbouw!F8</f>
        <v>4270.9151061327238</v>
      </c>
      <c r="G7" s="448">
        <f>landbouw!G8</f>
        <v>0</v>
      </c>
      <c r="H7" s="448">
        <f>landbouw!H8</f>
        <v>0</v>
      </c>
      <c r="I7" s="448">
        <f>landbouw!I8</f>
        <v>0</v>
      </c>
      <c r="J7" s="448">
        <f>landbouw!J8</f>
        <v>138.60877559958655</v>
      </c>
      <c r="K7" s="448">
        <f>landbouw!K8</f>
        <v>0</v>
      </c>
      <c r="L7" s="448">
        <f>landbouw!L8</f>
        <v>0</v>
      </c>
      <c r="M7" s="448">
        <f>landbouw!M8</f>
        <v>0</v>
      </c>
      <c r="N7" s="448">
        <f>landbouw!N8</f>
        <v>0</v>
      </c>
      <c r="O7" s="448">
        <f>landbouw!O8</f>
        <v>0</v>
      </c>
      <c r="P7" s="449">
        <f>landbouw!P8</f>
        <v>0</v>
      </c>
      <c r="Q7" s="447">
        <f t="shared" si="0"/>
        <v>5769.1830593523682</v>
      </c>
    </row>
    <row r="8" spans="1:17">
      <c r="A8" s="447" t="s">
        <v>614</v>
      </c>
      <c r="B8" s="448">
        <f>industrie!B18</f>
        <v>62395.698482645632</v>
      </c>
      <c r="C8" s="448">
        <f>industrie!C18</f>
        <v>0</v>
      </c>
      <c r="D8" s="448">
        <f>industrie!D18</f>
        <v>19844.930402776954</v>
      </c>
      <c r="E8" s="448">
        <f>industrie!E18</f>
        <v>4813.8019409792541</v>
      </c>
      <c r="F8" s="448">
        <f>industrie!F18</f>
        <v>18760.781502608843</v>
      </c>
      <c r="G8" s="448">
        <f>industrie!G18</f>
        <v>0</v>
      </c>
      <c r="H8" s="448">
        <f>industrie!H18</f>
        <v>0</v>
      </c>
      <c r="I8" s="448">
        <f>industrie!I18</f>
        <v>0</v>
      </c>
      <c r="J8" s="448">
        <f>industrie!J18</f>
        <v>141.23467742791112</v>
      </c>
      <c r="K8" s="448">
        <f>industrie!K18</f>
        <v>0</v>
      </c>
      <c r="L8" s="448">
        <f>industrie!L18</f>
        <v>0</v>
      </c>
      <c r="M8" s="448">
        <f>industrie!M18</f>
        <v>0</v>
      </c>
      <c r="N8" s="448">
        <f>industrie!N18</f>
        <v>3308.7185442393875</v>
      </c>
      <c r="O8" s="448">
        <f>industrie!O18</f>
        <v>0</v>
      </c>
      <c r="P8" s="449">
        <f>industrie!P18</f>
        <v>0</v>
      </c>
      <c r="Q8" s="447">
        <f t="shared" si="0"/>
        <v>109265.16555067798</v>
      </c>
    </row>
    <row r="9" spans="1:17" s="453" customFormat="1">
      <c r="A9" s="451" t="s">
        <v>555</v>
      </c>
      <c r="B9" s="452">
        <f>transport!B14</f>
        <v>18.748375552537901</v>
      </c>
      <c r="C9" s="452">
        <f>transport!C14</f>
        <v>0</v>
      </c>
      <c r="D9" s="452">
        <f>transport!D14</f>
        <v>17.892072913660076</v>
      </c>
      <c r="E9" s="452">
        <f>transport!E14</f>
        <v>655.04927844246413</v>
      </c>
      <c r="F9" s="452">
        <f>transport!F14</f>
        <v>0</v>
      </c>
      <c r="G9" s="452">
        <f>transport!G14</f>
        <v>204648.81422124614</v>
      </c>
      <c r="H9" s="452">
        <f>transport!H14</f>
        <v>32827.610236538188</v>
      </c>
      <c r="I9" s="452">
        <f>transport!I14</f>
        <v>0</v>
      </c>
      <c r="J9" s="452">
        <f>transport!J14</f>
        <v>0</v>
      </c>
      <c r="K9" s="452">
        <f>transport!K14</f>
        <v>0</v>
      </c>
      <c r="L9" s="452">
        <f>transport!L14</f>
        <v>0</v>
      </c>
      <c r="M9" s="452">
        <f>transport!M14</f>
        <v>10736.529257653085</v>
      </c>
      <c r="N9" s="452">
        <f>transport!N14</f>
        <v>0</v>
      </c>
      <c r="O9" s="452">
        <f>transport!O14</f>
        <v>0</v>
      </c>
      <c r="P9" s="452">
        <f>transport!P14</f>
        <v>0</v>
      </c>
      <c r="Q9" s="451">
        <f>SUM(B9:P9)</f>
        <v>248904.64344234607</v>
      </c>
    </row>
    <row r="10" spans="1:17">
      <c r="A10" s="447" t="s">
        <v>545</v>
      </c>
      <c r="B10" s="448">
        <f>transport!B54</f>
        <v>14.448621291848122</v>
      </c>
      <c r="C10" s="448">
        <f>transport!C54</f>
        <v>0</v>
      </c>
      <c r="D10" s="448">
        <f>transport!D54</f>
        <v>0</v>
      </c>
      <c r="E10" s="448">
        <f>transport!E54</f>
        <v>0</v>
      </c>
      <c r="F10" s="448">
        <f>transport!F54</f>
        <v>0</v>
      </c>
      <c r="G10" s="448">
        <f>transport!G54</f>
        <v>2812.3423784801621</v>
      </c>
      <c r="H10" s="448">
        <f>transport!H54</f>
        <v>0</v>
      </c>
      <c r="I10" s="448">
        <f>transport!I54</f>
        <v>0</v>
      </c>
      <c r="J10" s="448">
        <f>transport!J54</f>
        <v>0</v>
      </c>
      <c r="K10" s="448">
        <f>transport!K54</f>
        <v>0</v>
      </c>
      <c r="L10" s="448">
        <f>transport!L54</f>
        <v>0</v>
      </c>
      <c r="M10" s="448">
        <f>transport!M54</f>
        <v>126.10779536482488</v>
      </c>
      <c r="N10" s="448">
        <f>transport!N54</f>
        <v>0</v>
      </c>
      <c r="O10" s="448">
        <f>transport!O54</f>
        <v>0</v>
      </c>
      <c r="P10" s="449">
        <f>transport!P54</f>
        <v>0</v>
      </c>
      <c r="Q10" s="447">
        <f t="shared" si="0"/>
        <v>2952.8987951368354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2098.0867078331403</v>
      </c>
      <c r="C14" s="455"/>
      <c r="D14" s="455">
        <f>'SEAP template'!E25</f>
        <v>8173.59512681046</v>
      </c>
      <c r="E14" s="455"/>
      <c r="F14" s="455"/>
      <c r="G14" s="455"/>
      <c r="H14" s="455"/>
      <c r="I14" s="455"/>
      <c r="J14" s="455"/>
      <c r="K14" s="455"/>
      <c r="L14" s="455"/>
      <c r="M14" s="455"/>
      <c r="N14" s="455"/>
      <c r="O14" s="455"/>
      <c r="P14" s="456"/>
      <c r="Q14" s="447">
        <f t="shared" si="0"/>
        <v>10271.681834643601</v>
      </c>
    </row>
    <row r="15" spans="1:17" s="460" customFormat="1">
      <c r="A15" s="457" t="s">
        <v>549</v>
      </c>
      <c r="B15" s="458">
        <f ca="1">SUM(B4:B14)</f>
        <v>216098.86259512042</v>
      </c>
      <c r="C15" s="458">
        <f t="shared" ref="C15:Q15" ca="1" si="1">SUM(C4:C14)</f>
        <v>22.5</v>
      </c>
      <c r="D15" s="458">
        <f t="shared" ca="1" si="1"/>
        <v>282320.56365732494</v>
      </c>
      <c r="E15" s="458">
        <f t="shared" si="1"/>
        <v>9953.5948446403927</v>
      </c>
      <c r="F15" s="458">
        <f t="shared" ca="1" si="1"/>
        <v>153438.84732647424</v>
      </c>
      <c r="G15" s="458">
        <f t="shared" si="1"/>
        <v>207461.1565997263</v>
      </c>
      <c r="H15" s="458">
        <f t="shared" si="1"/>
        <v>32827.610236538188</v>
      </c>
      <c r="I15" s="458">
        <f t="shared" si="1"/>
        <v>0</v>
      </c>
      <c r="J15" s="458">
        <f t="shared" si="1"/>
        <v>2552.218896262149</v>
      </c>
      <c r="K15" s="458">
        <f t="shared" si="1"/>
        <v>0</v>
      </c>
      <c r="L15" s="458">
        <f t="shared" ca="1" si="1"/>
        <v>0</v>
      </c>
      <c r="M15" s="458">
        <f t="shared" si="1"/>
        <v>10862.63705301791</v>
      </c>
      <c r="N15" s="458">
        <f t="shared" ca="1" si="1"/>
        <v>31944.736270949055</v>
      </c>
      <c r="O15" s="458">
        <f t="shared" si="1"/>
        <v>614.3900000000001</v>
      </c>
      <c r="P15" s="458">
        <f t="shared" si="1"/>
        <v>1658.8</v>
      </c>
      <c r="Q15" s="458">
        <f t="shared" ca="1" si="1"/>
        <v>949755.91748005338</v>
      </c>
    </row>
    <row r="17" spans="1:17">
      <c r="A17" s="461" t="s">
        <v>550</v>
      </c>
      <c r="B17" s="731">
        <f ca="1">huishoudens!B10</f>
        <v>0.20898877168915608</v>
      </c>
      <c r="C17" s="731">
        <f ca="1">huishoudens!C10</f>
        <v>0.22444444444444447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13541.405168393576</v>
      </c>
      <c r="C22" s="448">
        <f t="shared" ref="C22:C32" ca="1" si="3">C4*$C$17</f>
        <v>0</v>
      </c>
      <c r="D22" s="448">
        <f t="shared" ref="D22:D32" si="4">D4*$D$17</f>
        <v>28323.170151102615</v>
      </c>
      <c r="E22" s="448">
        <f t="shared" ref="E22:E32" si="5">E4*$E$17</f>
        <v>848.87473679773609</v>
      </c>
      <c r="F22" s="448">
        <f t="shared" ref="F22:F32" si="6">F4*$F$17</f>
        <v>30598.161914619654</v>
      </c>
      <c r="G22" s="448">
        <f t="shared" ref="G22:G32" si="7">G4*$G$17</f>
        <v>0</v>
      </c>
      <c r="H22" s="448">
        <f t="shared" ref="H22:H32" si="8">H4*$H$17</f>
        <v>0</v>
      </c>
      <c r="I22" s="448">
        <f t="shared" ref="I22:I32" si="9">I4*$I$17</f>
        <v>0</v>
      </c>
      <c r="J22" s="448">
        <f t="shared" ref="J22:J32" si="10">J4*$J$17</f>
        <v>768.28376096200873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74079.895731875571</v>
      </c>
    </row>
    <row r="23" spans="1:17">
      <c r="A23" s="447" t="s">
        <v>149</v>
      </c>
      <c r="B23" s="448">
        <f t="shared" ca="1" si="2"/>
        <v>17571.374721647859</v>
      </c>
      <c r="C23" s="448">
        <f t="shared" ca="1" si="3"/>
        <v>0</v>
      </c>
      <c r="D23" s="448">
        <f t="shared" ca="1" si="4"/>
        <v>23021.309858069049</v>
      </c>
      <c r="E23" s="448">
        <f t="shared" si="5"/>
        <v>163.46563319379254</v>
      </c>
      <c r="F23" s="448">
        <f t="shared" ca="1" si="6"/>
        <v>4220.547327014966</v>
      </c>
      <c r="G23" s="448">
        <f t="shared" si="7"/>
        <v>0</v>
      </c>
      <c r="H23" s="448">
        <f t="shared" si="8"/>
        <v>0</v>
      </c>
      <c r="I23" s="448">
        <f t="shared" si="9"/>
        <v>0</v>
      </c>
      <c r="J23" s="448">
        <f t="shared" si="10"/>
        <v>36.13714594305776</v>
      </c>
      <c r="K23" s="448">
        <f t="shared" si="11"/>
        <v>0</v>
      </c>
      <c r="L23" s="448">
        <f t="shared" ca="1" si="12"/>
        <v>0</v>
      </c>
      <c r="M23" s="448">
        <f t="shared" si="13"/>
        <v>0</v>
      </c>
      <c r="N23" s="448">
        <f t="shared" ca="1" si="14"/>
        <v>0</v>
      </c>
      <c r="O23" s="448">
        <f t="shared" si="15"/>
        <v>0</v>
      </c>
      <c r="P23" s="449">
        <f t="shared" si="16"/>
        <v>0</v>
      </c>
      <c r="Q23" s="447">
        <f t="shared" ref="Q23:Q32" ca="1" si="17">SUM(B23:P23)</f>
        <v>45012.834685868729</v>
      </c>
    </row>
    <row r="24" spans="1:17">
      <c r="A24" s="447" t="s">
        <v>187</v>
      </c>
      <c r="B24" s="448">
        <f t="shared" ca="1" si="2"/>
        <v>311.47561139288808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311.47561139288808</v>
      </c>
    </row>
    <row r="25" spans="1:17">
      <c r="A25" s="447" t="s">
        <v>105</v>
      </c>
      <c r="B25" s="448">
        <f t="shared" ca="1" si="2"/>
        <v>252.56560760688606</v>
      </c>
      <c r="C25" s="448">
        <f t="shared" ca="1" si="3"/>
        <v>5.0500000000000007</v>
      </c>
      <c r="D25" s="448">
        <f t="shared" si="4"/>
        <v>20.917493902752799</v>
      </c>
      <c r="E25" s="448">
        <f t="shared" si="5"/>
        <v>5.6964329331106036</v>
      </c>
      <c r="F25" s="448">
        <f t="shared" si="6"/>
        <v>1140.3343333374373</v>
      </c>
      <c r="G25" s="448">
        <f t="shared" si="7"/>
        <v>0</v>
      </c>
      <c r="H25" s="448">
        <f t="shared" si="8"/>
        <v>0</v>
      </c>
      <c r="I25" s="448">
        <f t="shared" si="9"/>
        <v>0</v>
      </c>
      <c r="J25" s="448">
        <f t="shared" si="10"/>
        <v>49.067506562253634</v>
      </c>
      <c r="K25" s="448">
        <f t="shared" si="11"/>
        <v>0</v>
      </c>
      <c r="L25" s="448">
        <f t="shared" si="12"/>
        <v>0</v>
      </c>
      <c r="M25" s="448">
        <f t="shared" si="13"/>
        <v>0</v>
      </c>
      <c r="N25" s="448">
        <f t="shared" si="14"/>
        <v>0</v>
      </c>
      <c r="O25" s="448">
        <f t="shared" si="15"/>
        <v>0</v>
      </c>
      <c r="P25" s="449">
        <f t="shared" si="16"/>
        <v>0</v>
      </c>
      <c r="Q25" s="447">
        <f t="shared" ca="1" si="17"/>
        <v>1473.6313743424403</v>
      </c>
    </row>
    <row r="26" spans="1:17">
      <c r="A26" s="447" t="s">
        <v>614</v>
      </c>
      <c r="B26" s="448">
        <f t="shared" ca="1" si="2"/>
        <v>13040.000384575051</v>
      </c>
      <c r="C26" s="448">
        <f t="shared" ca="1" si="3"/>
        <v>0</v>
      </c>
      <c r="D26" s="448">
        <f t="shared" si="4"/>
        <v>4008.6759413609448</v>
      </c>
      <c r="E26" s="448">
        <f t="shared" si="5"/>
        <v>1092.7330406022907</v>
      </c>
      <c r="F26" s="448">
        <f t="shared" si="6"/>
        <v>5009.1286611965616</v>
      </c>
      <c r="G26" s="448">
        <f t="shared" si="7"/>
        <v>0</v>
      </c>
      <c r="H26" s="448">
        <f t="shared" si="8"/>
        <v>0</v>
      </c>
      <c r="I26" s="448">
        <f t="shared" si="9"/>
        <v>0</v>
      </c>
      <c r="J26" s="448">
        <f t="shared" si="10"/>
        <v>49.997075809480535</v>
      </c>
      <c r="K26" s="448">
        <f t="shared" si="11"/>
        <v>0</v>
      </c>
      <c r="L26" s="448">
        <f t="shared" si="12"/>
        <v>0</v>
      </c>
      <c r="M26" s="448">
        <f t="shared" si="13"/>
        <v>0</v>
      </c>
      <c r="N26" s="448">
        <f t="shared" si="14"/>
        <v>0</v>
      </c>
      <c r="O26" s="448">
        <f t="shared" si="15"/>
        <v>0</v>
      </c>
      <c r="P26" s="449">
        <f t="shared" si="16"/>
        <v>0</v>
      </c>
      <c r="Q26" s="447">
        <f t="shared" ca="1" si="17"/>
        <v>23200.535103544331</v>
      </c>
    </row>
    <row r="27" spans="1:17" s="453" customFormat="1">
      <c r="A27" s="451" t="s">
        <v>555</v>
      </c>
      <c r="B27" s="725">
        <f t="shared" ca="1" si="2"/>
        <v>3.918199977891899</v>
      </c>
      <c r="C27" s="452">
        <f t="shared" ca="1" si="3"/>
        <v>0</v>
      </c>
      <c r="D27" s="452">
        <f t="shared" si="4"/>
        <v>3.6141987285593355</v>
      </c>
      <c r="E27" s="452">
        <f t="shared" si="5"/>
        <v>148.69618620643936</v>
      </c>
      <c r="F27" s="452">
        <f t="shared" si="6"/>
        <v>0</v>
      </c>
      <c r="G27" s="452">
        <f t="shared" si="7"/>
        <v>54641.23339707272</v>
      </c>
      <c r="H27" s="452">
        <f t="shared" si="8"/>
        <v>8174.0749488980091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62971.536930883616</v>
      </c>
    </row>
    <row r="28" spans="1:17">
      <c r="A28" s="447" t="s">
        <v>545</v>
      </c>
      <c r="B28" s="448">
        <f t="shared" ca="1" si="2"/>
        <v>3.0195996163851264</v>
      </c>
      <c r="C28" s="448">
        <f t="shared" ca="1" si="3"/>
        <v>0</v>
      </c>
      <c r="D28" s="448">
        <f t="shared" si="4"/>
        <v>0</v>
      </c>
      <c r="E28" s="448">
        <f t="shared" si="5"/>
        <v>0</v>
      </c>
      <c r="F28" s="448">
        <f t="shared" si="6"/>
        <v>0</v>
      </c>
      <c r="G28" s="448">
        <f t="shared" si="7"/>
        <v>750.89541505420334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753.91501467058845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438.4765639673933</v>
      </c>
      <c r="C32" s="448">
        <f t="shared" ca="1" si="3"/>
        <v>0</v>
      </c>
      <c r="D32" s="448">
        <f t="shared" si="4"/>
        <v>1651.066215615713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2089.5427795831065</v>
      </c>
    </row>
    <row r="33" spans="1:17" s="460" customFormat="1">
      <c r="A33" s="457" t="s">
        <v>549</v>
      </c>
      <c r="B33" s="458">
        <f ca="1">SUM(B22:B32)</f>
        <v>45162.235857177919</v>
      </c>
      <c r="C33" s="458">
        <f t="shared" ref="C33:Q33" ca="1" si="18">SUM(C22:C32)</f>
        <v>5.0500000000000007</v>
      </c>
      <c r="D33" s="458">
        <f t="shared" ca="1" si="18"/>
        <v>57028.75385877963</v>
      </c>
      <c r="E33" s="458">
        <f t="shared" si="18"/>
        <v>2259.4660297333694</v>
      </c>
      <c r="F33" s="458">
        <f t="shared" ca="1" si="18"/>
        <v>40968.172236168619</v>
      </c>
      <c r="G33" s="458">
        <f t="shared" si="18"/>
        <v>55392.128812126924</v>
      </c>
      <c r="H33" s="458">
        <f t="shared" si="18"/>
        <v>8174.0749488980091</v>
      </c>
      <c r="I33" s="458">
        <f t="shared" si="18"/>
        <v>0</v>
      </c>
      <c r="J33" s="458">
        <f t="shared" si="18"/>
        <v>903.48548927680054</v>
      </c>
      <c r="K33" s="458">
        <f t="shared" si="18"/>
        <v>0</v>
      </c>
      <c r="L33" s="458">
        <f t="shared" ca="1" si="18"/>
        <v>0</v>
      </c>
      <c r="M33" s="458">
        <f t="shared" si="18"/>
        <v>0</v>
      </c>
      <c r="N33" s="458">
        <f t="shared" ca="1" si="18"/>
        <v>0</v>
      </c>
      <c r="O33" s="458">
        <f t="shared" si="18"/>
        <v>0</v>
      </c>
      <c r="P33" s="458">
        <f t="shared" si="18"/>
        <v>0</v>
      </c>
      <c r="Q33" s="458">
        <f t="shared" ca="1" si="18"/>
        <v>209893.36723216128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11744.924327346993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4.5</v>
      </c>
      <c r="D8" s="982">
        <f>'SEAP template'!D76</f>
        <v>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1.01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11744.924327346993</v>
      </c>
      <c r="C10" s="986">
        <f>SUM(C4:C9)</f>
        <v>4.5</v>
      </c>
      <c r="D10" s="986">
        <f t="shared" ref="D10:H10" si="0">SUM(D8:D9)</f>
        <v>5</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1.01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0.20898877168915608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22.5</v>
      </c>
      <c r="D17" s="983">
        <f>'SEAP template'!D87</f>
        <v>25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5.0500000000000007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22.5</v>
      </c>
      <c r="D20" s="986">
        <f t="shared" ref="D20:H20" si="2">SUM(D17:D19)</f>
        <v>25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5.0500000000000007</v>
      </c>
    </row>
    <row r="22" spans="1:16">
      <c r="A22" s="461" t="s">
        <v>829</v>
      </c>
      <c r="B22" s="731" t="s">
        <v>823</v>
      </c>
      <c r="C22" s="731">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0.20898877168915608</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2</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38.133333333333333</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2022-07-26T11:54:20Z</dcterms:modified>
</cp:coreProperties>
</file>