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6725E5D-4AE8-4C41-B920-151E1945680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<sst xmlns="http://schemas.openxmlformats.org/spreadsheetml/2006/main" count="2441" uniqueCount="908">
  <si>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</si>
  <si>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</si>
  <si>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</si>
  <si>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</si>
  <si>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</si>
  <si>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</si>
  <si>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</si>
  <si>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</si>
  <si>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</si>
  <si>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</si>
  <si>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</si>
  <si>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</si>
  <si>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</si>
  <si>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</si>
  <si>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</si>
  <si>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</si>
  <si>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</si>
  <si>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</si>
  <si>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</si>
  <si>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</si>
  <si>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</si>
  <si>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</si>
  <si>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</si>
  <si>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</si>
  <si>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</si>
  <si>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</si>
  <si>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</si>
  <si>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</si>
  <si>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</si>
  <si>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</si>
  <si>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</si>
  <si>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</si>
  <si>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</si>
  <si>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</si>
  <si>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</si>
  <si>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</si>
  <si>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</si>
  <si>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</si>
  <si>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</si>
  <si>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</si>
  <si>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</si>
  <si>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</si>
  <si>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</si>
  <si>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</si>
  <si>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</si>
  <si>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</si>
  <si>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</si>
  <si>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</si>
  <si>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</si>
  <si>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</si>
  <si>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</si>
  <si>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</si>
  <si>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</si>
  <si>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</si>
  <si>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</si>
  <si>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</si>
  <si>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</si>
  <si>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</si>
  <si>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</si>
  <si>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</si>
  <si>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</si>
  <si>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</si>
  <si>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</si>
  <si>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</si>
  <si>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</si>
  <si>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</si>
  <si>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</si>
  <si>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</si>
  <si>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</si>
  <si>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</si>
  <si>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</si>
  <si>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</si>
  <si>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</si>
  <si>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</si>
  <si>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</si>
  <si>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</si>
  <si>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</si>
  <si>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</si>
  <si>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</si>
  <si>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</si>
  <si>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</si>
  <si>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</si>
  <si>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</si>
  <si>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</si>
  <si>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</si>
  <si>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</si>
  <si>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</si>
  <si>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</si>
  <si>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</si>
  <si>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</si>
  <si>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</si>
  <si>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</si>
  <si>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</si>
  <si>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</si>
  <si>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</si>
  <si>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</si>
  <si>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</si>
  <si>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</si>
  <si>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</si>
  <si>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</si>
  <si>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</si>
  <si>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</si>
  <si>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</si>
  <si>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</si>
  <si>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</si>
  <si>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</si>
  <si>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</si>
  <si>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</si>
  <si>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</si>
  <si>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</si>
  <si>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</si>
  <si>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</si>
  <si>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</si>
  <si>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</si>
  <si>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</si>
  <si>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</si>
  <si>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</si>
  <si>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</si>
  <si>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</si>
  <si>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</si>
  <si>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</si>
  <si>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</si>
  <si>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</si>
  <si>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</si>
  <si>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</si>
  <si>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</si>
  <si>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</si>
  <si>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</si>
  <si>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</si>
  <si>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</si>
  <si>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</si>
  <si>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</si>
  <si>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</si>
  <si>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</si>
  <si>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</si>
  <si>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</si>
  <si>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</si>
  <si>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</si>
  <si>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</si>
  <si>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</si>
  <si>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</si>
  <si>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</si>
  <si>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</si>
  <si>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</si>
  <si>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</si>
  <si>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</si>
  <si>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</si>
  <si>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</si>
  <si>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</si>
  <si>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</si>
  <si>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</si>
  <si>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</si>
  <si>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</si>
  <si>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</si>
  <si>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</si>
  <si>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</si>
  <si>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</si>
  <si>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</si>
  <si>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</si>
  <si>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</si>
  <si>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</si>
  <si>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</si>
  <si>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</si>
  <si>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</si>
  <si>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</si>
  <si>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</si>
  <si>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</si>
  <si>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</si>
  <si>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</si>
  <si>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</si>
  <si>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</si>
  <si>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</si>
  <si>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</si>
  <si>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</si>
  <si>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</si>
  <si>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</si>
  <si>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</si>
  <si>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</si>
  <si>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</si>
  <si>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</si>
  <si>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</si>
  <si>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</si>
  <si>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</si>
  <si>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</si>
  <si>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</si>
  <si>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</si>
  <si>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</si>
  <si>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</si>
  <si>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</si>
  <si>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</si>
  <si>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</si>
  <si>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</si>
  <si>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</si>
  <si>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</si>
  <si>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</si>
  <si>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</si>
  <si>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</si>
  <si>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</si>
  <si>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</si>
  <si>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</si>
  <si>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</si>
  <si>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</si>
  <si>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</si>
  <si>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</si>
  <si>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</si>
  <si>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</si>
  <si>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</si>
  <si>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</si>
  <si>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</si>
  <si>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</si>
  <si>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</si>
  <si>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</si>
  <si>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</si>
  <si>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</si>
  <si>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</si>
  <si>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</si>
  <si>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</si>
  <si>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</si>
  <si>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</si>
  <si>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</si>
  <si>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</si>
  <si>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</si>
  <si>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</si>
  <si>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</si>
  <si>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</si>
  <si>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</si>
  <si>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</si>
  <si>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</si>
  <si>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</si>
  <si>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</si>
  <si>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</si>
  <si>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</si>
  <si>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</si>
  <si>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</si>
  <si>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</si>
  <si>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</si>
  <si>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</si>
  <si>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</si>
  <si>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</si>
  <si>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</si>
  <si>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</si>
  <si>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</si>
  <si>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</si>
  <si>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</si>
  <si>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</si>
  <si>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</si>
  <si>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</si>
  <si>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</si>
  <si>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</si>
  <si>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</si>
  <si>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</si>
  <si>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</si>
  <si>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</si>
  <si>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</si>
  <si>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</si>
  <si>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</si>
  <si>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</si>
  <si>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</si>
  <si>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</si>
  <si>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</si>
  <si>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</si>
  <si>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</si>
  <si>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</si>
  <si>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</si>
  <si>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</si>
  <si>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</si>
  <si>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</si>
  <si>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</si>
  <si>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</si>
  <si>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</si>
  <si>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</si>
  <si>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</si>
  <si>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</si>
  <si>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</si>
  <si>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</si>
  <si>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</si>
  <si>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</si>
  <si>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</si>
  <si>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</si>
  <si>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</si>
  <si>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</si>
  <si>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</si>
  <si>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</si>
  <si>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</si>
  <si>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</si>
  <si>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</si>
  <si>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</si>
  <si>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</si>
  <si>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</si>
  <si>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</si>
  <si>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</si>
  <si>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</si>
  <si>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</si>
  <si>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</si>
  <si>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</si>
  <si>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</si>
  <si>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</si>
  <si>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</si>
  <si>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</si>
  <si>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</si>
  <si>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</si>
  <si>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</si>
  <si>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</si>
  <si>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</si>
  <si>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</si>
  <si>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</si>
  <si>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</si>
  <si>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</si>
  <si>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</si>
  <si>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</si>
  <si>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</si>
  <si>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</si>
  <si>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</si>
  <si>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</si>
  <si>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</si>
  <si>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</si>
  <si>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</si>
  <si>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</si>
  <si>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</si>
  <si>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</si>
  <si>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</si>
  <si>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</si>
  <si>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</si>
  <si>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</si>
  <si>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</si>
  <si>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</si>
  <si>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</si>
  <si>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</si>
  <si>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</si>
  <si>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</si>
  <si>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</si>
  <si>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</si>
  <si>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</si>
  <si>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</si>
  <si>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</si>
  <si>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</si>
  <si>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</si>
  <si>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</si>
  <si>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</si>
  <si>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</si>
  <si>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</si>
  <si>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</si>
  <si>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</si>
  <si>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</si>
  <si>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</si>
  <si>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</si>
  <si>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</si>
  <si>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</si>
  <si>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</si>
  <si>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</si>
  <si>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</si>
  <si>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</si>
  <si>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</si>
  <si>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</si>
  <si>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</si>
  <si>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</si>
  <si>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</si>
  <si>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</si>
  <si>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</si>
  <si>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</si>
  <si>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</si>
  <si>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</si>
  <si>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</si>
  <si>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</si>
  <si>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</si>
  <si>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</si>
  <si>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</si>
  <si>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</si>
  <si>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</si>
  <si>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</si>
  <si>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</si>
  <si>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</si>
  <si>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</si>
  <si>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</si>
  <si>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</si>
  <si>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</si>
  <si>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</si>
  <si>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</si>
  <si>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</si>
  <si>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</si>
  <si>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</si>
  <si>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</si>
  <si>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</si>
  <si>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</si>
  <si>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</si>
  <si>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</si>
  <si>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</si>
  <si>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</si>
  <si>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</si>
  <si>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</si>
  <si>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</si>
  <si>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</si>
  <si>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</si>
  <si>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</si>
  <si>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</si>
  <si>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</si>
  <si>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</si>
  <si>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</si>
  <si>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</si>
  <si>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</si>
  <si>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</si>
  <si>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</si>
  <si>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</si>
  <si>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</si>
  <si>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</si>
  <si>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</si>
  <si>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</si>
  <si>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</si>
  <si>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</si>
  <si>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</si>
  <si>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</si>
  <si>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</si>
  <si>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</si>
  <si>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</si>
  <si>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</si>
  <si>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</si>
  <si>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</si>
  <si>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</si>
  <si>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</si>
  <si>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</si>
  <si>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</si>
  <si>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</si>
  <si>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</si>
  <si>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</si>
  <si>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</si>
  <si>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</si>
  <si>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</si>
  <si>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</si>
  <si>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</si>
  <si>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</si>
  <si>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</si>
  <si>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</si>
  <si>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</si>
  <si>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</si>
  <si>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</si>
  <si>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</si>
  <si>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</si>
  <si>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</si>
  <si>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</si>
  <si>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</si>
  <si>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</si>
  <si>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</si>
  <si>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</si>
  <si>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</si>
  <si>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</si>
  <si>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</si>
  <si>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</si>
  <si>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</si>
  <si>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</si>
  <si>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</si>
  <si>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</si>
  <si>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</si>
  <si>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</si>
  <si>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</si>
  <si>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</si>
  <si>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</si>
  <si>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</si>
  <si>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</si>
  <si>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</si>
  <si>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</si>
  <si>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</si>
  <si>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</si>
  <si>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</si>
  <si>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</si>
  <si>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</si>
  <si>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</si>
  <si>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</si>
  <si>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</si>
  <si>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</si>
  <si>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</si>
  <si>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</si>
  <si>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</si>
  <si>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</si>
  <si>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</si>
  <si>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</si>
  <si>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</si>
  <si>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</si>
  <si>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</si>
  <si>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</si>
  <si>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</si>
  <si>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</si>
  <si>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</si>
  <si>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</si>
  <si>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</si>
  <si>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</si>
  <si>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</si>
  <si>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</si>
  <si>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</si>
  <si>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</si>
  <si>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</si>
  <si>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</si>
  <si>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</si>
  <si>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</si>
  <si>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</si>
  <si>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</si>
  <si>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</si>
  <si>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</si>
  <si>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</si>
  <si>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</si>
  <si>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</si>
  <si>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</si>
  <si>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</si>
  <si>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</si>
  <si>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</si>
  <si>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</si>
  <si>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</si>
  <si>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</si>
  <si>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</si>
  <si>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</si>
  <si>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</si>
  <si>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</si>
  <si>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</si>
  <si>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</si>
  <si>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</si>
  <si>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</si>
  <si>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</si>
  <si>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</si>
  <si>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</si>
  <si>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</si>
  <si>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</si>
  <si>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</si>
  <si>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</si>
  <si>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</si>
  <si>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</si>
  <si>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</si>
  <si>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</si>
  <si>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</si>
  <si>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</si>
  <si>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</si>
  <si>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</si>
  <si>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</si>
  <si>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</si>
  <si>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</si>
  <si>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</si>
  <si>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</si>
  <si>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</si>
  <si>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</si>
  <si>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</si>
  <si>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</si>
  <si>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</si>
  <si>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</si>
  <si>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</si>
  <si>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</si>
  <si>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</si>
  <si>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</si>
  <si>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</si>
  <si>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</si>
  <si>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</si>
  <si>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</si>
  <si>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</si>
  <si>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</si>
  <si>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</si>
  <si>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</si>
  <si>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</si>
  <si>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</si>
  <si>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</si>
  <si>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</si>
  <si>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</si>
  <si>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</si>
  <si>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</si>
  <si>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</si>
  <si>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</si>
  <si>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</si>
  <si>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</si>
  <si>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</si>
  <si>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</si>
  <si>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</si>
  <si>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</si>
  <si>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</si>
  <si>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</si>
  <si>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</si>
  <si>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</si>
  <si>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</si>
  <si>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</si>
  <si>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</si>
  <si>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</si>
  <si>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</si>
  <si>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</si>
  <si>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</si>
  <si>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</si>
  <si>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</si>
  <si>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</si>
  <si>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</si>
  <si>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</si>
  <si>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</si>
  <si>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</si>
  <si>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</si>
  <si>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</si>
  <si>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</si>
  <si>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</si>
  <si>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</si>
  <si>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</si>
  <si>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</si>
  <si>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</si>
  <si>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</si>
  <si>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</si>
  <si>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</si>
  <si>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</si>
  <si>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</si>
  <si>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</si>
  <si>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</si>
  <si>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</si>
  <si>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</si>
  <si>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</si>
  <si>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</si>
  <si>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</si>
  <si>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</si>
  <si>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</si>
  <si>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</si>
  <si>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</si>
  <si>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</si>
  <si>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</si>
  <si>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</si>
  <si>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</si>
  <si>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</si>
  <si>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</si>
  <si>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</si>
  <si>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</si>
  <si>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</si>
  <si>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</si>
  <si>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</si>
  <si>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</si>
  <si>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</si>
  <si>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</si>
  <si>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</si>
  <si>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</si>
  <si>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</si>
  <si>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</si>
  <si>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</si>
  <si>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</si>
  <si>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</si>
  <si>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</si>
  <si>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</si>
  <si>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</si>
  <si>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</si>
  <si>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</si>
  <si>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</si>
  <si>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</si>
  <si>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</si>
  <si>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</si>
  <si>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</si>
  <si>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</si>
  <si>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</si>
  <si>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</si>
  <si>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</si>
  <si>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</si>
  <si>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</si>
  <si>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</si>
  <si>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</si>
  <si>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</si>
  <si>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</si>
  <si>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</si>
  <si>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</si>
  <si>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</si>
  <si>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</si>
  <si>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</si>
  <si>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</si>
  <si>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</si>
  <si>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</si>
  <si>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</si>
  <si>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</si>
  <si>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</si>
  <si>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</si>
  <si>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</si>
  <si>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</si>
  <si>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</si>
  <si>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</si>
  <si>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</si>
  <si>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</si>
  <si>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</si>
  <si>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</si>
  <si>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</si>
  <si>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</si>
  <si>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</si>
  <si>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</si>
  <si>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</si>
  <si>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</si>
  <si>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</si>
  <si>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</si>
  <si>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</si>
  <si>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</si>
  <si>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</si>
  <si>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</si>
  <si>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</si>
  <si>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</si>
  <si>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</si>
  <si>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</si>
  <si>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</si>
  <si>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</si>
  <si>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</si>
  <si>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</si>
  <si>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</si>
  <si>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</si>
  <si>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</si>
  <si>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</si>
  <si>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</si>
  <si>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</si>
  <si>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</si>
  <si>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</si>
  <si>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</si>
  <si>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</si>
  <si>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</si>
  <si>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</si>
  <si>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</si>
  <si>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</si>
  <si>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</si>
  <si>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</si>
  <si>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</si>
  <si>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</si>
  <si>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</si>
  <si>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</si>
  <si>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</si>
  <si>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</si>
  <si>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</si>
  <si>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</si>
  <si>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</si>
  <si>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</si>
  <si>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</si>
  <si>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</si>
  <si>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</si>
  <si>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</si>
  <si>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</si>
  <si>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</si>
  <si>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</si>
  <si>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</si>
  <si>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</si>
  <si>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</si>
  <si>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</si>
  <si>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</si>
  <si>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</si>
  <si>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</si>
  <si>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</si>
  <si>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</si>
  <si>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</si>
  <si>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</si>
  <si>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</si>
  <si>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</si>
  <si>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</si>
  <si>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</si>
  <si>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</si>
  <si>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</si>
  <si>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</si>
  <si>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</si>
  <si>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</si>
  <si>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</si>
  <si>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</si>
  <si>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</si>
  <si>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</si>
  <si>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</si>
  <si>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</si>
  <si>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</si>
  <si>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</si>
  <si>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</si>
  <si>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</si>
  <si>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</si>
  <si>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</si>
  <si>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</si>
  <si>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</si>
  <si>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</si>
  <si>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</si>
  <si>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</si>
  <si>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</si>
  <si>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</si>
  <si>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</si>
  <si>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</si>
  <si>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</si>
  <si>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</si>
  <si>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</si>
  <si>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</si>
  <si>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</si>
  <si>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</si>
  <si>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</si>
  <si>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</si>
  <si>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</si>
  <si>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</si>
  <si>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</si>
  <si>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</si>
  <si>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</si>
  <si>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</si>
  <si>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</si>
  <si>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</si>
  <si>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</si>
  <si>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</si>
  <si>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</si>
  <si>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</si>
  <si>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</si>
  <si>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</si>
  <si>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</si>
  <si>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</si>
  <si>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</si>
  <si>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</si>
  <si>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</si>
  <si>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</si>
  <si>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</si>
  <si>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</si>
  <si>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</si>
  <si>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</si>
  <si>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</si>
  <si>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</si>
  <si>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</si>
  <si>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</si>
  <si>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</si>
  <si>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</si>
  <si>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</si>
  <si>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</si>
  <si>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</si>
  <si>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</si>
  <si>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</si>
  <si>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</si>
  <si>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</si>
  <si>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</si>
  <si>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</si>
  <si>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</si>
  <si>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</si>
  <si>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</si>
  <si>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</si>
  <si>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</si>
  <si>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</si>
  <si>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</si>
  <si>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</si>
  <si>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</si>
  <si>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</si>
  <si>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</si>
  <si>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</si>
  <si>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</si>
  <si>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</si>
  <si>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</si>
  <si>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</si>
  <si>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</si>
  <si>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</si>
  <si>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</si>
  <si>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</si>
  <si>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</si>
  <si>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</si>
  <si>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</si>
  <si>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</si>
  <si>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</si>
  <si>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</si>
  <si>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</si>
  <si>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</si>
  <si>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</si>
  <si>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</si>
  <si>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</si>
  <si>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</si>
  <si>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</si>
  <si>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</si>
  <si>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</si>
  <si>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</si>
  <si>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</si>
  <si>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</si>
  <si>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</si>
  <si>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</si>
  <si>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</si>
  <si>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</si>
  <si>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</si>
  <si>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</si>
  <si>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</si>
  <si>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</si>
  <si>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</si>
  <si>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</si>
  <si>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</si>
  <si>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</si>
  <si>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</si>
  <si>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</si>
  <si>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</si>
  <si>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</si>
  <si>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</si>
  <si>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</si>
  <si>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</si>
  <si>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</si>
  <si>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</si>
  <si>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</si>
  <si>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</si>
  <si>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</si>
  <si>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</si>
  <si>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</si>
  <si>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</si>
  <si>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</si>
  <si>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</si>
  <si>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</si>
  <si>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</si>
  <si>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</si>
  <si>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</si>
  <si>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</si>
  <si>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</si>
  <si>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</si>
  <si>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</si>
  <si>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</si>
  <si>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</si>
  <si>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</si>
  <si>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</si>
  <si>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</si>
  <si>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</si>
  <si>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</si>
  <si>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</si>
  <si>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</si>
  <si>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</si>
  <si>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</si>
  <si>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</si>
  <si>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</si>
  <si>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</si>
  <si>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</si>
  <si>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12007</t>
  </si>
  <si>
    <t>BORNEM</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</si>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</sst>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A463F3C-1145-44B7-AE02-90108D7D878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204132.9985291849</c:v>
                </c:pt>
                <c:pt idx="1">
                  <c:v>87917.057165725157</c:v>
                </c:pt>
                <c:pt idx="2">
                  <c:v>1809.6389999999999</c:v>
                </c:pt>
                <c:pt idx="3">
                  <c:v>2668.1746494703248</c:v>
                </c:pt>
                <c:pt idx="4">
                  <c:v>180132.86102002207</c:v>
                </c:pt>
                <c:pt idx="5">
                  <c:v>112653.95803549296</c:v>
                </c:pt>
                <c:pt idx="6">
                  <c:v>668.83918784017214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204132.9985291849</c:v>
                </c:pt>
                <c:pt idx="1">
                  <c:v>87917.057165725157</c:v>
                </c:pt>
                <c:pt idx="2">
                  <c:v>1809.6389999999999</c:v>
                </c:pt>
                <c:pt idx="3">
                  <c:v>2668.1746494703248</c:v>
                </c:pt>
                <c:pt idx="4">
                  <c:v>180132.86102002207</c:v>
                </c:pt>
                <c:pt idx="5">
                  <c:v>112653.95803549296</c:v>
                </c:pt>
                <c:pt idx="6">
                  <c:v>668.83918784017214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41488.111879688266</c:v>
                </c:pt>
                <c:pt idx="2">
                  <c:v>17652.376819595764</c:v>
                </c:pt>
                <c:pt idx="3">
                  <c:v>368.43573532564068</c:v>
                </c:pt>
                <c:pt idx="4">
                  <c:v>662.00935799494675</c:v>
                </c:pt>
                <c:pt idx="5">
                  <c:v>37615.720945395842</c:v>
                </c:pt>
                <c:pt idx="6">
                  <c:v>28477.653800070031</c:v>
                </c:pt>
                <c:pt idx="7">
                  <c:v>170.74604615041656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41488.111879688266</c:v>
                </c:pt>
                <c:pt idx="2">
                  <c:v>17652.376819595764</c:v>
                </c:pt>
                <c:pt idx="3">
                  <c:v>368.43573532564068</c:v>
                </c:pt>
                <c:pt idx="4">
                  <c:v>662.00935799494675</c:v>
                </c:pt>
                <c:pt idx="5">
                  <c:v>37615.720945395842</c:v>
                </c:pt>
                <c:pt idx="6">
                  <c:v>28477.653800070031</c:v>
                </c:pt>
                <c:pt idx="7">
                  <c:v>170.74604615041656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12007</v>
      </c>
      <c r="B6" s="385"/>
      <c r="C6" s="386"/>
    </row>
    <row r="7" spans="1:7" s="383" customFormat="1" ht="15.75" customHeight="1">
      <c r="A7" s="387" t="str">
        <f>txtMunicipality</f>
        <v>BORNEM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0.20359626164425099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0.20359626164425099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8665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1324</v>
      </c>
      <c r="C14" s="327"/>
      <c r="D14" s="327"/>
      <c r="E14" s="327"/>
      <c r="F14" s="327"/>
    </row>
    <row r="15" spans="1:6">
      <c r="A15" s="1258" t="s">
        <v>177</v>
      </c>
      <c r="B15" s="1259">
        <v>7</v>
      </c>
      <c r="C15" s="327"/>
      <c r="D15" s="327"/>
      <c r="E15" s="327"/>
      <c r="F15" s="327"/>
    </row>
    <row r="16" spans="1:6">
      <c r="A16" s="1258" t="s">
        <v>6</v>
      </c>
      <c r="B16" s="1259">
        <v>252</v>
      </c>
      <c r="C16" s="327"/>
      <c r="D16" s="327"/>
      <c r="E16" s="327"/>
      <c r="F16" s="327"/>
    </row>
    <row r="17" spans="1:6">
      <c r="A17" s="1258" t="s">
        <v>7</v>
      </c>
      <c r="B17" s="1259">
        <v>198</v>
      </c>
      <c r="C17" s="327"/>
      <c r="D17" s="327"/>
      <c r="E17" s="327"/>
      <c r="F17" s="327"/>
    </row>
    <row r="18" spans="1:6">
      <c r="A18" s="1258" t="s">
        <v>8</v>
      </c>
      <c r="B18" s="1259">
        <v>487</v>
      </c>
      <c r="C18" s="327"/>
      <c r="D18" s="327"/>
      <c r="E18" s="327"/>
      <c r="F18" s="327"/>
    </row>
    <row r="19" spans="1:6">
      <c r="A19" s="1258" t="s">
        <v>9</v>
      </c>
      <c r="B19" s="1259">
        <v>444</v>
      </c>
      <c r="C19" s="327"/>
      <c r="D19" s="327"/>
      <c r="E19" s="327"/>
      <c r="F19" s="327"/>
    </row>
    <row r="20" spans="1:6">
      <c r="A20" s="1258" t="s">
        <v>10</v>
      </c>
      <c r="B20" s="1259">
        <v>266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1</v>
      </c>
      <c r="C25" s="327"/>
      <c r="D25" s="327"/>
      <c r="E25" s="327"/>
      <c r="F25" s="327"/>
    </row>
    <row r="26" spans="1:6">
      <c r="A26" s="1258" t="s">
        <v>16</v>
      </c>
      <c r="B26" s="1259">
        <v>241</v>
      </c>
      <c r="C26" s="327"/>
      <c r="D26" s="327"/>
      <c r="E26" s="327"/>
      <c r="F26" s="327"/>
    </row>
    <row r="27" spans="1:6">
      <c r="A27" s="1258" t="s">
        <v>17</v>
      </c>
      <c r="B27" s="1259">
        <v>9</v>
      </c>
      <c r="C27" s="327"/>
      <c r="D27" s="327"/>
      <c r="E27" s="327"/>
      <c r="F27" s="327"/>
    </row>
    <row r="28" spans="1:6">
      <c r="A28" s="1258" t="s">
        <v>18</v>
      </c>
      <c r="B28" s="1260">
        <v>50</v>
      </c>
      <c r="C28" s="327"/>
      <c r="D28" s="327"/>
      <c r="E28" s="327"/>
      <c r="F28" s="327"/>
    </row>
    <row r="29" spans="1:6">
      <c r="A29" s="1258" t="s">
        <v>905</v>
      </c>
      <c r="B29" s="1260">
        <v>45</v>
      </c>
      <c r="C29" s="327"/>
      <c r="D29" s="327"/>
      <c r="E29" s="327"/>
      <c r="F29" s="327"/>
    </row>
    <row r="30" spans="1:6">
      <c r="A30" s="1253" t="s">
        <v>906</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58649.5333066616</v>
      </c>
      <c r="E36" s="1259">
        <v>4</v>
      </c>
      <c r="F36" s="1259">
        <v>23863.491311127698</v>
      </c>
    </row>
    <row r="37" spans="1:6">
      <c r="A37" s="1258" t="s">
        <v>24</v>
      </c>
      <c r="B37" s="1258" t="s">
        <v>27</v>
      </c>
      <c r="C37" s="1259">
        <v>0</v>
      </c>
      <c r="D37" s="1259">
        <v>0</v>
      </c>
      <c r="E37" s="1259">
        <v>0</v>
      </c>
      <c r="F37" s="1259">
        <v>0</v>
      </c>
    </row>
    <row r="38" spans="1:6">
      <c r="A38" s="1258" t="s">
        <v>24</v>
      </c>
      <c r="B38" s="1258" t="s">
        <v>28</v>
      </c>
      <c r="C38" s="1259">
        <v>0</v>
      </c>
      <c r="D38" s="1259">
        <v>0</v>
      </c>
      <c r="E38" s="1259">
        <v>5</v>
      </c>
      <c r="F38" s="1259">
        <v>864739.56125260505</v>
      </c>
    </row>
    <row r="39" spans="1:6">
      <c r="A39" s="1258" t="s">
        <v>29</v>
      </c>
      <c r="B39" s="1258" t="s">
        <v>30</v>
      </c>
      <c r="C39" s="1259">
        <v>6537</v>
      </c>
      <c r="D39" s="1259">
        <v>119057644.029332</v>
      </c>
      <c r="E39" s="1259">
        <v>8637</v>
      </c>
      <c r="F39" s="1259">
        <v>34214613.745461598</v>
      </c>
    </row>
    <row r="40" spans="1:6">
      <c r="A40" s="1258" t="s">
        <v>29</v>
      </c>
      <c r="B40" s="1258" t="s">
        <v>28</v>
      </c>
      <c r="C40" s="1259">
        <v>0</v>
      </c>
      <c r="D40" s="1259">
        <v>0</v>
      </c>
      <c r="E40" s="1259">
        <v>0</v>
      </c>
      <c r="F40" s="1259">
        <v>0</v>
      </c>
    </row>
    <row r="41" spans="1:6">
      <c r="A41" s="1258" t="s">
        <v>31</v>
      </c>
      <c r="B41" s="1258" t="s">
        <v>32</v>
      </c>
      <c r="C41" s="1259">
        <v>55</v>
      </c>
      <c r="D41" s="1259">
        <v>9898011.8937152792</v>
      </c>
      <c r="E41" s="1259">
        <v>150</v>
      </c>
      <c r="F41" s="1259">
        <v>27789137.469714001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298241.27596487798</v>
      </c>
      <c r="E44" s="1259">
        <v>13</v>
      </c>
      <c r="F44" s="1259">
        <v>221930.65588670899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5</v>
      </c>
      <c r="D47" s="1259">
        <v>1024475.00013224</v>
      </c>
      <c r="E47" s="1259">
        <v>3</v>
      </c>
      <c r="F47" s="1259">
        <v>3132803.6743733198</v>
      </c>
    </row>
    <row r="48" spans="1:6">
      <c r="A48" s="1258" t="s">
        <v>31</v>
      </c>
      <c r="B48" s="1258" t="s">
        <v>28</v>
      </c>
      <c r="C48" s="1259">
        <v>37</v>
      </c>
      <c r="D48" s="1259">
        <v>64580241.441614099</v>
      </c>
      <c r="E48" s="1259">
        <v>40</v>
      </c>
      <c r="F48" s="1259">
        <v>36373357.126763001</v>
      </c>
    </row>
    <row r="49" spans="1:6">
      <c r="A49" s="1258" t="s">
        <v>31</v>
      </c>
      <c r="B49" s="1258" t="s">
        <v>39</v>
      </c>
      <c r="C49" s="1259">
        <v>0</v>
      </c>
      <c r="D49" s="1259">
        <v>0</v>
      </c>
      <c r="E49" s="1259">
        <v>3</v>
      </c>
      <c r="F49" s="1259">
        <v>32582.191926254302</v>
      </c>
    </row>
    <row r="50" spans="1:6">
      <c r="A50" s="1258" t="s">
        <v>31</v>
      </c>
      <c r="B50" s="1258" t="s">
        <v>40</v>
      </c>
      <c r="C50" s="1259">
        <v>5</v>
      </c>
      <c r="D50" s="1259">
        <v>1076482.7451367001</v>
      </c>
      <c r="E50" s="1259">
        <v>12</v>
      </c>
      <c r="F50" s="1259">
        <v>551733.59887049999</v>
      </c>
    </row>
    <row r="51" spans="1:6">
      <c r="A51" s="1258" t="s">
        <v>41</v>
      </c>
      <c r="B51" s="1258" t="s">
        <v>42</v>
      </c>
      <c r="C51" s="1259">
        <v>3</v>
      </c>
      <c r="D51" s="1259">
        <v>73497.623498330999</v>
      </c>
      <c r="E51" s="1259">
        <v>32</v>
      </c>
      <c r="F51" s="1259">
        <v>322791.17968849099</v>
      </c>
    </row>
    <row r="52" spans="1:6">
      <c r="A52" s="1258" t="s">
        <v>41</v>
      </c>
      <c r="B52" s="1258" t="s">
        <v>28</v>
      </c>
      <c r="C52" s="1259">
        <v>7</v>
      </c>
      <c r="D52" s="1259">
        <v>329228.74090723001</v>
      </c>
      <c r="E52" s="1259">
        <v>6</v>
      </c>
      <c r="F52" s="1259">
        <v>170821.28733152</v>
      </c>
    </row>
    <row r="53" spans="1:6">
      <c r="A53" s="1258" t="s">
        <v>43</v>
      </c>
      <c r="B53" s="1258" t="s">
        <v>44</v>
      </c>
      <c r="C53" s="1259">
        <v>148</v>
      </c>
      <c r="D53" s="1259">
        <v>4079497.5758502898</v>
      </c>
      <c r="E53" s="1259">
        <v>282</v>
      </c>
      <c r="F53" s="1259">
        <v>1074292.5723472401</v>
      </c>
    </row>
    <row r="54" spans="1:6">
      <c r="A54" s="1258" t="s">
        <v>45</v>
      </c>
      <c r="B54" s="1258" t="s">
        <v>46</v>
      </c>
      <c r="C54" s="1259">
        <v>0</v>
      </c>
      <c r="D54" s="1259">
        <v>0</v>
      </c>
      <c r="E54" s="1259">
        <v>1</v>
      </c>
      <c r="F54" s="1259">
        <v>1809639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51</v>
      </c>
      <c r="D57" s="1259">
        <v>5930107.7992326599</v>
      </c>
      <c r="E57" s="1259">
        <v>84</v>
      </c>
      <c r="F57" s="1259">
        <v>3012128.42742672</v>
      </c>
    </row>
    <row r="58" spans="1:6">
      <c r="A58" s="1258" t="s">
        <v>48</v>
      </c>
      <c r="B58" s="1258" t="s">
        <v>50</v>
      </c>
      <c r="C58" s="1259">
        <v>31</v>
      </c>
      <c r="D58" s="1259">
        <v>1978667.80757837</v>
      </c>
      <c r="E58" s="1259">
        <v>37</v>
      </c>
      <c r="F58" s="1259">
        <v>761890.83244306804</v>
      </c>
    </row>
    <row r="59" spans="1:6">
      <c r="A59" s="1258" t="s">
        <v>48</v>
      </c>
      <c r="B59" s="1258" t="s">
        <v>51</v>
      </c>
      <c r="C59" s="1259">
        <v>153</v>
      </c>
      <c r="D59" s="1259">
        <v>11745804.0541483</v>
      </c>
      <c r="E59" s="1259">
        <v>252</v>
      </c>
      <c r="F59" s="1259">
        <v>12498197.258909101</v>
      </c>
    </row>
    <row r="60" spans="1:6">
      <c r="A60" s="1258" t="s">
        <v>48</v>
      </c>
      <c r="B60" s="1258" t="s">
        <v>52</v>
      </c>
      <c r="C60" s="1259">
        <v>64</v>
      </c>
      <c r="D60" s="1259">
        <v>3736080.9154111799</v>
      </c>
      <c r="E60" s="1259">
        <v>85</v>
      </c>
      <c r="F60" s="1259">
        <v>2382598.4098441098</v>
      </c>
    </row>
    <row r="61" spans="1:6">
      <c r="A61" s="1258" t="s">
        <v>48</v>
      </c>
      <c r="B61" s="1258" t="s">
        <v>53</v>
      </c>
      <c r="C61" s="1259">
        <v>208</v>
      </c>
      <c r="D61" s="1259">
        <v>13327637.7534438</v>
      </c>
      <c r="E61" s="1259">
        <v>467</v>
      </c>
      <c r="F61" s="1259">
        <v>12321640.600583101</v>
      </c>
    </row>
    <row r="62" spans="1:6">
      <c r="A62" s="1258" t="s">
        <v>48</v>
      </c>
      <c r="B62" s="1258" t="s">
        <v>54</v>
      </c>
      <c r="C62" s="1259">
        <v>14</v>
      </c>
      <c r="D62" s="1259">
        <v>2677584.3578409501</v>
      </c>
      <c r="E62" s="1259">
        <v>18</v>
      </c>
      <c r="F62" s="1259">
        <v>584620.28536274401</v>
      </c>
    </row>
    <row r="63" spans="1:6">
      <c r="A63" s="1258" t="s">
        <v>48</v>
      </c>
      <c r="B63" s="1258" t="s">
        <v>28</v>
      </c>
      <c r="C63" s="1259">
        <v>103</v>
      </c>
      <c r="D63" s="1259">
        <v>10891537.0593272</v>
      </c>
      <c r="E63" s="1259">
        <v>107</v>
      </c>
      <c r="F63" s="1259">
        <v>4026433.6533755399</v>
      </c>
    </row>
    <row r="64" spans="1:6">
      <c r="A64" s="1258" t="s">
        <v>55</v>
      </c>
      <c r="B64" s="1258" t="s">
        <v>56</v>
      </c>
      <c r="C64" s="1259">
        <v>0</v>
      </c>
      <c r="D64" s="1259">
        <v>0</v>
      </c>
      <c r="E64" s="1259">
        <v>0</v>
      </c>
      <c r="F64" s="1259">
        <v>0</v>
      </c>
    </row>
    <row r="65" spans="1:6">
      <c r="A65" s="1258" t="s">
        <v>55</v>
      </c>
      <c r="B65" s="1258" t="s">
        <v>28</v>
      </c>
      <c r="C65" s="1259">
        <v>2</v>
      </c>
      <c r="D65" s="1259">
        <v>60321.582764006402</v>
      </c>
      <c r="E65" s="1259">
        <v>2</v>
      </c>
      <c r="F65" s="1259">
        <v>16542.1252945616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383372.89309769502</v>
      </c>
      <c r="E68" s="1261">
        <v>11</v>
      </c>
      <c r="F68" s="1261">
        <v>141277.20046503301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97851004</v>
      </c>
      <c r="E73" s="446"/>
      <c r="F73" s="327"/>
    </row>
    <row r="74" spans="1:6">
      <c r="A74" s="1258" t="s">
        <v>63</v>
      </c>
      <c r="B74" s="1258" t="s">
        <v>681</v>
      </c>
      <c r="C74" s="1271" t="s">
        <v>682</v>
      </c>
      <c r="D74" s="1259">
        <v>10734951.02770362</v>
      </c>
      <c r="E74" s="446"/>
      <c r="F74" s="327"/>
    </row>
    <row r="75" spans="1:6">
      <c r="A75" s="1258" t="s">
        <v>64</v>
      </c>
      <c r="B75" s="1258" t="s">
        <v>679</v>
      </c>
      <c r="C75" s="1271" t="s">
        <v>683</v>
      </c>
      <c r="D75" s="1259">
        <v>23421628</v>
      </c>
      <c r="E75" s="446"/>
      <c r="F75" s="327"/>
    </row>
    <row r="76" spans="1:6">
      <c r="A76" s="1258" t="s">
        <v>64</v>
      </c>
      <c r="B76" s="1258" t="s">
        <v>681</v>
      </c>
      <c r="C76" s="1271" t="s">
        <v>684</v>
      </c>
      <c r="D76" s="1259">
        <v>561439.02770362096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177021.94459275802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3803.9399213696229</v>
      </c>
      <c r="C91" s="327"/>
      <c r="D91" s="327"/>
      <c r="E91" s="327"/>
      <c r="F91" s="327"/>
    </row>
    <row r="92" spans="1:6">
      <c r="A92" s="1253" t="s">
        <v>68</v>
      </c>
      <c r="B92" s="1254">
        <v>7622.4833327157858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4626</v>
      </c>
      <c r="C97" s="327"/>
      <c r="D97" s="327"/>
      <c r="E97" s="327"/>
      <c r="F97" s="327"/>
    </row>
    <row r="98" spans="1:6">
      <c r="A98" s="1258" t="s">
        <v>71</v>
      </c>
      <c r="B98" s="1259">
        <v>9</v>
      </c>
      <c r="C98" s="327"/>
      <c r="D98" s="327"/>
      <c r="E98" s="327"/>
      <c r="F98" s="327"/>
    </row>
    <row r="99" spans="1:6">
      <c r="A99" s="1258" t="s">
        <v>72</v>
      </c>
      <c r="B99" s="1259">
        <v>51</v>
      </c>
      <c r="C99" s="327"/>
      <c r="D99" s="327"/>
      <c r="E99" s="327"/>
      <c r="F99" s="327"/>
    </row>
    <row r="100" spans="1:6">
      <c r="A100" s="1258" t="s">
        <v>73</v>
      </c>
      <c r="B100" s="1259">
        <v>600</v>
      </c>
      <c r="C100" s="327"/>
      <c r="D100" s="327"/>
      <c r="E100" s="327"/>
      <c r="F100" s="327"/>
    </row>
    <row r="101" spans="1:6">
      <c r="A101" s="1258" t="s">
        <v>74</v>
      </c>
      <c r="B101" s="1259">
        <v>116</v>
      </c>
      <c r="C101" s="327"/>
      <c r="D101" s="327"/>
      <c r="E101" s="327"/>
      <c r="F101" s="327"/>
    </row>
    <row r="102" spans="1:6">
      <c r="A102" s="1258" t="s">
        <v>75</v>
      </c>
      <c r="B102" s="1259">
        <v>71</v>
      </c>
      <c r="C102" s="327"/>
      <c r="D102" s="327"/>
      <c r="E102" s="327"/>
      <c r="F102" s="327"/>
    </row>
    <row r="103" spans="1:6">
      <c r="A103" s="1258" t="s">
        <v>76</v>
      </c>
      <c r="B103" s="1259">
        <v>183</v>
      </c>
      <c r="C103" s="327"/>
      <c r="D103" s="327"/>
      <c r="E103" s="327"/>
      <c r="F103" s="327"/>
    </row>
    <row r="104" spans="1:6">
      <c r="A104" s="1258" t="s">
        <v>77</v>
      </c>
      <c r="B104" s="1259">
        <v>2061</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19</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108</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145097.53522689038</v>
      </c>
      <c r="C3" s="43" t="s">
        <v>163</v>
      </c>
      <c r="D3" s="43"/>
      <c r="E3" s="156"/>
      <c r="F3" s="43"/>
      <c r="G3" s="43"/>
      <c r="H3" s="43"/>
      <c r="I3" s="43"/>
      <c r="J3" s="43"/>
      <c r="K3" s="96"/>
    </row>
    <row r="4" spans="1:11">
      <c r="A4" s="353" t="s">
        <v>164</v>
      </c>
      <c r="B4" s="49">
        <f>IF(ISERROR('SEAP template'!B78+'SEAP template'!C78),0,'SEAP template'!B78+'SEAP template'!C78)</f>
        <v>11426.423254085408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0.20359626164425099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1809.6389999999999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1809.6389999999999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0.20359626164425099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368.43573532564068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34214.613745461596</v>
      </c>
      <c r="C5" s="17">
        <f>IF(ISERROR('Eigen informatie GS &amp; warmtenet'!B57),0,'Eigen informatie GS &amp; warmtenet'!B57)</f>
        <v>0</v>
      </c>
      <c r="D5" s="30">
        <f>(SUM(HH_hh_gas_kWh,HH_rest_gas_kWh)/1000)*0.902</f>
        <v>107389.99491445746</v>
      </c>
      <c r="E5" s="17">
        <f>B32*B41</f>
        <v>1399.3257266676585</v>
      </c>
      <c r="F5" s="17">
        <f>B36*B45</f>
        <v>42882.998434192668</v>
      </c>
      <c r="G5" s="18"/>
      <c r="H5" s="17"/>
      <c r="I5" s="17"/>
      <c r="J5" s="17">
        <f>B35*B44+C35*C44</f>
        <v>812.11860281548547</v>
      </c>
      <c r="K5" s="17"/>
      <c r="L5" s="17"/>
      <c r="M5" s="17"/>
      <c r="N5" s="17">
        <f>B34*B43+C34*C43</f>
        <v>13086.700517553716</v>
      </c>
      <c r="O5" s="17">
        <f>B52*B53*B54</f>
        <v>200.10666666666668</v>
      </c>
      <c r="P5" s="17">
        <f>B60*B61*B62/1000-B60*B61*B62/1000/B63</f>
        <v>343.2</v>
      </c>
    </row>
    <row r="6" spans="1:16">
      <c r="A6" s="16" t="s">
        <v>592</v>
      </c>
      <c r="B6" s="733">
        <f>kWh_PV_kleiner_dan_10kW</f>
        <v>3803.9399213696229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38018.55366683122</v>
      </c>
      <c r="C8" s="21">
        <f>C5</f>
        <v>0</v>
      </c>
      <c r="D8" s="21">
        <f>D5</f>
        <v>107389.99491445746</v>
      </c>
      <c r="E8" s="21">
        <f>E5</f>
        <v>1399.3257266676585</v>
      </c>
      <c r="F8" s="21">
        <f>F5</f>
        <v>42882.998434192668</v>
      </c>
      <c r="G8" s="21"/>
      <c r="H8" s="21"/>
      <c r="I8" s="21"/>
      <c r="J8" s="21">
        <f>J5</f>
        <v>812.11860281548547</v>
      </c>
      <c r="K8" s="21"/>
      <c r="L8" s="21">
        <f>L5</f>
        <v>0</v>
      </c>
      <c r="M8" s="21">
        <f>M5</f>
        <v>0</v>
      </c>
      <c r="N8" s="21">
        <f>N5</f>
        <v>13086.700517553716</v>
      </c>
      <c r="O8" s="21">
        <f>O5</f>
        <v>200.10666666666668</v>
      </c>
      <c r="P8" s="21">
        <f>P5</f>
        <v>343.2</v>
      </c>
    </row>
    <row r="9" spans="1:16">
      <c r="B9" s="19"/>
      <c r="C9" s="19"/>
      <c r="D9" s="257"/>
      <c r="E9" s="19"/>
      <c r="F9" s="19"/>
      <c r="G9" s="19"/>
      <c r="H9" s="19"/>
      <c r="I9" s="19"/>
      <c r="J9" s="19"/>
      <c r="K9" s="19"/>
      <c r="L9" s="19"/>
      <c r="M9" s="19"/>
      <c r="N9" s="19"/>
      <c r="O9" s="19"/>
      <c r="P9" s="19"/>
    </row>
    <row r="10" spans="1:16">
      <c r="A10" s="24" t="s">
        <v>207</v>
      </c>
      <c r="B10" s="25">
        <f ca="1">'EF ele_warmte'!B12</f>
        <v>0.20359626164425099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7740.4353996881664</v>
      </c>
      <c r="C12" s="23">
        <f ca="1">C10*C8</f>
        <v>0</v>
      </c>
      <c r="D12" s="23">
        <f>D8*D10</f>
        <v>21692.778972720411</v>
      </c>
      <c r="E12" s="23">
        <f>E10*E8</f>
        <v>317.6469399535585</v>
      </c>
      <c r="F12" s="23">
        <f>F10*F8</f>
        <v>11449.760581929442</v>
      </c>
      <c r="G12" s="23"/>
      <c r="H12" s="23"/>
      <c r="I12" s="23"/>
      <c r="J12" s="23">
        <f>J10*J8</f>
        <v>287.48998539668185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8665</v>
      </c>
      <c r="C26" s="36"/>
      <c r="D26" s="227"/>
    </row>
    <row r="27" spans="1:5" s="15" customFormat="1">
      <c r="A27" s="229" t="s">
        <v>697</v>
      </c>
      <c r="B27" s="37">
        <f>SUM(HH_hh_gas_aantal,HH_rest_gas_aantal)</f>
        <v>6537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6210.15</v>
      </c>
      <c r="C31" s="34" t="s">
        <v>104</v>
      </c>
      <c r="D31" s="173"/>
    </row>
    <row r="32" spans="1:5">
      <c r="A32" s="170" t="s">
        <v>72</v>
      </c>
      <c r="B32" s="33">
        <f>IF((B21*($B$26-($B$27-0.05*$B$27)-$B$60))&lt;0,0,B21*($B$26-($B$27-0.05*$B$27)-$B$60))</f>
        <v>61.022530497642798</v>
      </c>
      <c r="C32" s="34" t="s">
        <v>104</v>
      </c>
      <c r="D32" s="173"/>
    </row>
    <row r="33" spans="1:6">
      <c r="A33" s="170" t="s">
        <v>73</v>
      </c>
      <c r="B33" s="33">
        <f>IF((B22*($B$26-($B$27-0.05*$B$27)-$B$60))&lt;0,0,B22*($B$26-($B$27-0.05*$B$27)-$B$60))</f>
        <v>410.75319988367039</v>
      </c>
      <c r="C33" s="34" t="s">
        <v>104</v>
      </c>
      <c r="D33" s="173"/>
    </row>
    <row r="34" spans="1:6">
      <c r="A34" s="170" t="s">
        <v>74</v>
      </c>
      <c r="B34" s="33">
        <f>IF((B24*($B$26-($B$27-0.05*$B$27)-$B$60))&lt;0,0,B24*($B$26-($B$27-0.05*$B$27)-$B$60))</f>
        <v>104.21365437205944</v>
      </c>
      <c r="C34" s="33">
        <f>B26*C24</f>
        <v>1772.512986003369</v>
      </c>
      <c r="D34" s="232"/>
    </row>
    <row r="35" spans="1:6">
      <c r="A35" s="170" t="s">
        <v>76</v>
      </c>
      <c r="B35" s="33">
        <f>IF((B19*($B$26-($B$27-0.05*$B$27)-$B$60))&lt;0,0,B19*($B$26-($B$27-0.05*$B$27)-$B$60))</f>
        <v>38.729217144028645</v>
      </c>
      <c r="C35" s="33">
        <f>B35/2</f>
        <v>19.364608572014323</v>
      </c>
      <c r="D35" s="232"/>
    </row>
    <row r="36" spans="1:6">
      <c r="A36" s="170" t="s">
        <v>77</v>
      </c>
      <c r="B36" s="33">
        <f>IF((B18*($B$26-($B$27-0.05*$B$27)-$B$60))&lt;0,0,B18*($B$26-($B$27-0.05*$B$27)-$B$60))</f>
        <v>1822.1313981025992</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128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35587.509467944379</v>
      </c>
      <c r="C5" s="17">
        <f>IF(ISERROR('Eigen informatie GS &amp; warmtenet'!B58),0,'Eigen informatie GS &amp; warmtenet'!B58)</f>
        <v>0</v>
      </c>
      <c r="D5" s="30">
        <f>SUM(D6:D12)</f>
        <v>45359.252611778182</v>
      </c>
      <c r="E5" s="17">
        <f>SUM(E6:E12)</f>
        <v>216.9015850402034</v>
      </c>
      <c r="F5" s="17">
        <f>SUM(F6:F12)</f>
        <v>4417.8236067040489</v>
      </c>
      <c r="G5" s="18"/>
      <c r="H5" s="17"/>
      <c r="I5" s="17"/>
      <c r="J5" s="17">
        <f>SUM(J6:J12)</f>
        <v>43.865368134463019</v>
      </c>
      <c r="K5" s="17"/>
      <c r="L5" s="17"/>
      <c r="M5" s="17"/>
      <c r="N5" s="17">
        <f>SUM(N6:N12)</f>
        <v>2232.9411927905462</v>
      </c>
      <c r="O5" s="17">
        <f>B38*B39*B40</f>
        <v>1.5633333333333335</v>
      </c>
      <c r="P5" s="17">
        <f>B46*B47*B48/1000-B46*B47*B48/1000/B49</f>
        <v>57.2</v>
      </c>
      <c r="R5" s="32"/>
    </row>
    <row r="6" spans="1:18">
      <c r="A6" s="32" t="s">
        <v>53</v>
      </c>
      <c r="B6" s="37">
        <f>B26</f>
        <v>12321.640600583101</v>
      </c>
      <c r="C6" s="33"/>
      <c r="D6" s="37">
        <f>IF(ISERROR(TER_kantoor_gas_kWh/1000),0,TER_kantoor_gas_kWh/1000)*0.902</f>
        <v>12021.529253606308</v>
      </c>
      <c r="E6" s="33">
        <f>$C$26*'E Balans VL '!I12/100/3.6*1000000</f>
        <v>104.00539349132524</v>
      </c>
      <c r="F6" s="33">
        <f>$C$26*('E Balans VL '!L12+'E Balans VL '!N12)/100/3.6*1000000</f>
        <v>1652.195578277697</v>
      </c>
      <c r="G6" s="34"/>
      <c r="H6" s="33"/>
      <c r="I6" s="33"/>
      <c r="J6" s="33">
        <f>$C$26*('E Balans VL '!D12+'E Balans VL '!E12)/100/3.6*1000000</f>
        <v>0</v>
      </c>
      <c r="K6" s="33"/>
      <c r="L6" s="33"/>
      <c r="M6" s="33"/>
      <c r="N6" s="33">
        <f>$C$26*'E Balans VL '!Y12/100/3.6*1000000</f>
        <v>108.36501824089677</v>
      </c>
      <c r="O6" s="33"/>
      <c r="P6" s="33"/>
      <c r="R6" s="32"/>
    </row>
    <row r="7" spans="1:18">
      <c r="A7" s="32" t="s">
        <v>52</v>
      </c>
      <c r="B7" s="37">
        <f t="shared" ref="B7:B12" si="0">B27</f>
        <v>2382.5984098441099</v>
      </c>
      <c r="C7" s="33"/>
      <c r="D7" s="37">
        <f>IF(ISERROR(TER_horeca_gas_kWh/1000),0,TER_horeca_gas_kWh/1000)*0.902</f>
        <v>3369.9449857008844</v>
      </c>
      <c r="E7" s="33">
        <f>$C$27*'E Balans VL '!I9/100/3.6*1000000</f>
        <v>31.326412407911686</v>
      </c>
      <c r="F7" s="33">
        <f>$C$27*('E Balans VL '!L9+'E Balans VL '!N9)/100/3.6*1000000</f>
        <v>598.3594453362299</v>
      </c>
      <c r="G7" s="34"/>
      <c r="H7" s="33"/>
      <c r="I7" s="33"/>
      <c r="J7" s="33">
        <f>$C$27*('E Balans VL '!D9+'E Balans VL '!E9)/100/3.6*1000000</f>
        <v>0</v>
      </c>
      <c r="K7" s="33"/>
      <c r="L7" s="33"/>
      <c r="M7" s="33"/>
      <c r="N7" s="33">
        <f>$C$27*'E Balans VL '!Y9/100/3.6*1000000</f>
        <v>0.6486331709786155</v>
      </c>
      <c r="O7" s="33"/>
      <c r="P7" s="33"/>
      <c r="R7" s="32"/>
    </row>
    <row r="8" spans="1:18">
      <c r="A8" s="6" t="s">
        <v>51</v>
      </c>
      <c r="B8" s="37">
        <f t="shared" si="0"/>
        <v>12498.1972589091</v>
      </c>
      <c r="C8" s="33"/>
      <c r="D8" s="37">
        <f>IF(ISERROR(TER_handel_gas_kWh/1000),0,TER_handel_gas_kWh/1000)*0.902</f>
        <v>10594.715256841766</v>
      </c>
      <c r="E8" s="33">
        <f>$C$28*'E Balans VL '!I13/100/3.6*1000000</f>
        <v>54.734203496646096</v>
      </c>
      <c r="F8" s="33">
        <f>$C$28*('E Balans VL '!L13+'E Balans VL '!N13)/100/3.6*1000000</f>
        <v>840.06160118969365</v>
      </c>
      <c r="G8" s="34"/>
      <c r="H8" s="33"/>
      <c r="I8" s="33"/>
      <c r="J8" s="33">
        <f>$C$28*('E Balans VL '!D13+'E Balans VL '!E13)/100/3.6*1000000</f>
        <v>0</v>
      </c>
      <c r="K8" s="33"/>
      <c r="L8" s="33"/>
      <c r="M8" s="33"/>
      <c r="N8" s="33">
        <f>$C$28*'E Balans VL '!Y13/100/3.6*1000000</f>
        <v>36.922865221991721</v>
      </c>
      <c r="O8" s="33"/>
      <c r="P8" s="33"/>
      <c r="R8" s="32"/>
    </row>
    <row r="9" spans="1:18">
      <c r="A9" s="32" t="s">
        <v>50</v>
      </c>
      <c r="B9" s="37">
        <f t="shared" si="0"/>
        <v>761.89083244306801</v>
      </c>
      <c r="C9" s="33"/>
      <c r="D9" s="37">
        <f>IF(ISERROR(TER_gezond_gas_kWh/1000),0,TER_gezond_gas_kWh/1000)*0.902</f>
        <v>1784.7583624356898</v>
      </c>
      <c r="E9" s="33">
        <f>$C$29*'E Balans VL '!I10/100/3.6*1000000</f>
        <v>0.26201762105169596</v>
      </c>
      <c r="F9" s="33">
        <f>$C$29*('E Balans VL '!L10+'E Balans VL '!N10)/100/3.6*1000000</f>
        <v>66.592259693670755</v>
      </c>
      <c r="G9" s="34"/>
      <c r="H9" s="33"/>
      <c r="I9" s="33"/>
      <c r="J9" s="33">
        <f>$C$29*('E Balans VL '!D10+'E Balans VL '!E10)/100/3.6*1000000</f>
        <v>31.60388511713343</v>
      </c>
      <c r="K9" s="33"/>
      <c r="L9" s="33"/>
      <c r="M9" s="33"/>
      <c r="N9" s="33">
        <f>$C$29*'E Balans VL '!Y10/100/3.6*1000000</f>
        <v>7.9881438309663242</v>
      </c>
      <c r="O9" s="33"/>
      <c r="P9" s="33"/>
      <c r="R9" s="32"/>
    </row>
    <row r="10" spans="1:18">
      <c r="A10" s="32" t="s">
        <v>49</v>
      </c>
      <c r="B10" s="37">
        <f t="shared" si="0"/>
        <v>3012.12842742672</v>
      </c>
      <c r="C10" s="33"/>
      <c r="D10" s="37">
        <f>IF(ISERROR(TER_ander_gas_kWh/1000),0,TER_ander_gas_kWh/1000)*0.902</f>
        <v>5348.9572349078599</v>
      </c>
      <c r="E10" s="33">
        <f>$C$30*'E Balans VL '!I14/100/3.6*1000000</f>
        <v>1.791422681943343</v>
      </c>
      <c r="F10" s="33">
        <f>$C$30*('E Balans VL '!L14+'E Balans VL '!N14)/100/3.6*1000000</f>
        <v>533.30679304704847</v>
      </c>
      <c r="G10" s="34"/>
      <c r="H10" s="33"/>
      <c r="I10" s="33"/>
      <c r="J10" s="33">
        <f>$C$30*('E Balans VL '!D14+'E Balans VL '!E14)/100/3.6*1000000</f>
        <v>0</v>
      </c>
      <c r="K10" s="33"/>
      <c r="L10" s="33"/>
      <c r="M10" s="33"/>
      <c r="N10" s="33">
        <f>$C$30*'E Balans VL '!Y14/100/3.6*1000000</f>
        <v>1788.4991748110376</v>
      </c>
      <c r="O10" s="33"/>
      <c r="P10" s="33"/>
      <c r="R10" s="32"/>
    </row>
    <row r="11" spans="1:18">
      <c r="A11" s="32" t="s">
        <v>54</v>
      </c>
      <c r="B11" s="37">
        <f t="shared" si="0"/>
        <v>584.62028536274397</v>
      </c>
      <c r="C11" s="33"/>
      <c r="D11" s="37">
        <f>IF(ISERROR(TER_onderwijs_gas_kWh/1000),0,TER_onderwijs_gas_kWh/1000)*0.902</f>
        <v>2415.1810907725371</v>
      </c>
      <c r="E11" s="33">
        <f>$C$31*'E Balans VL '!I11/100/3.6*1000000</f>
        <v>0.38886078094473109</v>
      </c>
      <c r="F11" s="33">
        <f>$C$31*('E Balans VL '!L11+'E Balans VL '!N11)/100/3.6*1000000</f>
        <v>187.30094821309001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4026.43365337554</v>
      </c>
      <c r="C12" s="33"/>
      <c r="D12" s="37">
        <f>IF(ISERROR(TER_rest_gas_kWh/1000),0,TER_rest_gas_kWh/1000)*0.902</f>
        <v>9824.1664275131352</v>
      </c>
      <c r="E12" s="33">
        <f>$C$32*'E Balans VL '!I8/100/3.6*1000000</f>
        <v>24.393274560380629</v>
      </c>
      <c r="F12" s="33">
        <f>$C$32*('E Balans VL '!L8+'E Balans VL '!N8)/100/3.6*1000000</f>
        <v>540.0069809466188</v>
      </c>
      <c r="G12" s="34"/>
      <c r="H12" s="33"/>
      <c r="I12" s="33"/>
      <c r="J12" s="33">
        <f>$C$32*('E Balans VL '!D8+'E Balans VL '!E8)/100/3.6*1000000</f>
        <v>12.261483017329587</v>
      </c>
      <c r="K12" s="33"/>
      <c r="L12" s="33"/>
      <c r="M12" s="33"/>
      <c r="N12" s="33">
        <f>$C$32*'E Balans VL '!Y8/100/3.6*1000000</f>
        <v>290.51735751467493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35587.509467944379</v>
      </c>
      <c r="C16" s="21">
        <f t="shared" ca="1" si="1"/>
        <v>0</v>
      </c>
      <c r="D16" s="21">
        <f t="shared" ca="1" si="1"/>
        <v>45359.252611778182</v>
      </c>
      <c r="E16" s="21">
        <f t="shared" si="1"/>
        <v>216.9015850402034</v>
      </c>
      <c r="F16" s="21">
        <f t="shared" ca="1" si="1"/>
        <v>4417.8236067040489</v>
      </c>
      <c r="G16" s="21">
        <f t="shared" si="1"/>
        <v>0</v>
      </c>
      <c r="H16" s="21">
        <f t="shared" si="1"/>
        <v>0</v>
      </c>
      <c r="I16" s="21">
        <f t="shared" si="1"/>
        <v>0</v>
      </c>
      <c r="J16" s="21">
        <f t="shared" si="1"/>
        <v>43.865368134463019</v>
      </c>
      <c r="K16" s="21">
        <f t="shared" si="1"/>
        <v>0</v>
      </c>
      <c r="L16" s="21">
        <f t="shared" ca="1" si="1"/>
        <v>0</v>
      </c>
      <c r="M16" s="21">
        <f t="shared" si="1"/>
        <v>0</v>
      </c>
      <c r="N16" s="21">
        <f t="shared" ca="1" si="1"/>
        <v>2232.9411927905462</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0.20359626164425099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7245.4838889028633</v>
      </c>
      <c r="C20" s="23">
        <f t="shared" ref="C20:P20" ca="1" si="2">C16*C18</f>
        <v>0</v>
      </c>
      <c r="D20" s="23">
        <f t="shared" ca="1" si="2"/>
        <v>9162.5690275791931</v>
      </c>
      <c r="E20" s="23">
        <f t="shared" si="2"/>
        <v>49.236659804126177</v>
      </c>
      <c r="F20" s="23">
        <f t="shared" ca="1" si="2"/>
        <v>1179.5589029899811</v>
      </c>
      <c r="G20" s="23">
        <f t="shared" si="2"/>
        <v>0</v>
      </c>
      <c r="H20" s="23">
        <f t="shared" si="2"/>
        <v>0</v>
      </c>
      <c r="I20" s="23">
        <f t="shared" si="2"/>
        <v>0</v>
      </c>
      <c r="J20" s="23">
        <f t="shared" si="2"/>
        <v>15.528340319599907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12321.640600583101</v>
      </c>
      <c r="C26" s="39">
        <f>IF(ISERROR(B26*3.6/1000000/'E Balans VL '!Z12*100),0,B26*3.6/1000000/'E Balans VL '!Z12*100)</f>
        <v>0.25824629017849421</v>
      </c>
      <c r="D26" s="235" t="s">
        <v>647</v>
      </c>
      <c r="F26" s="6"/>
    </row>
    <row r="27" spans="1:18">
      <c r="A27" s="230" t="s">
        <v>52</v>
      </c>
      <c r="B27" s="33">
        <f>IF(ISERROR(TER_horeca_ele_kWh/1000),0,TER_horeca_ele_kWh/1000)</f>
        <v>2382.5984098441099</v>
      </c>
      <c r="C27" s="39">
        <f>IF(ISERROR(B27*3.6/1000000/'E Balans VL '!Z9*100),0,B27*3.6/1000000/'E Balans VL '!Z9*100)</f>
        <v>0.18267341010769925</v>
      </c>
      <c r="D27" s="235" t="s">
        <v>647</v>
      </c>
      <c r="F27" s="6"/>
    </row>
    <row r="28" spans="1:18">
      <c r="A28" s="170" t="s">
        <v>51</v>
      </c>
      <c r="B28" s="33">
        <f>IF(ISERROR(TER_handel_ele_kWh/1000),0,TER_handel_ele_kWh/1000)</f>
        <v>12498.1972589091</v>
      </c>
      <c r="C28" s="39">
        <f>IF(ISERROR(B28*3.6/1000000/'E Balans VL '!Z13*100),0,B28*3.6/1000000/'E Balans VL '!Z13*100)</f>
        <v>0.35259258226027901</v>
      </c>
      <c r="D28" s="235" t="s">
        <v>647</v>
      </c>
      <c r="F28" s="6"/>
    </row>
    <row r="29" spans="1:18">
      <c r="A29" s="230" t="s">
        <v>50</v>
      </c>
      <c r="B29" s="33">
        <f>IF(ISERROR(TER_gezond_ele_kWh/1000),0,TER_gezond_ele_kWh/1000)</f>
        <v>761.89083244306801</v>
      </c>
      <c r="C29" s="39">
        <f>IF(ISERROR(B29*3.6/1000000/'E Balans VL '!Z10*100),0,B29*3.6/1000000/'E Balans VL '!Z10*100)</f>
        <v>8.4598501283901312E-2</v>
      </c>
      <c r="D29" s="235" t="s">
        <v>647</v>
      </c>
      <c r="F29" s="6"/>
    </row>
    <row r="30" spans="1:18">
      <c r="A30" s="230" t="s">
        <v>49</v>
      </c>
      <c r="B30" s="33">
        <f>IF(ISERROR(TER_ander_ele_kWh/1000),0,TER_ander_ele_kWh/1000)</f>
        <v>3012.12842742672</v>
      </c>
      <c r="C30" s="39">
        <f>IF(ISERROR(B30*3.6/1000000/'E Balans VL '!Z14*100),0,B30*3.6/1000000/'E Balans VL '!Z14*100)</f>
        <v>0.21734142080286428</v>
      </c>
      <c r="D30" s="235" t="s">
        <v>647</v>
      </c>
      <c r="F30" s="6"/>
    </row>
    <row r="31" spans="1:18">
      <c r="A31" s="230" t="s">
        <v>54</v>
      </c>
      <c r="B31" s="33">
        <f>IF(ISERROR(TER_onderwijs_ele_kWh/1000),0,TER_onderwijs_ele_kWh/1000)</f>
        <v>584.62028536274397</v>
      </c>
      <c r="C31" s="39">
        <f>IF(ISERROR(B31*3.6/1000000/'E Balans VL '!Z11*100),0,B31*3.6/1000000/'E Balans VL '!Z11*100)</f>
        <v>0.16205211226440897</v>
      </c>
      <c r="D31" s="235" t="s">
        <v>647</v>
      </c>
    </row>
    <row r="32" spans="1:18">
      <c r="A32" s="230" t="s">
        <v>249</v>
      </c>
      <c r="B32" s="33">
        <f>IF(ISERROR(TER_rest_ele_kWh/1000),0,TER_rest_ele_kWh/1000)</f>
        <v>4026.43365337554</v>
      </c>
      <c r="C32" s="39">
        <f>IF(ISERROR(B32*3.6/1000000/'E Balans VL '!Z8*100),0,B32*3.6/1000000/'E Balans VL '!Z8*100)</f>
        <v>3.2822011690636657E-2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68101.54471753379</v>
      </c>
      <c r="C5" s="17">
        <f>IF(ISERROR('Eigen informatie GS &amp; warmtenet'!B59),0,'Eigen informatie GS &amp; warmtenet'!B59)</f>
        <v>0</v>
      </c>
      <c r="D5" s="30">
        <f>SUM(D6:D15)</f>
        <v>69343.462025620014</v>
      </c>
      <c r="E5" s="17">
        <f>SUM(E6:E15)</f>
        <v>9635.2427384050898</v>
      </c>
      <c r="F5" s="17">
        <f>SUM(F6:F15)</f>
        <v>28175.717545877826</v>
      </c>
      <c r="G5" s="18"/>
      <c r="H5" s="17"/>
      <c r="I5" s="17"/>
      <c r="J5" s="17">
        <f>SUM(J6:J15)</f>
        <v>93.234500464937199</v>
      </c>
      <c r="K5" s="17"/>
      <c r="L5" s="17"/>
      <c r="M5" s="17"/>
      <c r="N5" s="17">
        <f>SUM(N6:N15)</f>
        <v>4783.6594921204269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221.93065588670899</v>
      </c>
      <c r="C8" s="33"/>
      <c r="D8" s="37">
        <f>IF( ISERROR(IND_metaal_Gas_kWH/1000),0,IND_metaal_Gas_kWH/1000)*0.902</f>
        <v>269.01363092031994</v>
      </c>
      <c r="E8" s="33">
        <f>C30*'E Balans VL '!I18/100/3.6*1000000</f>
        <v>6.3746814625541166</v>
      </c>
      <c r="F8" s="33">
        <f>C30*'E Balans VL '!L18/100/3.6*1000000+C30*'E Balans VL '!N18/100/3.6*1000000</f>
        <v>56.920944895019552</v>
      </c>
      <c r="G8" s="34"/>
      <c r="H8" s="33"/>
      <c r="I8" s="33"/>
      <c r="J8" s="40">
        <f>C30*'E Balans VL '!D18/100/3.6*1000000+C30*'E Balans VL '!E18/100/3.6*1000000</f>
        <v>0</v>
      </c>
      <c r="K8" s="33"/>
      <c r="L8" s="33"/>
      <c r="M8" s="33"/>
      <c r="N8" s="33">
        <f>C30*'E Balans VL '!Y18/100/3.6*1000000</f>
        <v>6.0258703319763143</v>
      </c>
      <c r="O8" s="33"/>
      <c r="P8" s="33"/>
      <c r="R8" s="32"/>
    </row>
    <row r="9" spans="1:18">
      <c r="A9" s="6" t="s">
        <v>32</v>
      </c>
      <c r="B9" s="37">
        <f t="shared" si="0"/>
        <v>27789.137469714002</v>
      </c>
      <c r="C9" s="33"/>
      <c r="D9" s="37">
        <f>IF( ISERROR(IND_andere_gas_kWh/1000),0,IND_andere_gas_kWh/1000)*0.902</f>
        <v>8928.0067281311822</v>
      </c>
      <c r="E9" s="33">
        <f>C31*'E Balans VL '!I19/100/3.6*1000000</f>
        <v>7521.8362604046588</v>
      </c>
      <c r="F9" s="33">
        <f>C31*'E Balans VL '!L19/100/3.6*1000000+C31*'E Balans VL '!N19/100/3.6*1000000</f>
        <v>18510.506259858426</v>
      </c>
      <c r="G9" s="34"/>
      <c r="H9" s="33"/>
      <c r="I9" s="33"/>
      <c r="J9" s="40">
        <f>C31*'E Balans VL '!D19/100/3.6*1000000+C31*'E Balans VL '!E19/100/3.6*1000000</f>
        <v>0</v>
      </c>
      <c r="K9" s="33"/>
      <c r="L9" s="33"/>
      <c r="M9" s="33"/>
      <c r="N9" s="33">
        <f>C31*'E Balans VL '!Y19/100/3.6*1000000</f>
        <v>2349.3874910496015</v>
      </c>
      <c r="O9" s="33"/>
      <c r="P9" s="33"/>
      <c r="R9" s="32"/>
    </row>
    <row r="10" spans="1:18">
      <c r="A10" s="6" t="s">
        <v>40</v>
      </c>
      <c r="B10" s="37">
        <f t="shared" si="0"/>
        <v>551.73359887050003</v>
      </c>
      <c r="C10" s="33"/>
      <c r="D10" s="37">
        <f>IF( ISERROR(IND_voed_gas_kWh/1000),0,IND_voed_gas_kWh/1000)*0.902</f>
        <v>970.98743611330349</v>
      </c>
      <c r="E10" s="33">
        <f>C32*'E Balans VL '!I20/100/3.6*1000000</f>
        <v>45.00065989883737</v>
      </c>
      <c r="F10" s="33">
        <f>C32*'E Balans VL '!L20/100/3.6*1000000+C32*'E Balans VL '!N20/100/3.6*1000000</f>
        <v>822.68485357412158</v>
      </c>
      <c r="G10" s="34"/>
      <c r="H10" s="33"/>
      <c r="I10" s="33"/>
      <c r="J10" s="40">
        <f>C32*'E Balans VL '!D20/100/3.6*1000000+C32*'E Balans VL '!E20/100/3.6*1000000</f>
        <v>7.2987657983103289E-3</v>
      </c>
      <c r="K10" s="33"/>
      <c r="L10" s="33"/>
      <c r="M10" s="33"/>
      <c r="N10" s="33">
        <f>C32*'E Balans VL '!Y20/100/3.6*1000000</f>
        <v>162.07986276870403</v>
      </c>
      <c r="O10" s="33"/>
      <c r="P10" s="33"/>
      <c r="R10" s="32"/>
    </row>
    <row r="11" spans="1:18">
      <c r="A11" s="6" t="s">
        <v>39</v>
      </c>
      <c r="B11" s="37">
        <f t="shared" si="0"/>
        <v>32.582191926254303</v>
      </c>
      <c r="C11" s="33"/>
      <c r="D11" s="37">
        <f>IF( ISERROR(IND_textiel_gas_kWh/1000),0,IND_textiel_gas_kWh/1000)*0.902</f>
        <v>0</v>
      </c>
      <c r="E11" s="33">
        <f>C33*'E Balans VL '!I21/100/3.6*1000000</f>
        <v>6.4584570619733283E-3</v>
      </c>
      <c r="F11" s="33">
        <f>C33*'E Balans VL '!L21/100/3.6*1000000+C33*'E Balans VL '!N21/100/3.6*1000000</f>
        <v>1.2000414391839966</v>
      </c>
      <c r="G11" s="34"/>
      <c r="H11" s="33"/>
      <c r="I11" s="33"/>
      <c r="J11" s="40">
        <f>C33*'E Balans VL '!D21/100/3.6*1000000+C33*'E Balans VL '!E21/100/3.6*1000000</f>
        <v>0</v>
      </c>
      <c r="K11" s="33"/>
      <c r="L11" s="33"/>
      <c r="M11" s="33"/>
      <c r="N11" s="33">
        <f>C33*'E Balans VL '!Y21/100/3.6*1000000</f>
        <v>0.15149896734838431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3132.8036743733201</v>
      </c>
      <c r="C13" s="33"/>
      <c r="D13" s="37">
        <f>IF( ISERROR(IND_papier_gas_kWh/1000),0,IND_papier_gas_kWh/1000)*0.902</f>
        <v>924.07645011928048</v>
      </c>
      <c r="E13" s="33">
        <f>C35*'E Balans VL '!I23/100/3.6*1000000</f>
        <v>32.821825760838337</v>
      </c>
      <c r="F13" s="33">
        <f>C35*'E Balans VL '!L23/100/3.6*1000000+C35*'E Balans VL '!N23/100/3.6*1000000</f>
        <v>233.77036545876058</v>
      </c>
      <c r="G13" s="34"/>
      <c r="H13" s="33"/>
      <c r="I13" s="33"/>
      <c r="J13" s="40">
        <f>C35*'E Balans VL '!D23/100/3.6*1000000+C35*'E Balans VL '!E23/100/3.6*1000000</f>
        <v>0</v>
      </c>
      <c r="K13" s="33"/>
      <c r="L13" s="33"/>
      <c r="M13" s="33"/>
      <c r="N13" s="33">
        <f>C35*'E Balans VL '!Y23/100/3.6*1000000</f>
        <v>577.93453893251899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36373.357126763003</v>
      </c>
      <c r="C15" s="33"/>
      <c r="D15" s="37">
        <f>IF( ISERROR(IND_rest_gas_kWh/1000),0,IND_rest_gas_kWh/1000)*0.902</f>
        <v>58251.377780335919</v>
      </c>
      <c r="E15" s="33">
        <f>C37*'E Balans VL '!I15/100/3.6*1000000</f>
        <v>2029.2028524211401</v>
      </c>
      <c r="F15" s="33">
        <f>C37*'E Balans VL '!L15/100/3.6*1000000+C37*'E Balans VL '!N15/100/3.6*1000000</f>
        <v>8550.6350806523114</v>
      </c>
      <c r="G15" s="34"/>
      <c r="H15" s="33"/>
      <c r="I15" s="33"/>
      <c r="J15" s="40">
        <f>C37*'E Balans VL '!D15/100/3.6*1000000+C37*'E Balans VL '!E15/100/3.6*1000000</f>
        <v>93.227201699138888</v>
      </c>
      <c r="K15" s="33"/>
      <c r="L15" s="33"/>
      <c r="M15" s="33"/>
      <c r="N15" s="33">
        <f>C37*'E Balans VL '!Y15/100/3.6*1000000</f>
        <v>1688.0802300702771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68101.54471753379</v>
      </c>
      <c r="C18" s="21">
        <f>C5+C16</f>
        <v>0</v>
      </c>
      <c r="D18" s="21">
        <f>MAX((D5+D16),0)</f>
        <v>69343.462025620014</v>
      </c>
      <c r="E18" s="21">
        <f>MAX((E5+E16),0)</f>
        <v>9635.2427384050898</v>
      </c>
      <c r="F18" s="21">
        <f>MAX((F5+F16),0)</f>
        <v>28175.717545877826</v>
      </c>
      <c r="G18" s="21"/>
      <c r="H18" s="21"/>
      <c r="I18" s="21"/>
      <c r="J18" s="21">
        <f>MAX((J5+J16),0)</f>
        <v>93.234500464937199</v>
      </c>
      <c r="K18" s="21"/>
      <c r="L18" s="21">
        <f>MAX((L5+L16),0)</f>
        <v>0</v>
      </c>
      <c r="M18" s="21"/>
      <c r="N18" s="21">
        <f>MAX((N5+N16),0)</f>
        <v>4783.6594921204269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0.20359626164425099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13865.219916688668</v>
      </c>
      <c r="C22" s="23">
        <f ca="1">C18*C20</f>
        <v>0</v>
      </c>
      <c r="D22" s="23">
        <f>D18*D20</f>
        <v>14007.379329175244</v>
      </c>
      <c r="E22" s="23">
        <f>E18*E20</f>
        <v>2187.2001016179556</v>
      </c>
      <c r="F22" s="23">
        <f>F18*F20</f>
        <v>7522.9165847493796</v>
      </c>
      <c r="G22" s="23"/>
      <c r="H22" s="23"/>
      <c r="I22" s="23"/>
      <c r="J22" s="23">
        <f>J18*J20</f>
        <v>33.005013164587766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221.93065588670899</v>
      </c>
      <c r="C30" s="39">
        <f>IF(ISERROR(B30*3.6/1000000/'E Balans VL '!Z18*100),0,B30*3.6/1000000/'E Balans VL '!Z18*100)</f>
        <v>2.183741001063718E-2</v>
      </c>
      <c r="D30" s="235" t="s">
        <v>647</v>
      </c>
    </row>
    <row r="31" spans="1:18">
      <c r="A31" s="6" t="s">
        <v>32</v>
      </c>
      <c r="B31" s="37">
        <f>IF( ISERROR(IND_ander_ele_kWh/1000),0,IND_ander_ele_kWh/1000)</f>
        <v>27789.137469714002</v>
      </c>
      <c r="C31" s="39">
        <f>IF(ISERROR(B31*3.6/1000000/'E Balans VL '!Z19*100),0,B31*3.6/1000000/'E Balans VL '!Z19*100)</f>
        <v>1.2101947696294462</v>
      </c>
      <c r="D31" s="235" t="s">
        <v>647</v>
      </c>
    </row>
    <row r="32" spans="1:18">
      <c r="A32" s="170" t="s">
        <v>40</v>
      </c>
      <c r="B32" s="37">
        <f>IF( ISERROR(IND_voed_ele_kWh/1000),0,IND_voed_ele_kWh/1000)</f>
        <v>551.73359887050003</v>
      </c>
      <c r="C32" s="39">
        <f>IF(ISERROR(B32*3.6/1000000/'E Balans VL '!Z20*100),0,B32*3.6/1000000/'E Balans VL '!Z20*100)</f>
        <v>0.10468349352157828</v>
      </c>
      <c r="D32" s="235" t="s">
        <v>647</v>
      </c>
    </row>
    <row r="33" spans="1:5">
      <c r="A33" s="170" t="s">
        <v>39</v>
      </c>
      <c r="B33" s="37">
        <f>IF( ISERROR(IND_textiel_ele_kWh/1000),0,IND_textiel_ele_kWh/1000)</f>
        <v>32.582191926254303</v>
      </c>
      <c r="C33" s="39">
        <f>IF(ISERROR(B33*3.6/1000000/'E Balans VL '!Z21*100),0,B33*3.6/1000000/'E Balans VL '!Z21*100)</f>
        <v>1.8602779263735031E-3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3132.8036743733201</v>
      </c>
      <c r="C35" s="39">
        <f>IF(ISERROR(B35*3.6/1000000/'E Balans VL '!Z22*100),0,B35*3.6/1000000/'E Balans VL '!Z22*100)</f>
        <v>0.44050365525083285</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36373.357126763003</v>
      </c>
      <c r="C37" s="39">
        <f>IF(ISERROR(B37*3.6/1000000/'E Balans VL '!Z15*100),0,B37*3.6/1000000/'E Balans VL '!Z15*100)</f>
        <v>0.28030139235319596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493.61246702001097</v>
      </c>
      <c r="C5" s="17">
        <f>'Eigen informatie GS &amp; warmtenet'!B60</f>
        <v>0</v>
      </c>
      <c r="D5" s="30">
        <f>IF(ISERROR(SUM(LB_lb_gas_kWh,LB_rest_gas_kWh)/1000),0,SUM(LB_lb_gas_kWh,LB_rest_gas_kWh)/1000)*0.902</f>
        <v>363.25918069381606</v>
      </c>
      <c r="E5" s="17">
        <f>B17*'E Balans VL '!I25/3.6*1000000/100</f>
        <v>10.249719807285075</v>
      </c>
      <c r="F5" s="17">
        <f>B17*('E Balans VL '!L25/3.6*1000000+'E Balans VL '!N25/3.6*1000000)/100</f>
        <v>1744.439053997118</v>
      </c>
      <c r="G5" s="18"/>
      <c r="H5" s="17"/>
      <c r="I5" s="17"/>
      <c r="J5" s="17">
        <f>('E Balans VL '!D25+'E Balans VL '!E25)/3.6*1000000*landbouw!B17/100</f>
        <v>56.614227952094424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493.61246702001097</v>
      </c>
      <c r="C8" s="21">
        <f>C5+C6</f>
        <v>0</v>
      </c>
      <c r="D8" s="21">
        <f>MAX((D5+D6),0)</f>
        <v>363.25918069381606</v>
      </c>
      <c r="E8" s="21">
        <f>MAX((E5+E6),0)</f>
        <v>10.249719807285075</v>
      </c>
      <c r="F8" s="21">
        <f>MAX((F5+F6),0)</f>
        <v>1744.439053997118</v>
      </c>
      <c r="G8" s="21"/>
      <c r="H8" s="21"/>
      <c r="I8" s="21"/>
      <c r="J8" s="21">
        <f>MAX((J5+J6),0)</f>
        <v>56.614227952094424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0.20359626164425099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100.49765298627037</v>
      </c>
      <c r="C12" s="23">
        <f ca="1">C8*C10</f>
        <v>0</v>
      </c>
      <c r="D12" s="23">
        <f>D8*D10</f>
        <v>73.378354500150849</v>
      </c>
      <c r="E12" s="23">
        <f>E8*E10</f>
        <v>2.3266863962537121</v>
      </c>
      <c r="F12" s="23">
        <f>F8*F10</f>
        <v>465.76522741723051</v>
      </c>
      <c r="G12" s="23"/>
      <c r="H12" s="23"/>
      <c r="I12" s="23"/>
      <c r="J12" s="23">
        <f>J8*J10</f>
        <v>20.041436695041426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6.8843381387401578E-2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95.375276569773291</v>
      </c>
      <c r="C26" s="245">
        <f>B26*'GWP N2O_CH4'!B5</f>
        <v>2002.880807965239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11.83176535029936</v>
      </c>
      <c r="C27" s="245">
        <f>B27*'GWP N2O_CH4'!B5</f>
        <v>248.46707235628656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1.5216744820612915</v>
      </c>
      <c r="C28" s="245">
        <f>B28*'GWP N2O_CH4'!B4</f>
        <v>471.71908943900036</v>
      </c>
      <c r="D28" s="50"/>
    </row>
    <row r="29" spans="1:4">
      <c r="A29" s="41" t="s">
        <v>266</v>
      </c>
      <c r="B29" s="245">
        <f>B34*'ha_N2O bodem landbouw'!B4</f>
        <v>7.8865703821183173</v>
      </c>
      <c r="C29" s="245">
        <f>B29*'GWP N2O_CH4'!B4</f>
        <v>2444.8368184566784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1.9691978196042267E-3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3.2798466905624108E-5</v>
      </c>
      <c r="C5" s="434" t="s">
        <v>204</v>
      </c>
      <c r="D5" s="419">
        <f>SUM(D6:D11)</f>
        <v>3.1844655092882787E-5</v>
      </c>
      <c r="E5" s="419">
        <f>SUM(E6:E11)</f>
        <v>1.126763783674269E-3</v>
      </c>
      <c r="F5" s="432" t="s">
        <v>204</v>
      </c>
      <c r="G5" s="419">
        <f>SUM(G6:G11)</f>
        <v>0.32888937425075226</v>
      </c>
      <c r="H5" s="419">
        <f>SUM(H6:H11)</f>
        <v>5.7980743416983137E-2</v>
      </c>
      <c r="I5" s="434" t="s">
        <v>204</v>
      </c>
      <c r="J5" s="434" t="s">
        <v>204</v>
      </c>
      <c r="K5" s="434" t="s">
        <v>204</v>
      </c>
      <c r="L5" s="434" t="s">
        <v>204</v>
      </c>
      <c r="M5" s="419">
        <f>SUM(M6:M11)</f>
        <v>1.749272435436651E-2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2.5511337093304496E-5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2.2628758655550414E-5</v>
      </c>
      <c r="E6" s="836">
        <f>vkm_GW_PW*SUMIFS(TableVerdeelsleutelVkm[LPG],TableVerdeelsleutelVkm[Voertuigtype],"Lichte voertuigen")*SUMIFS(TableECFTransport[EnergieConsumptieFactor (PJ per km)],TableECFTransport[Index],CONCATENATE($A6,"_LPG_LPG"))</f>
        <v>8.1258004717205666E-4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0.16153638822645128</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4.1699635609366917E-2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9.1944361191597605E-3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6.4927956140204413E-7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0.10160259747969856</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2.6727162033139018E-6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4.5875300901824312E-3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6.6038928639932449E-6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9.2158964373323772E-6</v>
      </c>
      <c r="E8" s="422">
        <f>vkm_NGW_PW*SUMIFS(TableVerdeelsleutelVkm[LPG],TableVerdeelsleutelVkm[Voertuigtype],"Lichte voertuigen")*SUMIFS(TableECFTransport[EnergieConsumptieFactor (PJ per km)],TableECFTransport[Index],CONCATENATE($A8,"_LPG_LPG"))</f>
        <v>3.141837365022123E-4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5.8924685460443466E-2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1.6278266369370475E-2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3.4025665348723791E-3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3.39573869243236E-8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6.8257030841590016E-3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1.6872204242779877E-7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3.0819161015193698E-4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9.1106852515622538</v>
      </c>
      <c r="C14" s="21"/>
      <c r="D14" s="21">
        <f t="shared" ref="D14:M14" si="0">((D5)*10^9/3600)+D12</f>
        <v>8.8457375258007751</v>
      </c>
      <c r="E14" s="21">
        <f t="shared" si="0"/>
        <v>312.98993990951914</v>
      </c>
      <c r="F14" s="21"/>
      <c r="G14" s="21">
        <f t="shared" si="0"/>
        <v>91358.159514097846</v>
      </c>
      <c r="H14" s="21">
        <f t="shared" si="0"/>
        <v>16105.762060273093</v>
      </c>
      <c r="I14" s="21"/>
      <c r="J14" s="21"/>
      <c r="K14" s="21"/>
      <c r="L14" s="21"/>
      <c r="M14" s="21">
        <f t="shared" si="0"/>
        <v>4859.090098435142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0.20359626164425099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1.8549014582354872</v>
      </c>
      <c r="C18" s="23"/>
      <c r="D18" s="23">
        <f t="shared" ref="D18:M18" si="1">D14*D16</f>
        <v>1.7868389802117566</v>
      </c>
      <c r="E18" s="23">
        <f t="shared" si="1"/>
        <v>71.04871635946084</v>
      </c>
      <c r="F18" s="23"/>
      <c r="G18" s="23">
        <f t="shared" si="1"/>
        <v>24392.628590264125</v>
      </c>
      <c r="H18" s="23">
        <f t="shared" si="1"/>
        <v>4010.334753008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1.1781539863877243E-5</v>
      </c>
      <c r="C50" s="316">
        <f t="shared" ref="C50:P50" si="2">SUM(C51:C52)</f>
        <v>0</v>
      </c>
      <c r="D50" s="316">
        <f t="shared" si="2"/>
        <v>0</v>
      </c>
      <c r="E50" s="316">
        <f t="shared" si="2"/>
        <v>0</v>
      </c>
      <c r="F50" s="316">
        <f t="shared" si="2"/>
        <v>0</v>
      </c>
      <c r="G50" s="316">
        <f t="shared" si="2"/>
        <v>2.2932100699206044E-3</v>
      </c>
      <c r="H50" s="316">
        <f t="shared" si="2"/>
        <v>0</v>
      </c>
      <c r="I50" s="316">
        <f t="shared" si="2"/>
        <v>0</v>
      </c>
      <c r="J50" s="316">
        <f t="shared" si="2"/>
        <v>0</v>
      </c>
      <c r="K50" s="316">
        <f t="shared" si="2"/>
        <v>0</v>
      </c>
      <c r="L50" s="316">
        <f t="shared" si="2"/>
        <v>0</v>
      </c>
      <c r="M50" s="316">
        <f t="shared" si="2"/>
        <v>1.0282946644013787E-4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1.1781539863877243E-5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2.2932100699206044E-3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1.0282946644013787E-4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3.2726499621881233</v>
      </c>
      <c r="C54" s="21">
        <f t="shared" ref="C54:P54" si="3">(C50)*10^9/3600</f>
        <v>0</v>
      </c>
      <c r="D54" s="21">
        <f t="shared" si="3"/>
        <v>0</v>
      </c>
      <c r="E54" s="21">
        <f t="shared" si="3"/>
        <v>0</v>
      </c>
      <c r="F54" s="21">
        <f t="shared" si="3"/>
        <v>0</v>
      </c>
      <c r="G54" s="21">
        <f t="shared" si="3"/>
        <v>637.00279720016795</v>
      </c>
      <c r="H54" s="21">
        <f t="shared" si="3"/>
        <v>0</v>
      </c>
      <c r="I54" s="21">
        <f t="shared" si="3"/>
        <v>0</v>
      </c>
      <c r="J54" s="21">
        <f t="shared" si="3"/>
        <v>0</v>
      </c>
      <c r="K54" s="21">
        <f t="shared" si="3"/>
        <v>0</v>
      </c>
      <c r="L54" s="21">
        <f t="shared" si="3"/>
        <v>0</v>
      </c>
      <c r="M54" s="21">
        <f t="shared" si="3"/>
        <v>28.563740677816075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0.20359626164425099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0.66629929797170129</v>
      </c>
      <c r="C58" s="23">
        <f t="shared" ref="C58:P58" ca="1" si="4">C54*C56</f>
        <v>0</v>
      </c>
      <c r="D58" s="23">
        <f t="shared" si="4"/>
        <v>0</v>
      </c>
      <c r="E58" s="23">
        <f t="shared" si="4"/>
        <v>0</v>
      </c>
      <c r="F58" s="23">
        <f t="shared" si="4"/>
        <v>0</v>
      </c>
      <c r="G58" s="23">
        <f t="shared" si="4"/>
        <v>170.07974685244486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11426.423254085408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11426.423254085408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37397.148467944382</v>
      </c>
      <c r="D10" s="640">
        <f ca="1">tertiair!C16</f>
        <v>0</v>
      </c>
      <c r="E10" s="640">
        <f ca="1">tertiair!D16</f>
        <v>45359.252611778182</v>
      </c>
      <c r="F10" s="640">
        <f>tertiair!E16</f>
        <v>216.9015850402034</v>
      </c>
      <c r="G10" s="640">
        <f ca="1">tertiair!F16</f>
        <v>4417.8236067040489</v>
      </c>
      <c r="H10" s="640">
        <f>tertiair!G16</f>
        <v>0</v>
      </c>
      <c r="I10" s="640">
        <f>tertiair!H16</f>
        <v>0</v>
      </c>
      <c r="J10" s="640">
        <f>tertiair!I16</f>
        <v>0</v>
      </c>
      <c r="K10" s="640">
        <f>tertiair!J16</f>
        <v>43.865368134463019</v>
      </c>
      <c r="L10" s="640">
        <f>tertiair!K16</f>
        <v>0</v>
      </c>
      <c r="M10" s="640">
        <f ca="1">tertiair!L16</f>
        <v>0</v>
      </c>
      <c r="N10" s="640">
        <f>tertiair!M16</f>
        <v>0</v>
      </c>
      <c r="O10" s="640">
        <f ca="1">tertiair!N16</f>
        <v>2232.9411927905462</v>
      </c>
      <c r="P10" s="640">
        <f>tertiair!O16</f>
        <v>1.5633333333333335</v>
      </c>
      <c r="Q10" s="641">
        <f>tertiair!P16</f>
        <v>57.2</v>
      </c>
      <c r="R10" s="643">
        <f ca="1">SUM(C10:Q10)</f>
        <v>89726.696165725152</v>
      </c>
      <c r="S10" s="67"/>
    </row>
    <row r="11" spans="1:19" s="444" customFormat="1">
      <c r="A11" s="754" t="s">
        <v>214</v>
      </c>
      <c r="B11" s="759"/>
      <c r="C11" s="640">
        <f>huishoudens!B8</f>
        <v>38018.55366683122</v>
      </c>
      <c r="D11" s="640">
        <f>huishoudens!C8</f>
        <v>0</v>
      </c>
      <c r="E11" s="640">
        <f>huishoudens!D8</f>
        <v>107389.99491445746</v>
      </c>
      <c r="F11" s="640">
        <f>huishoudens!E8</f>
        <v>1399.3257266676585</v>
      </c>
      <c r="G11" s="640">
        <f>huishoudens!F8</f>
        <v>42882.998434192668</v>
      </c>
      <c r="H11" s="640">
        <f>huishoudens!G8</f>
        <v>0</v>
      </c>
      <c r="I11" s="640">
        <f>huishoudens!H8</f>
        <v>0</v>
      </c>
      <c r="J11" s="640">
        <f>huishoudens!I8</f>
        <v>0</v>
      </c>
      <c r="K11" s="640">
        <f>huishoudens!J8</f>
        <v>812.11860281548547</v>
      </c>
      <c r="L11" s="640">
        <f>huishoudens!K8</f>
        <v>0</v>
      </c>
      <c r="M11" s="640">
        <f>huishoudens!L8</f>
        <v>0</v>
      </c>
      <c r="N11" s="640">
        <f>huishoudens!M8</f>
        <v>0</v>
      </c>
      <c r="O11" s="640">
        <f>huishoudens!N8</f>
        <v>13086.700517553716</v>
      </c>
      <c r="P11" s="640">
        <f>huishoudens!O8</f>
        <v>200.10666666666668</v>
      </c>
      <c r="Q11" s="641">
        <f>huishoudens!P8</f>
        <v>343.2</v>
      </c>
      <c r="R11" s="643">
        <f>SUM(C11:Q11)</f>
        <v>204132.9985291849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68101.54471753379</v>
      </c>
      <c r="D13" s="640">
        <f>industrie!C18</f>
        <v>0</v>
      </c>
      <c r="E13" s="640">
        <f>industrie!D18</f>
        <v>69343.462025620014</v>
      </c>
      <c r="F13" s="640">
        <f>industrie!E18</f>
        <v>9635.2427384050898</v>
      </c>
      <c r="G13" s="640">
        <f>industrie!F18</f>
        <v>28175.717545877826</v>
      </c>
      <c r="H13" s="640">
        <f>industrie!G18</f>
        <v>0</v>
      </c>
      <c r="I13" s="640">
        <f>industrie!H18</f>
        <v>0</v>
      </c>
      <c r="J13" s="640">
        <f>industrie!I18</f>
        <v>0</v>
      </c>
      <c r="K13" s="640">
        <f>industrie!J18</f>
        <v>93.234500464937199</v>
      </c>
      <c r="L13" s="640">
        <f>industrie!K18</f>
        <v>0</v>
      </c>
      <c r="M13" s="640">
        <f>industrie!L18</f>
        <v>0</v>
      </c>
      <c r="N13" s="640">
        <f>industrie!M18</f>
        <v>0</v>
      </c>
      <c r="O13" s="640">
        <f>industrie!N18</f>
        <v>4783.6594921204269</v>
      </c>
      <c r="P13" s="640">
        <f>industrie!O18</f>
        <v>0</v>
      </c>
      <c r="Q13" s="641">
        <f>industrie!P18</f>
        <v>0</v>
      </c>
      <c r="R13" s="643">
        <f>SUM(C13:Q13)</f>
        <v>180132.86102002207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143517.24685230938</v>
      </c>
      <c r="D16" s="675">
        <f t="shared" ref="D16:R16" ca="1" si="0">SUM(D9:D15)</f>
        <v>0</v>
      </c>
      <c r="E16" s="675">
        <f t="shared" ca="1" si="0"/>
        <v>222092.70955185566</v>
      </c>
      <c r="F16" s="675">
        <f t="shared" si="0"/>
        <v>11251.470050112952</v>
      </c>
      <c r="G16" s="675">
        <f t="shared" ca="1" si="0"/>
        <v>75476.539586774539</v>
      </c>
      <c r="H16" s="675">
        <f t="shared" si="0"/>
        <v>0</v>
      </c>
      <c r="I16" s="675">
        <f t="shared" si="0"/>
        <v>0</v>
      </c>
      <c r="J16" s="675">
        <f t="shared" si="0"/>
        <v>0</v>
      </c>
      <c r="K16" s="675">
        <f t="shared" si="0"/>
        <v>949.2184714148857</v>
      </c>
      <c r="L16" s="675">
        <f t="shared" si="0"/>
        <v>0</v>
      </c>
      <c r="M16" s="675">
        <f t="shared" ca="1" si="0"/>
        <v>0</v>
      </c>
      <c r="N16" s="675">
        <f t="shared" si="0"/>
        <v>0</v>
      </c>
      <c r="O16" s="675">
        <f t="shared" ca="1" si="0"/>
        <v>20103.301202464689</v>
      </c>
      <c r="P16" s="675">
        <f t="shared" si="0"/>
        <v>201.67000000000002</v>
      </c>
      <c r="Q16" s="675">
        <f t="shared" si="0"/>
        <v>400.4</v>
      </c>
      <c r="R16" s="675">
        <f t="shared" ca="1" si="0"/>
        <v>473992.55571493215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3.2726499621881233</v>
      </c>
      <c r="D19" s="640">
        <f>transport!C54</f>
        <v>0</v>
      </c>
      <c r="E19" s="640">
        <f>transport!D54</f>
        <v>0</v>
      </c>
      <c r="F19" s="640">
        <f>transport!E54</f>
        <v>0</v>
      </c>
      <c r="G19" s="640">
        <f>transport!F54</f>
        <v>0</v>
      </c>
      <c r="H19" s="640">
        <f>transport!G54</f>
        <v>637.00279720016795</v>
      </c>
      <c r="I19" s="640">
        <f>transport!H54</f>
        <v>0</v>
      </c>
      <c r="J19" s="640">
        <f>transport!I54</f>
        <v>0</v>
      </c>
      <c r="K19" s="640">
        <f>transport!J54</f>
        <v>0</v>
      </c>
      <c r="L19" s="640">
        <f>transport!K54</f>
        <v>0</v>
      </c>
      <c r="M19" s="640">
        <f>transport!L54</f>
        <v>0</v>
      </c>
      <c r="N19" s="640">
        <f>transport!M54</f>
        <v>28.563740677816075</v>
      </c>
      <c r="O19" s="640">
        <f>transport!N54</f>
        <v>0</v>
      </c>
      <c r="P19" s="640">
        <f>transport!O54</f>
        <v>0</v>
      </c>
      <c r="Q19" s="641">
        <f>transport!P54</f>
        <v>0</v>
      </c>
      <c r="R19" s="643">
        <f>SUM(C19:Q19)</f>
        <v>668.83918784017214</v>
      </c>
      <c r="S19" s="67"/>
    </row>
    <row r="20" spans="1:19" s="444" customFormat="1">
      <c r="A20" s="754" t="s">
        <v>296</v>
      </c>
      <c r="B20" s="759"/>
      <c r="C20" s="640">
        <f>transport!B14</f>
        <v>9.1106852515622538</v>
      </c>
      <c r="D20" s="640">
        <f>transport!C14</f>
        <v>0</v>
      </c>
      <c r="E20" s="640">
        <f>transport!D14</f>
        <v>8.8457375258007751</v>
      </c>
      <c r="F20" s="640">
        <f>transport!E14</f>
        <v>312.98993990951914</v>
      </c>
      <c r="G20" s="640">
        <f>transport!F14</f>
        <v>0</v>
      </c>
      <c r="H20" s="640">
        <f>transport!G14</f>
        <v>91358.159514097846</v>
      </c>
      <c r="I20" s="640">
        <f>transport!H14</f>
        <v>16105.762060273093</v>
      </c>
      <c r="J20" s="640">
        <f>transport!I14</f>
        <v>0</v>
      </c>
      <c r="K20" s="640">
        <f>transport!J14</f>
        <v>0</v>
      </c>
      <c r="L20" s="640">
        <f>transport!K14</f>
        <v>0</v>
      </c>
      <c r="M20" s="640">
        <f>transport!L14</f>
        <v>0</v>
      </c>
      <c r="N20" s="640">
        <f>transport!M14</f>
        <v>4859.090098435142</v>
      </c>
      <c r="O20" s="640">
        <f>transport!N14</f>
        <v>0</v>
      </c>
      <c r="P20" s="640">
        <f>transport!O14</f>
        <v>0</v>
      </c>
      <c r="Q20" s="641">
        <f>transport!P14</f>
        <v>0</v>
      </c>
      <c r="R20" s="643">
        <f>SUM(C20:Q20)</f>
        <v>112653.95803549296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12.383335213750378</v>
      </c>
      <c r="D22" s="757">
        <f t="shared" ref="D22:R22" si="1">SUM(D18:D21)</f>
        <v>0</v>
      </c>
      <c r="E22" s="757">
        <f t="shared" si="1"/>
        <v>8.8457375258007751</v>
      </c>
      <c r="F22" s="757">
        <f t="shared" si="1"/>
        <v>312.98993990951914</v>
      </c>
      <c r="G22" s="757">
        <f t="shared" si="1"/>
        <v>0</v>
      </c>
      <c r="H22" s="757">
        <f t="shared" si="1"/>
        <v>91995.162311298016</v>
      </c>
      <c r="I22" s="757">
        <f t="shared" si="1"/>
        <v>16105.762060273093</v>
      </c>
      <c r="J22" s="757">
        <f t="shared" si="1"/>
        <v>0</v>
      </c>
      <c r="K22" s="757">
        <f t="shared" si="1"/>
        <v>0</v>
      </c>
      <c r="L22" s="757">
        <f t="shared" si="1"/>
        <v>0</v>
      </c>
      <c r="M22" s="757">
        <f t="shared" si="1"/>
        <v>0</v>
      </c>
      <c r="N22" s="757">
        <f t="shared" si="1"/>
        <v>4887.6538391129579</v>
      </c>
      <c r="O22" s="757">
        <f t="shared" si="1"/>
        <v>0</v>
      </c>
      <c r="P22" s="757">
        <f t="shared" si="1"/>
        <v>0</v>
      </c>
      <c r="Q22" s="757">
        <f t="shared" si="1"/>
        <v>0</v>
      </c>
      <c r="R22" s="757">
        <f t="shared" si="1"/>
        <v>113322.79722333314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493.61246702001097</v>
      </c>
      <c r="D24" s="640">
        <f>+landbouw!C8</f>
        <v>0</v>
      </c>
      <c r="E24" s="640">
        <f>+landbouw!D8</f>
        <v>363.25918069381606</v>
      </c>
      <c r="F24" s="640">
        <f>+landbouw!E8</f>
        <v>10.249719807285075</v>
      </c>
      <c r="G24" s="640">
        <f>+landbouw!F8</f>
        <v>1744.439053997118</v>
      </c>
      <c r="H24" s="640">
        <f>+landbouw!G8</f>
        <v>0</v>
      </c>
      <c r="I24" s="640">
        <f>+landbouw!H8</f>
        <v>0</v>
      </c>
      <c r="J24" s="640">
        <f>+landbouw!I8</f>
        <v>0</v>
      </c>
      <c r="K24" s="640">
        <f>+landbouw!J8</f>
        <v>56.614227952094424</v>
      </c>
      <c r="L24" s="640">
        <f>+landbouw!K8</f>
        <v>0</v>
      </c>
      <c r="M24" s="640">
        <f>+landbouw!L8</f>
        <v>0</v>
      </c>
      <c r="N24" s="640">
        <f>+landbouw!M8</f>
        <v>0</v>
      </c>
      <c r="O24" s="640">
        <f>+landbouw!N8</f>
        <v>0</v>
      </c>
      <c r="P24" s="640">
        <f>+landbouw!O8</f>
        <v>0</v>
      </c>
      <c r="Q24" s="641">
        <f>+landbouw!P8</f>
        <v>0</v>
      </c>
      <c r="R24" s="643">
        <f>SUM(C24:Q24)</f>
        <v>2668.1746494703248</v>
      </c>
      <c r="S24" s="67"/>
    </row>
    <row r="25" spans="1:19" s="444" customFormat="1" ht="15" thickBot="1">
      <c r="A25" s="776" t="s">
        <v>806</v>
      </c>
      <c r="B25" s="939"/>
      <c r="C25" s="940">
        <f>IF(Onbekend_ele_kWh="---",0,Onbekend_ele_kWh)/1000+IF(REST_rest_ele_kWh="---",0,REST_rest_ele_kWh)/1000</f>
        <v>1074.2925723472401</v>
      </c>
      <c r="D25" s="940"/>
      <c r="E25" s="940">
        <f>IF(onbekend_gas_kWh="---",0,onbekend_gas_kWh)/1000+IF(REST_rest_gas_kWh="---",0,REST_rest_gas_kWh)/1000</f>
        <v>4079.4975758502896</v>
      </c>
      <c r="F25" s="940"/>
      <c r="G25" s="940"/>
      <c r="H25" s="940"/>
      <c r="I25" s="940"/>
      <c r="J25" s="940"/>
      <c r="K25" s="940"/>
      <c r="L25" s="940"/>
      <c r="M25" s="940"/>
      <c r="N25" s="940"/>
      <c r="O25" s="940"/>
      <c r="P25" s="940"/>
      <c r="Q25" s="941"/>
      <c r="R25" s="643">
        <f>SUM(C25:Q25)</f>
        <v>5153.7901481975296</v>
      </c>
      <c r="S25" s="67"/>
    </row>
    <row r="26" spans="1:19" s="444" customFormat="1" ht="15.75" thickBot="1">
      <c r="A26" s="648" t="s">
        <v>807</v>
      </c>
      <c r="B26" s="762"/>
      <c r="C26" s="757">
        <f>SUM(C24:C25)</f>
        <v>1567.905039367251</v>
      </c>
      <c r="D26" s="757">
        <f t="shared" ref="D26:R26" si="2">SUM(D24:D25)</f>
        <v>0</v>
      </c>
      <c r="E26" s="757">
        <f t="shared" si="2"/>
        <v>4442.7567565441059</v>
      </c>
      <c r="F26" s="757">
        <f t="shared" si="2"/>
        <v>10.249719807285075</v>
      </c>
      <c r="G26" s="757">
        <f t="shared" si="2"/>
        <v>1744.439053997118</v>
      </c>
      <c r="H26" s="757">
        <f t="shared" si="2"/>
        <v>0</v>
      </c>
      <c r="I26" s="757">
        <f t="shared" si="2"/>
        <v>0</v>
      </c>
      <c r="J26" s="757">
        <f t="shared" si="2"/>
        <v>0</v>
      </c>
      <c r="K26" s="757">
        <f t="shared" si="2"/>
        <v>56.614227952094424</v>
      </c>
      <c r="L26" s="757">
        <f t="shared" si="2"/>
        <v>0</v>
      </c>
      <c r="M26" s="757">
        <f t="shared" si="2"/>
        <v>0</v>
      </c>
      <c r="N26" s="757">
        <f t="shared" si="2"/>
        <v>0</v>
      </c>
      <c r="O26" s="757">
        <f t="shared" si="2"/>
        <v>0</v>
      </c>
      <c r="P26" s="757">
        <f t="shared" si="2"/>
        <v>0</v>
      </c>
      <c r="Q26" s="757">
        <f t="shared" si="2"/>
        <v>0</v>
      </c>
      <c r="R26" s="757">
        <f t="shared" si="2"/>
        <v>7821.9647976678543</v>
      </c>
      <c r="S26" s="67"/>
    </row>
    <row r="27" spans="1:19" s="444" customFormat="1" ht="17.25" thickTop="1" thickBot="1">
      <c r="A27" s="649" t="s">
        <v>109</v>
      </c>
      <c r="B27" s="749"/>
      <c r="C27" s="650">
        <f ca="1">C22+C16+C26</f>
        <v>145097.53522689038</v>
      </c>
      <c r="D27" s="650">
        <f t="shared" ref="D27:R27" ca="1" si="3">D22+D16+D26</f>
        <v>0</v>
      </c>
      <c r="E27" s="650">
        <f t="shared" ca="1" si="3"/>
        <v>226544.31204592559</v>
      </c>
      <c r="F27" s="650">
        <f t="shared" si="3"/>
        <v>11574.709709829756</v>
      </c>
      <c r="G27" s="650">
        <f t="shared" ca="1" si="3"/>
        <v>77220.97864077166</v>
      </c>
      <c r="H27" s="650">
        <f t="shared" si="3"/>
        <v>91995.162311298016</v>
      </c>
      <c r="I27" s="650">
        <f t="shared" si="3"/>
        <v>16105.762060273093</v>
      </c>
      <c r="J27" s="650">
        <f t="shared" si="3"/>
        <v>0</v>
      </c>
      <c r="K27" s="650">
        <f t="shared" si="3"/>
        <v>1005.8326993669801</v>
      </c>
      <c r="L27" s="650">
        <f t="shared" si="3"/>
        <v>0</v>
      </c>
      <c r="M27" s="650">
        <f t="shared" ca="1" si="3"/>
        <v>0</v>
      </c>
      <c r="N27" s="650">
        <f t="shared" si="3"/>
        <v>4887.6538391129579</v>
      </c>
      <c r="O27" s="650">
        <f t="shared" ca="1" si="3"/>
        <v>20103.301202464689</v>
      </c>
      <c r="P27" s="650">
        <f t="shared" si="3"/>
        <v>201.67000000000002</v>
      </c>
      <c r="Q27" s="650">
        <f t="shared" si="3"/>
        <v>400.4</v>
      </c>
      <c r="R27" s="650">
        <f t="shared" ca="1" si="3"/>
        <v>595137.31773593312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7613.9196242285043</v>
      </c>
      <c r="D40" s="640">
        <f ca="1">tertiair!C20</f>
        <v>0</v>
      </c>
      <c r="E40" s="640">
        <f ca="1">tertiair!D20</f>
        <v>9162.5690275791931</v>
      </c>
      <c r="F40" s="640">
        <f>tertiair!E20</f>
        <v>49.236659804126177</v>
      </c>
      <c r="G40" s="640">
        <f ca="1">tertiair!F20</f>
        <v>1179.5589029899811</v>
      </c>
      <c r="H40" s="640">
        <f>tertiair!G20</f>
        <v>0</v>
      </c>
      <c r="I40" s="640">
        <f>tertiair!H20</f>
        <v>0</v>
      </c>
      <c r="J40" s="640">
        <f>tertiair!I20</f>
        <v>0</v>
      </c>
      <c r="K40" s="640">
        <f>tertiair!J20</f>
        <v>15.528340319599907</v>
      </c>
      <c r="L40" s="640">
        <f>tertiair!K20</f>
        <v>0</v>
      </c>
      <c r="M40" s="640">
        <f ca="1">tertiair!L20</f>
        <v>0</v>
      </c>
      <c r="N40" s="640">
        <f>tertiair!M20</f>
        <v>0</v>
      </c>
      <c r="O40" s="640">
        <f ca="1">tertiair!N20</f>
        <v>0</v>
      </c>
      <c r="P40" s="640">
        <f>tertiair!O20</f>
        <v>0</v>
      </c>
      <c r="Q40" s="717">
        <f>tertiair!P20</f>
        <v>0</v>
      </c>
      <c r="R40" s="795">
        <f t="shared" ca="1" si="4"/>
        <v>18020.812554921406</v>
      </c>
    </row>
    <row r="41" spans="1:18">
      <c r="A41" s="767" t="s">
        <v>214</v>
      </c>
      <c r="B41" s="774"/>
      <c r="C41" s="640">
        <f ca="1">huishoudens!B12</f>
        <v>7740.4353996881664</v>
      </c>
      <c r="D41" s="640">
        <f ca="1">huishoudens!C12</f>
        <v>0</v>
      </c>
      <c r="E41" s="640">
        <f>huishoudens!D12</f>
        <v>21692.778972720411</v>
      </c>
      <c r="F41" s="640">
        <f>huishoudens!E12</f>
        <v>317.6469399535585</v>
      </c>
      <c r="G41" s="640">
        <f>huishoudens!F12</f>
        <v>11449.760581929442</v>
      </c>
      <c r="H41" s="640">
        <f>huishoudens!G12</f>
        <v>0</v>
      </c>
      <c r="I41" s="640">
        <f>huishoudens!H12</f>
        <v>0</v>
      </c>
      <c r="J41" s="640">
        <f>huishoudens!I12</f>
        <v>0</v>
      </c>
      <c r="K41" s="640">
        <f>huishoudens!J12</f>
        <v>287.48998539668185</v>
      </c>
      <c r="L41" s="640">
        <f>huishoudens!K12</f>
        <v>0</v>
      </c>
      <c r="M41" s="640">
        <f>huishoudens!L12</f>
        <v>0</v>
      </c>
      <c r="N41" s="640">
        <f>huishoudens!M12</f>
        <v>0</v>
      </c>
      <c r="O41" s="640">
        <f>huishoudens!N12</f>
        <v>0</v>
      </c>
      <c r="P41" s="640">
        <f>huishoudens!O12</f>
        <v>0</v>
      </c>
      <c r="Q41" s="717">
        <f>huishoudens!P12</f>
        <v>0</v>
      </c>
      <c r="R41" s="795">
        <f t="shared" ca="1" si="4"/>
        <v>41488.111879688266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13865.219916688668</v>
      </c>
      <c r="D43" s="640">
        <f ca="1">industrie!C22</f>
        <v>0</v>
      </c>
      <c r="E43" s="640">
        <f>industrie!D22</f>
        <v>14007.379329175244</v>
      </c>
      <c r="F43" s="640">
        <f>industrie!E22</f>
        <v>2187.2001016179556</v>
      </c>
      <c r="G43" s="640">
        <f>industrie!F22</f>
        <v>7522.9165847493796</v>
      </c>
      <c r="H43" s="640">
        <f>industrie!G22</f>
        <v>0</v>
      </c>
      <c r="I43" s="640">
        <f>industrie!H22</f>
        <v>0</v>
      </c>
      <c r="J43" s="640">
        <f>industrie!I22</f>
        <v>0</v>
      </c>
      <c r="K43" s="640">
        <f>industrie!J22</f>
        <v>33.005013164587766</v>
      </c>
      <c r="L43" s="640">
        <f>industrie!K22</f>
        <v>0</v>
      </c>
      <c r="M43" s="640">
        <f>industrie!L22</f>
        <v>0</v>
      </c>
      <c r="N43" s="640">
        <f>industrie!M22</f>
        <v>0</v>
      </c>
      <c r="O43" s="640">
        <f>industrie!N22</f>
        <v>0</v>
      </c>
      <c r="P43" s="640">
        <f>industrie!O22</f>
        <v>0</v>
      </c>
      <c r="Q43" s="717">
        <f>industrie!P22</f>
        <v>0</v>
      </c>
      <c r="R43" s="794">
        <f t="shared" ca="1" si="4"/>
        <v>37615.720945395842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29219.574940605336</v>
      </c>
      <c r="D46" s="675">
        <f t="shared" ref="D46:Q46" ca="1" si="5">SUM(D39:D45)</f>
        <v>0</v>
      </c>
      <c r="E46" s="675">
        <f t="shared" ca="1" si="5"/>
        <v>44862.727329474845</v>
      </c>
      <c r="F46" s="675">
        <f t="shared" si="5"/>
        <v>2554.0837013756404</v>
      </c>
      <c r="G46" s="675">
        <f t="shared" ca="1" si="5"/>
        <v>20152.236069668801</v>
      </c>
      <c r="H46" s="675">
        <f t="shared" si="5"/>
        <v>0</v>
      </c>
      <c r="I46" s="675">
        <f t="shared" si="5"/>
        <v>0</v>
      </c>
      <c r="J46" s="675">
        <f t="shared" si="5"/>
        <v>0</v>
      </c>
      <c r="K46" s="675">
        <f t="shared" si="5"/>
        <v>336.02333888086952</v>
      </c>
      <c r="L46" s="675">
        <f t="shared" si="5"/>
        <v>0</v>
      </c>
      <c r="M46" s="675">
        <f t="shared" ca="1" si="5"/>
        <v>0</v>
      </c>
      <c r="N46" s="675">
        <f t="shared" si="5"/>
        <v>0</v>
      </c>
      <c r="O46" s="675">
        <f t="shared" ca="1" si="5"/>
        <v>0</v>
      </c>
      <c r="P46" s="675">
        <f t="shared" si="5"/>
        <v>0</v>
      </c>
      <c r="Q46" s="675">
        <f t="shared" si="5"/>
        <v>0</v>
      </c>
      <c r="R46" s="675">
        <f ca="1">SUM(R39:R45)</f>
        <v>97124.645380005502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0.66629929797170129</v>
      </c>
      <c r="D49" s="640">
        <f ca="1">transport!C58</f>
        <v>0</v>
      </c>
      <c r="E49" s="640">
        <f>transport!D58</f>
        <v>0</v>
      </c>
      <c r="F49" s="640">
        <f>transport!E58</f>
        <v>0</v>
      </c>
      <c r="G49" s="640">
        <f>transport!F58</f>
        <v>0</v>
      </c>
      <c r="H49" s="640">
        <f>transport!G58</f>
        <v>170.07974685244486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170.74604615041656</v>
      </c>
    </row>
    <row r="50" spans="1:18">
      <c r="A50" s="770" t="s">
        <v>296</v>
      </c>
      <c r="B50" s="780"/>
      <c r="C50" s="646">
        <f ca="1">transport!B18</f>
        <v>1.8549014582354872</v>
      </c>
      <c r="D50" s="646">
        <f>transport!C18</f>
        <v>0</v>
      </c>
      <c r="E50" s="646">
        <f>transport!D18</f>
        <v>1.7868389802117566</v>
      </c>
      <c r="F50" s="646">
        <f>transport!E18</f>
        <v>71.04871635946084</v>
      </c>
      <c r="G50" s="646">
        <f>transport!F18</f>
        <v>0</v>
      </c>
      <c r="H50" s="646">
        <f>transport!G18</f>
        <v>24392.628590264125</v>
      </c>
      <c r="I50" s="646">
        <f>transport!H18</f>
        <v>4010.334753008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28477.653800070031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2.5212007562071888</v>
      </c>
      <c r="D52" s="675">
        <f t="shared" ref="D52:Q52" ca="1" si="6">SUM(D48:D51)</f>
        <v>0</v>
      </c>
      <c r="E52" s="675">
        <f t="shared" si="6"/>
        <v>1.7868389802117566</v>
      </c>
      <c r="F52" s="675">
        <f t="shared" si="6"/>
        <v>71.04871635946084</v>
      </c>
      <c r="G52" s="675">
        <f t="shared" si="6"/>
        <v>0</v>
      </c>
      <c r="H52" s="675">
        <f t="shared" si="6"/>
        <v>24562.708337116568</v>
      </c>
      <c r="I52" s="675">
        <f t="shared" si="6"/>
        <v>4010.334753008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28648.399846220447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100.49765298627037</v>
      </c>
      <c r="D54" s="646">
        <f ca="1">+landbouw!C12</f>
        <v>0</v>
      </c>
      <c r="E54" s="646">
        <f>+landbouw!D12</f>
        <v>73.378354500150849</v>
      </c>
      <c r="F54" s="646">
        <f>+landbouw!E12</f>
        <v>2.3266863962537121</v>
      </c>
      <c r="G54" s="646">
        <f>+landbouw!F12</f>
        <v>465.76522741723051</v>
      </c>
      <c r="H54" s="646">
        <f>+landbouw!G12</f>
        <v>0</v>
      </c>
      <c r="I54" s="646">
        <f>+landbouw!H12</f>
        <v>0</v>
      </c>
      <c r="J54" s="646">
        <f>+landbouw!I12</f>
        <v>0</v>
      </c>
      <c r="K54" s="646">
        <f>+landbouw!J12</f>
        <v>20.041436695041426</v>
      </c>
      <c r="L54" s="646">
        <f>+landbouw!K12</f>
        <v>0</v>
      </c>
      <c r="M54" s="646">
        <f>+landbouw!L12</f>
        <v>0</v>
      </c>
      <c r="N54" s="646">
        <f>+landbouw!M12</f>
        <v>0</v>
      </c>
      <c r="O54" s="646">
        <f>+landbouw!N12</f>
        <v>0</v>
      </c>
      <c r="P54" s="646">
        <f>+landbouw!O12</f>
        <v>0</v>
      </c>
      <c r="Q54" s="647">
        <f>+landbouw!P12</f>
        <v>0</v>
      </c>
      <c r="R54" s="674">
        <f ca="1">SUM(C54:Q54)</f>
        <v>662.00935799494675</v>
      </c>
    </row>
    <row r="55" spans="1:18" ht="15" thickBot="1">
      <c r="A55" s="770" t="s">
        <v>806</v>
      </c>
      <c r="B55" s="780"/>
      <c r="C55" s="646">
        <f ca="1">C25*'EF ele_warmte'!B12</f>
        <v>218.72195164208412</v>
      </c>
      <c r="D55" s="646"/>
      <c r="E55" s="646">
        <f>E25*EF_CO2_aardgas</f>
        <v>824.0585103217586</v>
      </c>
      <c r="F55" s="646"/>
      <c r="G55" s="646"/>
      <c r="H55" s="646"/>
      <c r="I55" s="646"/>
      <c r="J55" s="646"/>
      <c r="K55" s="646"/>
      <c r="L55" s="646"/>
      <c r="M55" s="646"/>
      <c r="N55" s="646"/>
      <c r="O55" s="646"/>
      <c r="P55" s="646"/>
      <c r="Q55" s="647"/>
      <c r="R55" s="674">
        <f ca="1">SUM(C55:Q55)</f>
        <v>1042.7804619638428</v>
      </c>
    </row>
    <row r="56" spans="1:18" ht="15.75" thickBot="1">
      <c r="A56" s="768" t="s">
        <v>807</v>
      </c>
      <c r="B56" s="781"/>
      <c r="C56" s="675">
        <f ca="1">SUM(C54:C55)</f>
        <v>319.21960462835449</v>
      </c>
      <c r="D56" s="675">
        <f t="shared" ref="D56:Q56" ca="1" si="7">SUM(D54:D55)</f>
        <v>0</v>
      </c>
      <c r="E56" s="675">
        <f t="shared" si="7"/>
        <v>897.43686482190947</v>
      </c>
      <c r="F56" s="675">
        <f t="shared" si="7"/>
        <v>2.3266863962537121</v>
      </c>
      <c r="G56" s="675">
        <f t="shared" si="7"/>
        <v>465.76522741723051</v>
      </c>
      <c r="H56" s="675">
        <f t="shared" si="7"/>
        <v>0</v>
      </c>
      <c r="I56" s="675">
        <f t="shared" si="7"/>
        <v>0</v>
      </c>
      <c r="J56" s="675">
        <f t="shared" si="7"/>
        <v>0</v>
      </c>
      <c r="K56" s="675">
        <f t="shared" si="7"/>
        <v>20.041436695041426</v>
      </c>
      <c r="L56" s="675">
        <f t="shared" si="7"/>
        <v>0</v>
      </c>
      <c r="M56" s="675">
        <f t="shared" si="7"/>
        <v>0</v>
      </c>
      <c r="N56" s="675">
        <f t="shared" si="7"/>
        <v>0</v>
      </c>
      <c r="O56" s="675">
        <f t="shared" si="7"/>
        <v>0</v>
      </c>
      <c r="P56" s="675">
        <f t="shared" si="7"/>
        <v>0</v>
      </c>
      <c r="Q56" s="676">
        <f t="shared" si="7"/>
        <v>0</v>
      </c>
      <c r="R56" s="677">
        <f ca="1">SUM(R54:R55)</f>
        <v>1704.7898199587894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29541.315745989898</v>
      </c>
      <c r="D61" s="683">
        <f t="shared" ref="D61:Q61" ca="1" si="8">D46+D52+D56</f>
        <v>0</v>
      </c>
      <c r="E61" s="683">
        <f t="shared" ca="1" si="8"/>
        <v>45761.951033276964</v>
      </c>
      <c r="F61" s="683">
        <f t="shared" si="8"/>
        <v>2627.4591041313547</v>
      </c>
      <c r="G61" s="683">
        <f t="shared" ca="1" si="8"/>
        <v>20618.00129708603</v>
      </c>
      <c r="H61" s="683">
        <f t="shared" si="8"/>
        <v>24562.708337116568</v>
      </c>
      <c r="I61" s="683">
        <f t="shared" si="8"/>
        <v>4010.334753008</v>
      </c>
      <c r="J61" s="683">
        <f t="shared" si="8"/>
        <v>0</v>
      </c>
      <c r="K61" s="683">
        <f t="shared" si="8"/>
        <v>356.06477557591097</v>
      </c>
      <c r="L61" s="683">
        <f t="shared" si="8"/>
        <v>0</v>
      </c>
      <c r="M61" s="683">
        <f t="shared" ca="1" si="8"/>
        <v>0</v>
      </c>
      <c r="N61" s="683">
        <f t="shared" si="8"/>
        <v>0</v>
      </c>
      <c r="O61" s="683">
        <f t="shared" ca="1" si="8"/>
        <v>0</v>
      </c>
      <c r="P61" s="683">
        <f t="shared" si="8"/>
        <v>0</v>
      </c>
      <c r="Q61" s="683">
        <f t="shared" si="8"/>
        <v>0</v>
      </c>
      <c r="R61" s="683">
        <f ca="1">R46+R52+R56</f>
        <v>127477.83504618474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0.20359626164425099</v>
      </c>
      <c r="D63" s="726">
        <f t="shared" ca="1" si="9"/>
        <v>0</v>
      </c>
      <c r="E63" s="946">
        <f t="shared" ca="1" si="9"/>
        <v>0.20199999999999999</v>
      </c>
      <c r="F63" s="726">
        <f t="shared" si="9"/>
        <v>0.22700000000000001</v>
      </c>
      <c r="G63" s="726">
        <f t="shared" ca="1" si="9"/>
        <v>0.26699999999999996</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11426.423254085408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11426.423254085408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38018.55366683122</v>
      </c>
      <c r="C4" s="448">
        <f>huishoudens!C8</f>
        <v>0</v>
      </c>
      <c r="D4" s="448">
        <f>huishoudens!D8</f>
        <v>107389.99491445746</v>
      </c>
      <c r="E4" s="448">
        <f>huishoudens!E8</f>
        <v>1399.3257266676585</v>
      </c>
      <c r="F4" s="448">
        <f>huishoudens!F8</f>
        <v>42882.998434192668</v>
      </c>
      <c r="G4" s="448">
        <f>huishoudens!G8</f>
        <v>0</v>
      </c>
      <c r="H4" s="448">
        <f>huishoudens!H8</f>
        <v>0</v>
      </c>
      <c r="I4" s="448">
        <f>huishoudens!I8</f>
        <v>0</v>
      </c>
      <c r="J4" s="448">
        <f>huishoudens!J8</f>
        <v>812.11860281548547</v>
      </c>
      <c r="K4" s="448">
        <f>huishoudens!K8</f>
        <v>0</v>
      </c>
      <c r="L4" s="448">
        <f>huishoudens!L8</f>
        <v>0</v>
      </c>
      <c r="M4" s="448">
        <f>huishoudens!M8</f>
        <v>0</v>
      </c>
      <c r="N4" s="448">
        <f>huishoudens!N8</f>
        <v>13086.700517553716</v>
      </c>
      <c r="O4" s="448">
        <f>huishoudens!O8</f>
        <v>200.10666666666668</v>
      </c>
      <c r="P4" s="449">
        <f>huishoudens!P8</f>
        <v>343.2</v>
      </c>
      <c r="Q4" s="450">
        <f>SUM(B4:P4)</f>
        <v>204132.9985291849</v>
      </c>
    </row>
    <row r="5" spans="1:17">
      <c r="A5" s="447" t="s">
        <v>149</v>
      </c>
      <c r="B5" s="448">
        <f ca="1">tertiair!B16</f>
        <v>35587.509467944379</v>
      </c>
      <c r="C5" s="448">
        <f ca="1">tertiair!C16</f>
        <v>0</v>
      </c>
      <c r="D5" s="448">
        <f ca="1">tertiair!D16</f>
        <v>45359.252611778182</v>
      </c>
      <c r="E5" s="448">
        <f>tertiair!E16</f>
        <v>216.9015850402034</v>
      </c>
      <c r="F5" s="448">
        <f ca="1">tertiair!F16</f>
        <v>4417.8236067040489</v>
      </c>
      <c r="G5" s="448">
        <f>tertiair!G16</f>
        <v>0</v>
      </c>
      <c r="H5" s="448">
        <f>tertiair!H16</f>
        <v>0</v>
      </c>
      <c r="I5" s="448">
        <f>tertiair!I16</f>
        <v>0</v>
      </c>
      <c r="J5" s="448">
        <f>tertiair!J16</f>
        <v>43.865368134463019</v>
      </c>
      <c r="K5" s="448">
        <f>tertiair!K16</f>
        <v>0</v>
      </c>
      <c r="L5" s="448">
        <f ca="1">tertiair!L16</f>
        <v>0</v>
      </c>
      <c r="M5" s="448">
        <f>tertiair!M16</f>
        <v>0</v>
      </c>
      <c r="N5" s="448">
        <f ca="1">tertiair!N16</f>
        <v>2232.9411927905462</v>
      </c>
      <c r="O5" s="448">
        <f>tertiair!O16</f>
        <v>1.5633333333333335</v>
      </c>
      <c r="P5" s="449">
        <f>tertiair!P16</f>
        <v>57.2</v>
      </c>
      <c r="Q5" s="447">
        <f t="shared" ref="Q5:Q14" ca="1" si="0">SUM(B5:P5)</f>
        <v>87917.057165725157</v>
      </c>
    </row>
    <row r="6" spans="1:17">
      <c r="A6" s="447" t="s">
        <v>187</v>
      </c>
      <c r="B6" s="448">
        <f>'openbare verlichting'!B8</f>
        <v>1809.6389999999999</v>
      </c>
      <c r="C6" s="448"/>
      <c r="D6" s="448"/>
      <c r="E6" s="448"/>
      <c r="F6" s="448"/>
      <c r="G6" s="448"/>
      <c r="H6" s="448"/>
      <c r="I6" s="448"/>
      <c r="J6" s="448"/>
      <c r="K6" s="448"/>
      <c r="L6" s="448"/>
      <c r="M6" s="448"/>
      <c r="N6" s="448"/>
      <c r="O6" s="448"/>
      <c r="P6" s="449"/>
      <c r="Q6" s="447">
        <f t="shared" si="0"/>
        <v>1809.6389999999999</v>
      </c>
    </row>
    <row r="7" spans="1:17">
      <c r="A7" s="447" t="s">
        <v>105</v>
      </c>
      <c r="B7" s="448">
        <f>landbouw!B8</f>
        <v>493.61246702001097</v>
      </c>
      <c r="C7" s="448">
        <f>landbouw!C8</f>
        <v>0</v>
      </c>
      <c r="D7" s="448">
        <f>landbouw!D8</f>
        <v>363.25918069381606</v>
      </c>
      <c r="E7" s="448">
        <f>landbouw!E8</f>
        <v>10.249719807285075</v>
      </c>
      <c r="F7" s="448">
        <f>landbouw!F8</f>
        <v>1744.439053997118</v>
      </c>
      <c r="G7" s="448">
        <f>landbouw!G8</f>
        <v>0</v>
      </c>
      <c r="H7" s="448">
        <f>landbouw!H8</f>
        <v>0</v>
      </c>
      <c r="I7" s="448">
        <f>landbouw!I8</f>
        <v>0</v>
      </c>
      <c r="J7" s="448">
        <f>landbouw!J8</f>
        <v>56.614227952094424</v>
      </c>
      <c r="K7" s="448">
        <f>landbouw!K8</f>
        <v>0</v>
      </c>
      <c r="L7" s="448">
        <f>landbouw!L8</f>
        <v>0</v>
      </c>
      <c r="M7" s="448">
        <f>landbouw!M8</f>
        <v>0</v>
      </c>
      <c r="N7" s="448">
        <f>landbouw!N8</f>
        <v>0</v>
      </c>
      <c r="O7" s="448">
        <f>landbouw!O8</f>
        <v>0</v>
      </c>
      <c r="P7" s="449">
        <f>landbouw!P8</f>
        <v>0</v>
      </c>
      <c r="Q7" s="447">
        <f t="shared" si="0"/>
        <v>2668.1746494703248</v>
      </c>
    </row>
    <row r="8" spans="1:17">
      <c r="A8" s="447" t="s">
        <v>614</v>
      </c>
      <c r="B8" s="448">
        <f>industrie!B18</f>
        <v>68101.54471753379</v>
      </c>
      <c r="C8" s="448">
        <f>industrie!C18</f>
        <v>0</v>
      </c>
      <c r="D8" s="448">
        <f>industrie!D18</f>
        <v>69343.462025620014</v>
      </c>
      <c r="E8" s="448">
        <f>industrie!E18</f>
        <v>9635.2427384050898</v>
      </c>
      <c r="F8" s="448">
        <f>industrie!F18</f>
        <v>28175.717545877826</v>
      </c>
      <c r="G8" s="448">
        <f>industrie!G18</f>
        <v>0</v>
      </c>
      <c r="H8" s="448">
        <f>industrie!H18</f>
        <v>0</v>
      </c>
      <c r="I8" s="448">
        <f>industrie!I18</f>
        <v>0</v>
      </c>
      <c r="J8" s="448">
        <f>industrie!J18</f>
        <v>93.234500464937199</v>
      </c>
      <c r="K8" s="448">
        <f>industrie!K18</f>
        <v>0</v>
      </c>
      <c r="L8" s="448">
        <f>industrie!L18</f>
        <v>0</v>
      </c>
      <c r="M8" s="448">
        <f>industrie!M18</f>
        <v>0</v>
      </c>
      <c r="N8" s="448">
        <f>industrie!N18</f>
        <v>4783.6594921204269</v>
      </c>
      <c r="O8" s="448">
        <f>industrie!O18</f>
        <v>0</v>
      </c>
      <c r="P8" s="449">
        <f>industrie!P18</f>
        <v>0</v>
      </c>
      <c r="Q8" s="447">
        <f t="shared" si="0"/>
        <v>180132.86102002207</v>
      </c>
    </row>
    <row r="9" spans="1:17" s="453" customFormat="1">
      <c r="A9" s="451" t="s">
        <v>555</v>
      </c>
      <c r="B9" s="452">
        <f>transport!B14</f>
        <v>9.1106852515622538</v>
      </c>
      <c r="C9" s="452">
        <f>transport!C14</f>
        <v>0</v>
      </c>
      <c r="D9" s="452">
        <f>transport!D14</f>
        <v>8.8457375258007751</v>
      </c>
      <c r="E9" s="452">
        <f>transport!E14</f>
        <v>312.98993990951914</v>
      </c>
      <c r="F9" s="452">
        <f>transport!F14</f>
        <v>0</v>
      </c>
      <c r="G9" s="452">
        <f>transport!G14</f>
        <v>91358.159514097846</v>
      </c>
      <c r="H9" s="452">
        <f>transport!H14</f>
        <v>16105.762060273093</v>
      </c>
      <c r="I9" s="452">
        <f>transport!I14</f>
        <v>0</v>
      </c>
      <c r="J9" s="452">
        <f>transport!J14</f>
        <v>0</v>
      </c>
      <c r="K9" s="452">
        <f>transport!K14</f>
        <v>0</v>
      </c>
      <c r="L9" s="452">
        <f>transport!L14</f>
        <v>0</v>
      </c>
      <c r="M9" s="452">
        <f>transport!M14</f>
        <v>4859.090098435142</v>
      </c>
      <c r="N9" s="452">
        <f>transport!N14</f>
        <v>0</v>
      </c>
      <c r="O9" s="452">
        <f>transport!O14</f>
        <v>0</v>
      </c>
      <c r="P9" s="452">
        <f>transport!P14</f>
        <v>0</v>
      </c>
      <c r="Q9" s="451">
        <f>SUM(B9:P9)</f>
        <v>112653.95803549296</v>
      </c>
    </row>
    <row r="10" spans="1:17">
      <c r="A10" s="447" t="s">
        <v>545</v>
      </c>
      <c r="B10" s="448">
        <f>transport!B54</f>
        <v>3.2726499621881233</v>
      </c>
      <c r="C10" s="448">
        <f>transport!C54</f>
        <v>0</v>
      </c>
      <c r="D10" s="448">
        <f>transport!D54</f>
        <v>0</v>
      </c>
      <c r="E10" s="448">
        <f>transport!E54</f>
        <v>0</v>
      </c>
      <c r="F10" s="448">
        <f>transport!F54</f>
        <v>0</v>
      </c>
      <c r="G10" s="448">
        <f>transport!G54</f>
        <v>637.00279720016795</v>
      </c>
      <c r="H10" s="448">
        <f>transport!H54</f>
        <v>0</v>
      </c>
      <c r="I10" s="448">
        <f>transport!I54</f>
        <v>0</v>
      </c>
      <c r="J10" s="448">
        <f>transport!J54</f>
        <v>0</v>
      </c>
      <c r="K10" s="448">
        <f>transport!K54</f>
        <v>0</v>
      </c>
      <c r="L10" s="448">
        <f>transport!L54</f>
        <v>0</v>
      </c>
      <c r="M10" s="448">
        <f>transport!M54</f>
        <v>28.563740677816075</v>
      </c>
      <c r="N10" s="448">
        <f>transport!N54</f>
        <v>0</v>
      </c>
      <c r="O10" s="448">
        <f>transport!O54</f>
        <v>0</v>
      </c>
      <c r="P10" s="449">
        <f>transport!P54</f>
        <v>0</v>
      </c>
      <c r="Q10" s="447">
        <f t="shared" si="0"/>
        <v>668.83918784017214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1074.2925723472401</v>
      </c>
      <c r="C14" s="455"/>
      <c r="D14" s="455">
        <f>'SEAP template'!E25</f>
        <v>4079.4975758502896</v>
      </c>
      <c r="E14" s="455"/>
      <c r="F14" s="455"/>
      <c r="G14" s="455"/>
      <c r="H14" s="455"/>
      <c r="I14" s="455"/>
      <c r="J14" s="455"/>
      <c r="K14" s="455"/>
      <c r="L14" s="455"/>
      <c r="M14" s="455"/>
      <c r="N14" s="455"/>
      <c r="O14" s="455"/>
      <c r="P14" s="456"/>
      <c r="Q14" s="447">
        <f t="shared" si="0"/>
        <v>5153.7901481975296</v>
      </c>
    </row>
    <row r="15" spans="1:17" s="460" customFormat="1">
      <c r="A15" s="457" t="s">
        <v>549</v>
      </c>
      <c r="B15" s="458">
        <f ca="1">SUM(B4:B14)</f>
        <v>145097.53522689038</v>
      </c>
      <c r="C15" s="458">
        <f t="shared" ref="C15:Q15" ca="1" si="1">SUM(C4:C14)</f>
        <v>0</v>
      </c>
      <c r="D15" s="458">
        <f t="shared" ca="1" si="1"/>
        <v>226544.31204592559</v>
      </c>
      <c r="E15" s="458">
        <f t="shared" si="1"/>
        <v>11574.709709829756</v>
      </c>
      <c r="F15" s="458">
        <f t="shared" ca="1" si="1"/>
        <v>77220.97864077166</v>
      </c>
      <c r="G15" s="458">
        <f t="shared" si="1"/>
        <v>91995.162311298016</v>
      </c>
      <c r="H15" s="458">
        <f t="shared" si="1"/>
        <v>16105.762060273093</v>
      </c>
      <c r="I15" s="458">
        <f t="shared" si="1"/>
        <v>0</v>
      </c>
      <c r="J15" s="458">
        <f t="shared" si="1"/>
        <v>1005.8326993669801</v>
      </c>
      <c r="K15" s="458">
        <f t="shared" si="1"/>
        <v>0</v>
      </c>
      <c r="L15" s="458">
        <f t="shared" ca="1" si="1"/>
        <v>0</v>
      </c>
      <c r="M15" s="458">
        <f t="shared" si="1"/>
        <v>4887.6538391129579</v>
      </c>
      <c r="N15" s="458">
        <f t="shared" ca="1" si="1"/>
        <v>20103.301202464689</v>
      </c>
      <c r="O15" s="458">
        <f t="shared" si="1"/>
        <v>201.67000000000002</v>
      </c>
      <c r="P15" s="458">
        <f t="shared" si="1"/>
        <v>400.4</v>
      </c>
      <c r="Q15" s="458">
        <f t="shared" ca="1" si="1"/>
        <v>595137.31773593312</v>
      </c>
    </row>
    <row r="17" spans="1:17">
      <c r="A17" s="461" t="s">
        <v>550</v>
      </c>
      <c r="B17" s="731">
        <f ca="1">huishoudens!B10</f>
        <v>0.20359626164425099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7740.4353996881664</v>
      </c>
      <c r="C22" s="448">
        <f t="shared" ref="C22:C32" ca="1" si="3">C4*$C$17</f>
        <v>0</v>
      </c>
      <c r="D22" s="448">
        <f t="shared" ref="D22:D32" si="4">D4*$D$17</f>
        <v>21692.778972720411</v>
      </c>
      <c r="E22" s="448">
        <f t="shared" ref="E22:E32" si="5">E4*$E$17</f>
        <v>317.6469399535585</v>
      </c>
      <c r="F22" s="448">
        <f t="shared" ref="F22:F32" si="6">F4*$F$17</f>
        <v>11449.760581929442</v>
      </c>
      <c r="G22" s="448">
        <f t="shared" ref="G22:G32" si="7">G4*$G$17</f>
        <v>0</v>
      </c>
      <c r="H22" s="448">
        <f t="shared" ref="H22:H32" si="8">H4*$H$17</f>
        <v>0</v>
      </c>
      <c r="I22" s="448">
        <f t="shared" ref="I22:I32" si="9">I4*$I$17</f>
        <v>0</v>
      </c>
      <c r="J22" s="448">
        <f t="shared" ref="J22:J32" si="10">J4*$J$17</f>
        <v>287.48998539668185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41488.111879688266</v>
      </c>
    </row>
    <row r="23" spans="1:17">
      <c r="A23" s="447" t="s">
        <v>149</v>
      </c>
      <c r="B23" s="448">
        <f t="shared" ca="1" si="2"/>
        <v>7245.4838889028633</v>
      </c>
      <c r="C23" s="448">
        <f t="shared" ca="1" si="3"/>
        <v>0</v>
      </c>
      <c r="D23" s="448">
        <f t="shared" ca="1" si="4"/>
        <v>9162.5690275791931</v>
      </c>
      <c r="E23" s="448">
        <f t="shared" si="5"/>
        <v>49.236659804126177</v>
      </c>
      <c r="F23" s="448">
        <f t="shared" ca="1" si="6"/>
        <v>1179.5589029899811</v>
      </c>
      <c r="G23" s="448">
        <f t="shared" si="7"/>
        <v>0</v>
      </c>
      <c r="H23" s="448">
        <f t="shared" si="8"/>
        <v>0</v>
      </c>
      <c r="I23" s="448">
        <f t="shared" si="9"/>
        <v>0</v>
      </c>
      <c r="J23" s="448">
        <f t="shared" si="10"/>
        <v>15.528340319599907</v>
      </c>
      <c r="K23" s="448">
        <f t="shared" si="11"/>
        <v>0</v>
      </c>
      <c r="L23" s="448">
        <f t="shared" ca="1" si="12"/>
        <v>0</v>
      </c>
      <c r="M23" s="448">
        <f t="shared" si="13"/>
        <v>0</v>
      </c>
      <c r="N23" s="448">
        <f t="shared" ca="1" si="14"/>
        <v>0</v>
      </c>
      <c r="O23" s="448">
        <f t="shared" si="15"/>
        <v>0</v>
      </c>
      <c r="P23" s="449">
        <f t="shared" si="16"/>
        <v>0</v>
      </c>
      <c r="Q23" s="447">
        <f t="shared" ref="Q23:Q32" ca="1" si="17">SUM(B23:P23)</f>
        <v>17652.376819595764</v>
      </c>
    </row>
    <row r="24" spans="1:17">
      <c r="A24" s="447" t="s">
        <v>187</v>
      </c>
      <c r="B24" s="448">
        <f t="shared" ca="1" si="2"/>
        <v>368.43573532564068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368.43573532564068</v>
      </c>
    </row>
    <row r="25" spans="1:17">
      <c r="A25" s="447" t="s">
        <v>105</v>
      </c>
      <c r="B25" s="448">
        <f t="shared" ca="1" si="2"/>
        <v>100.49765298627037</v>
      </c>
      <c r="C25" s="448">
        <f t="shared" ca="1" si="3"/>
        <v>0</v>
      </c>
      <c r="D25" s="448">
        <f t="shared" si="4"/>
        <v>73.378354500150849</v>
      </c>
      <c r="E25" s="448">
        <f t="shared" si="5"/>
        <v>2.3266863962537121</v>
      </c>
      <c r="F25" s="448">
        <f t="shared" si="6"/>
        <v>465.76522741723051</v>
      </c>
      <c r="G25" s="448">
        <f t="shared" si="7"/>
        <v>0</v>
      </c>
      <c r="H25" s="448">
        <f t="shared" si="8"/>
        <v>0</v>
      </c>
      <c r="I25" s="448">
        <f t="shared" si="9"/>
        <v>0</v>
      </c>
      <c r="J25" s="448">
        <f t="shared" si="10"/>
        <v>20.041436695041426</v>
      </c>
      <c r="K25" s="448">
        <f t="shared" si="11"/>
        <v>0</v>
      </c>
      <c r="L25" s="448">
        <f t="shared" si="12"/>
        <v>0</v>
      </c>
      <c r="M25" s="448">
        <f t="shared" si="13"/>
        <v>0</v>
      </c>
      <c r="N25" s="448">
        <f t="shared" si="14"/>
        <v>0</v>
      </c>
      <c r="O25" s="448">
        <f t="shared" si="15"/>
        <v>0</v>
      </c>
      <c r="P25" s="449">
        <f t="shared" si="16"/>
        <v>0</v>
      </c>
      <c r="Q25" s="447">
        <f t="shared" ca="1" si="17"/>
        <v>662.00935799494675</v>
      </c>
    </row>
    <row r="26" spans="1:17">
      <c r="A26" s="447" t="s">
        <v>614</v>
      </c>
      <c r="B26" s="448">
        <f t="shared" ca="1" si="2"/>
        <v>13865.219916688668</v>
      </c>
      <c r="C26" s="448">
        <f t="shared" ca="1" si="3"/>
        <v>0</v>
      </c>
      <c r="D26" s="448">
        <f t="shared" si="4"/>
        <v>14007.379329175244</v>
      </c>
      <c r="E26" s="448">
        <f t="shared" si="5"/>
        <v>2187.2001016179556</v>
      </c>
      <c r="F26" s="448">
        <f t="shared" si="6"/>
        <v>7522.9165847493796</v>
      </c>
      <c r="G26" s="448">
        <f t="shared" si="7"/>
        <v>0</v>
      </c>
      <c r="H26" s="448">
        <f t="shared" si="8"/>
        <v>0</v>
      </c>
      <c r="I26" s="448">
        <f t="shared" si="9"/>
        <v>0</v>
      </c>
      <c r="J26" s="448">
        <f t="shared" si="10"/>
        <v>33.005013164587766</v>
      </c>
      <c r="K26" s="448">
        <f t="shared" si="11"/>
        <v>0</v>
      </c>
      <c r="L26" s="448">
        <f t="shared" si="12"/>
        <v>0</v>
      </c>
      <c r="M26" s="448">
        <f t="shared" si="13"/>
        <v>0</v>
      </c>
      <c r="N26" s="448">
        <f t="shared" si="14"/>
        <v>0</v>
      </c>
      <c r="O26" s="448">
        <f t="shared" si="15"/>
        <v>0</v>
      </c>
      <c r="P26" s="449">
        <f t="shared" si="16"/>
        <v>0</v>
      </c>
      <c r="Q26" s="447">
        <f t="shared" ca="1" si="17"/>
        <v>37615.720945395842</v>
      </c>
    </row>
    <row r="27" spans="1:17" s="453" customFormat="1">
      <c r="A27" s="451" t="s">
        <v>555</v>
      </c>
      <c r="B27" s="725">
        <f t="shared" ca="1" si="2"/>
        <v>1.8549014582354872</v>
      </c>
      <c r="C27" s="452">
        <f t="shared" ca="1" si="3"/>
        <v>0</v>
      </c>
      <c r="D27" s="452">
        <f t="shared" si="4"/>
        <v>1.7868389802117566</v>
      </c>
      <c r="E27" s="452">
        <f t="shared" si="5"/>
        <v>71.04871635946084</v>
      </c>
      <c r="F27" s="452">
        <f t="shared" si="6"/>
        <v>0</v>
      </c>
      <c r="G27" s="452">
        <f t="shared" si="7"/>
        <v>24392.628590264125</v>
      </c>
      <c r="H27" s="452">
        <f t="shared" si="8"/>
        <v>4010.334753008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28477.653800070031</v>
      </c>
    </row>
    <row r="28" spans="1:17">
      <c r="A28" s="447" t="s">
        <v>545</v>
      </c>
      <c r="B28" s="448">
        <f t="shared" ca="1" si="2"/>
        <v>0.66629929797170129</v>
      </c>
      <c r="C28" s="448">
        <f t="shared" ca="1" si="3"/>
        <v>0</v>
      </c>
      <c r="D28" s="448">
        <f t="shared" si="4"/>
        <v>0</v>
      </c>
      <c r="E28" s="448">
        <f t="shared" si="5"/>
        <v>0</v>
      </c>
      <c r="F28" s="448">
        <f t="shared" si="6"/>
        <v>0</v>
      </c>
      <c r="G28" s="448">
        <f t="shared" si="7"/>
        <v>170.07974685244486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170.74604615041656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218.72195164208412</v>
      </c>
      <c r="C32" s="448">
        <f t="shared" ca="1" si="3"/>
        <v>0</v>
      </c>
      <c r="D32" s="448">
        <f t="shared" si="4"/>
        <v>824.0585103217586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1042.7804619638428</v>
      </c>
    </row>
    <row r="33" spans="1:17" s="460" customFormat="1">
      <c r="A33" s="457" t="s">
        <v>549</v>
      </c>
      <c r="B33" s="458">
        <f ca="1">SUM(B22:B32)</f>
        <v>29541.315745989901</v>
      </c>
      <c r="C33" s="458">
        <f t="shared" ref="C33:Q33" ca="1" si="18">SUM(C22:C32)</f>
        <v>0</v>
      </c>
      <c r="D33" s="458">
        <f t="shared" ca="1" si="18"/>
        <v>45761.951033276964</v>
      </c>
      <c r="E33" s="458">
        <f t="shared" si="18"/>
        <v>2627.4591041313547</v>
      </c>
      <c r="F33" s="458">
        <f t="shared" ca="1" si="18"/>
        <v>20618.001297086033</v>
      </c>
      <c r="G33" s="458">
        <f t="shared" si="18"/>
        <v>24562.708337116568</v>
      </c>
      <c r="H33" s="458">
        <f t="shared" si="18"/>
        <v>4010.334753008</v>
      </c>
      <c r="I33" s="458">
        <f t="shared" si="18"/>
        <v>0</v>
      </c>
      <c r="J33" s="458">
        <f t="shared" si="18"/>
        <v>356.06477557591091</v>
      </c>
      <c r="K33" s="458">
        <f t="shared" si="18"/>
        <v>0</v>
      </c>
      <c r="L33" s="458">
        <f t="shared" ca="1" si="18"/>
        <v>0</v>
      </c>
      <c r="M33" s="458">
        <f t="shared" si="18"/>
        <v>0</v>
      </c>
      <c r="N33" s="458">
        <f t="shared" ca="1" si="18"/>
        <v>0</v>
      </c>
      <c r="O33" s="458">
        <f t="shared" si="18"/>
        <v>0</v>
      </c>
      <c r="P33" s="458">
        <f t="shared" si="18"/>
        <v>0</v>
      </c>
      <c r="Q33" s="458">
        <f t="shared" ca="1" si="18"/>
        <v>127477.83504618477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11426.423254085408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11426.423254085408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0.20359626164425099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0.20359626164425099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2022-07-26T11:52:07Z</dcterms:modified>
</cp:coreProperties>
</file>