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748534D0-1F2A-4652-9753-97E8A26F503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<sst xmlns="http://schemas.openxmlformats.org/spreadsheetml/2006/main" count="2446" uniqueCount="911">
  <si>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</si>
  <si>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</si>
  <si>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</si>
  <si>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</si>
  <si>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</si>
  <si>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</si>
  <si>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</si>
  <si>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</si>
  <si>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</si>
  <si>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</si>
  <si>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</si>
  <si>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</si>
  <si>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</si>
  <si>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</si>
  <si>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</si>
  <si>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</si>
  <si>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</si>
  <si>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</si>
  <si>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</si>
  <si>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</si>
  <si>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</si>
  <si>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</si>
  <si>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</si>
  <si>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</si>
  <si>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</si>
  <si>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</si>
  <si>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</si>
  <si>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</si>
  <si>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</si>
  <si>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</si>
  <si>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</si>
  <si>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</si>
  <si>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</si>
  <si>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</si>
  <si>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</si>
  <si>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</si>
  <si>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</si>
  <si>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</si>
  <si>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</si>
  <si>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</si>
  <si>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</si>
  <si>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</si>
  <si>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</si>
  <si>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</si>
  <si>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</si>
  <si>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</si>
  <si>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</si>
  <si>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</si>
  <si>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</si>
  <si>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</si>
  <si>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</si>
  <si>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</si>
  <si>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</si>
  <si>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</si>
  <si>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</si>
  <si>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</si>
  <si>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</si>
  <si>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</si>
  <si>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</si>
  <si>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</si>
  <si>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</si>
  <si>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</si>
  <si>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</si>
  <si>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</si>
  <si>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</si>
  <si>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</si>
  <si>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</si>
  <si>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</si>
  <si>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</si>
  <si>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</si>
  <si>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</si>
  <si>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</si>
  <si>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</si>
  <si>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</si>
  <si>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</si>
  <si>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</si>
  <si>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</si>
  <si>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</si>
  <si>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</si>
  <si>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</si>
  <si>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</si>
  <si>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</si>
  <si>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</si>
  <si>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</si>
  <si>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</si>
  <si>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</si>
  <si>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</si>
  <si>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</si>
  <si>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</si>
  <si>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</si>
  <si>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</si>
  <si>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</si>
  <si>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</si>
  <si>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</si>
  <si>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</si>
  <si>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</si>
  <si>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</si>
  <si>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</si>
  <si>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</si>
  <si>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</si>
  <si>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</si>
  <si>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</si>
  <si>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</si>
  <si>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</si>
  <si>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</si>
  <si>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</si>
  <si>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</si>
  <si>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</si>
  <si>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</si>
  <si>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</si>
  <si>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</si>
  <si>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</si>
  <si>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</si>
  <si>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</si>
  <si>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</si>
  <si>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</si>
  <si>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</si>
  <si>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</si>
  <si>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</si>
  <si>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</si>
  <si>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</si>
  <si>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</si>
  <si>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</si>
  <si>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</si>
  <si>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</si>
  <si>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</si>
  <si>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</si>
  <si>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</si>
  <si>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</si>
  <si>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</si>
  <si>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</si>
  <si>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</si>
  <si>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</si>
  <si>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</si>
  <si>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</si>
  <si>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</si>
  <si>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</si>
  <si>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</si>
  <si>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</si>
  <si>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</si>
  <si>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</si>
  <si>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</si>
  <si>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</si>
  <si>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</si>
  <si>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</si>
  <si>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</si>
  <si>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</si>
  <si>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</si>
  <si>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</si>
  <si>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</si>
  <si>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</si>
  <si>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</si>
  <si>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</si>
  <si>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</si>
  <si>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</si>
  <si>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</si>
  <si>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</si>
  <si>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</si>
  <si>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</si>
  <si>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</si>
  <si>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</si>
  <si>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</si>
  <si>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</si>
  <si>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</si>
  <si>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</si>
  <si>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</si>
  <si>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</si>
  <si>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</si>
  <si>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</si>
  <si>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</si>
  <si>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</si>
  <si>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</si>
  <si>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</si>
  <si>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</si>
  <si>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</si>
  <si>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</si>
  <si>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</si>
  <si>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</si>
  <si>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</si>
  <si>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</si>
  <si>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</si>
  <si>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</si>
  <si>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</si>
  <si>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</si>
  <si>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</si>
  <si>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</si>
  <si>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</si>
  <si>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</si>
  <si>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</si>
  <si>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</si>
  <si>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</si>
  <si>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</si>
  <si>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</si>
  <si>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</si>
  <si>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</si>
  <si>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</si>
  <si>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</si>
  <si>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</si>
  <si>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</si>
  <si>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</si>
  <si>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</si>
  <si>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</si>
  <si>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</si>
  <si>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</si>
  <si>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</si>
  <si>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</si>
  <si>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</si>
  <si>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</si>
  <si>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</si>
  <si>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</si>
  <si>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</si>
  <si>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</si>
  <si>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</si>
  <si>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</si>
  <si>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</si>
  <si>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</si>
  <si>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</si>
  <si>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</si>
  <si>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</si>
  <si>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</si>
  <si>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</si>
  <si>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</si>
  <si>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</si>
  <si>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</si>
  <si>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</si>
  <si>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</si>
  <si>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</si>
  <si>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</si>
  <si>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</si>
  <si>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</si>
  <si>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</si>
  <si>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</si>
  <si>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</si>
  <si>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</si>
  <si>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</si>
  <si>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</si>
  <si>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</si>
  <si>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</si>
  <si>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</si>
  <si>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</si>
  <si>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</si>
  <si>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</si>
  <si>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</si>
  <si>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</si>
  <si>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</si>
  <si>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</si>
  <si>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</si>
  <si>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</si>
  <si>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</si>
  <si>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</si>
  <si>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</si>
  <si>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</si>
  <si>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</si>
  <si>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</si>
  <si>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</si>
  <si>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</si>
  <si>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</si>
  <si>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</si>
  <si>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</si>
  <si>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</si>
  <si>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</si>
  <si>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</si>
  <si>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</si>
  <si>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</si>
  <si>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</si>
  <si>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</si>
  <si>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</si>
  <si>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</si>
  <si>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</si>
  <si>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</si>
  <si>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</si>
  <si>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</si>
  <si>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</si>
  <si>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</si>
  <si>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</si>
  <si>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</si>
  <si>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</si>
  <si>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</si>
  <si>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</si>
  <si>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</si>
  <si>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</si>
  <si>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</si>
  <si>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</si>
  <si>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</si>
  <si>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</si>
  <si>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</si>
  <si>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</si>
  <si>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</si>
  <si>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</si>
  <si>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</si>
  <si>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</si>
  <si>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</si>
  <si>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</si>
  <si>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</si>
  <si>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</si>
  <si>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</si>
  <si>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</si>
  <si>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</si>
  <si>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</si>
  <si>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</si>
  <si>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</si>
  <si>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</si>
  <si>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</si>
  <si>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</si>
  <si>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</si>
  <si>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</si>
  <si>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</si>
  <si>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</si>
  <si>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</si>
  <si>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</si>
  <si>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</si>
  <si>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</si>
  <si>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</si>
  <si>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</si>
  <si>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</si>
  <si>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</si>
  <si>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</si>
  <si>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</si>
  <si>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</si>
  <si>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</si>
  <si>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</si>
  <si>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</si>
  <si>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</si>
  <si>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</si>
  <si>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</si>
  <si>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</si>
  <si>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</si>
  <si>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</si>
  <si>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</si>
  <si>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</si>
  <si>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</si>
  <si>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</si>
  <si>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</si>
  <si>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</si>
  <si>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</si>
  <si>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</si>
  <si>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</si>
  <si>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</si>
  <si>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</si>
  <si>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</si>
  <si>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</si>
  <si>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</si>
  <si>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</si>
  <si>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</si>
  <si>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</si>
  <si>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</si>
  <si>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</si>
  <si>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</si>
  <si>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</si>
  <si>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</si>
  <si>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</si>
  <si>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</si>
  <si>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</si>
  <si>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</si>
  <si>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</si>
  <si>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</si>
  <si>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</si>
  <si>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</si>
  <si>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</si>
  <si>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</si>
  <si>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</si>
  <si>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</si>
  <si>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</si>
  <si>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</si>
  <si>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</si>
  <si>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</si>
  <si>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</si>
  <si>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</si>
  <si>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</si>
  <si>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</si>
  <si>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</si>
  <si>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</si>
  <si>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</si>
  <si>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</si>
  <si>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</si>
  <si>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</si>
  <si>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</si>
  <si>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</si>
  <si>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</si>
  <si>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</si>
  <si>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</si>
  <si>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</si>
  <si>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</si>
  <si>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</si>
  <si>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</si>
  <si>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</si>
  <si>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</si>
  <si>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</si>
  <si>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</si>
  <si>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</si>
  <si>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</si>
  <si>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</si>
  <si>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</si>
  <si>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</si>
  <si>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</si>
  <si>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</si>
  <si>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</si>
  <si>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</si>
  <si>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</si>
  <si>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</si>
  <si>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</si>
  <si>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</si>
  <si>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</si>
  <si>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</si>
  <si>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</si>
  <si>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</si>
  <si>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</si>
  <si>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</si>
  <si>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</si>
  <si>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</si>
  <si>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</si>
  <si>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</si>
  <si>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</si>
  <si>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</si>
  <si>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</si>
  <si>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</si>
  <si>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</si>
  <si>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</si>
  <si>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</si>
  <si>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</si>
  <si>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</si>
  <si>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</si>
  <si>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</si>
  <si>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</si>
  <si>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</si>
  <si>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</si>
  <si>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</si>
  <si>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</si>
  <si>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</si>
  <si>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</si>
  <si>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</si>
  <si>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</si>
  <si>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</si>
  <si>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</si>
  <si>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</si>
  <si>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</si>
  <si>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</si>
  <si>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</si>
  <si>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</si>
  <si>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</si>
  <si>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</si>
  <si>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</si>
  <si>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</si>
  <si>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</si>
  <si>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</si>
  <si>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</si>
  <si>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</si>
  <si>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</si>
  <si>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</si>
  <si>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</si>
  <si>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</si>
  <si>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</si>
  <si>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</si>
  <si>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</si>
  <si>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</si>
  <si>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</si>
  <si>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</si>
  <si>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</si>
  <si>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</si>
  <si>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</si>
  <si>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</si>
  <si>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</si>
  <si>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</si>
  <si>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</si>
  <si>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</si>
  <si>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</si>
  <si>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</si>
  <si>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</si>
  <si>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</si>
  <si>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</si>
  <si>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</si>
  <si>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</si>
  <si>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</si>
  <si>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</si>
  <si>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</si>
  <si>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</si>
  <si>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</si>
  <si>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</si>
  <si>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</si>
  <si>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</si>
  <si>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</si>
  <si>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</si>
  <si>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</si>
  <si>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</si>
  <si>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</si>
  <si>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</si>
  <si>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</si>
  <si>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</si>
  <si>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</si>
  <si>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</si>
  <si>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</si>
  <si>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</si>
  <si>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</si>
  <si>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</si>
  <si>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</si>
  <si>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</si>
  <si>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</si>
  <si>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</si>
  <si>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</si>
  <si>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</si>
  <si>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</si>
  <si>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</si>
  <si>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</si>
  <si>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</si>
  <si>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</si>
  <si>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</si>
  <si>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</si>
  <si>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</si>
  <si>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</si>
  <si>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</si>
  <si>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</si>
  <si>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</si>
  <si>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</si>
  <si>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</si>
  <si>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</si>
  <si>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</si>
  <si>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</si>
  <si>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</si>
  <si>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</si>
  <si>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</si>
  <si>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</si>
  <si>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</si>
  <si>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</si>
  <si>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</si>
  <si>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</si>
  <si>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</si>
  <si>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</si>
  <si>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</si>
  <si>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</si>
  <si>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</si>
  <si>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</si>
  <si>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</si>
  <si>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</si>
  <si>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</si>
  <si>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</si>
  <si>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</si>
  <si>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</si>
  <si>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</si>
  <si>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</si>
  <si>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</si>
  <si>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</si>
  <si>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</si>
  <si>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</si>
  <si>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</si>
  <si>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</si>
  <si>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</si>
  <si>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</si>
  <si>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</si>
  <si>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</si>
  <si>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</si>
  <si>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</si>
  <si>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</si>
  <si>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</si>
  <si>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</si>
  <si>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</si>
  <si>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</si>
  <si>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</si>
  <si>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</si>
  <si>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</si>
  <si>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</si>
  <si>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</si>
  <si>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</si>
  <si>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</si>
  <si>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</si>
  <si>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</si>
  <si>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</si>
  <si>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</si>
  <si>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</si>
  <si>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</si>
  <si>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</si>
  <si>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</si>
  <si>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</si>
  <si>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</si>
  <si>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</si>
  <si>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</si>
  <si>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</si>
  <si>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</si>
  <si>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</si>
  <si>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</si>
  <si>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</si>
  <si>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</si>
  <si>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</si>
  <si>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</si>
  <si>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</si>
  <si>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</si>
  <si>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</si>
  <si>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</si>
  <si>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</si>
  <si>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</si>
  <si>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</si>
  <si>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</si>
  <si>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</si>
  <si>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</si>
  <si>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</si>
  <si>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</si>
  <si>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</si>
  <si>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</si>
  <si>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</si>
  <si>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</si>
  <si>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</si>
  <si>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</si>
  <si>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</si>
  <si>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</si>
  <si>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</si>
  <si>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</si>
  <si>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</si>
  <si>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</si>
  <si>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</si>
  <si>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</si>
  <si>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</si>
  <si>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</si>
  <si>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</si>
  <si>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</si>
  <si>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</si>
  <si>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</si>
  <si>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</si>
  <si>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</si>
  <si>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</si>
  <si>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</si>
  <si>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</si>
  <si>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</si>
  <si>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</si>
  <si>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</si>
  <si>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</si>
  <si>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</si>
  <si>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</si>
  <si>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</si>
  <si>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</si>
  <si>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</si>
  <si>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</si>
  <si>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</si>
  <si>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</si>
  <si>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</si>
  <si>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</si>
  <si>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</si>
  <si>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</si>
  <si>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</si>
  <si>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</si>
  <si>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</si>
  <si>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</si>
  <si>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</si>
  <si>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</si>
  <si>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</si>
  <si>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</si>
  <si>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</si>
  <si>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</si>
  <si>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</si>
  <si>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</si>
  <si>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</si>
  <si>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</si>
  <si>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</si>
  <si>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</si>
  <si>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</si>
  <si>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</si>
  <si>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</si>
  <si>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</si>
  <si>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</si>
  <si>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</si>
  <si>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</si>
  <si>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</si>
  <si>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</si>
  <si>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</si>
  <si>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</si>
  <si>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</si>
  <si>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</si>
  <si>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</si>
  <si>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</si>
  <si>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</si>
  <si>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</si>
  <si>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</si>
  <si>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</si>
  <si>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</si>
  <si>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</si>
  <si>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</si>
  <si>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</si>
  <si>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</si>
  <si>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</si>
  <si>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</si>
  <si>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</si>
  <si>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</si>
  <si>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</si>
  <si>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</si>
  <si>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</si>
  <si>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</si>
  <si>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</si>
  <si>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</si>
  <si>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</si>
  <si>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</si>
  <si>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</si>
  <si>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</si>
  <si>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</si>
  <si>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</si>
  <si>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</si>
  <si>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</si>
  <si>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</si>
  <si>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</si>
  <si>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</si>
  <si>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</si>
  <si>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</si>
  <si>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</si>
  <si>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</si>
  <si>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</si>
  <si>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</si>
  <si>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</si>
  <si>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</si>
  <si>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</si>
  <si>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</si>
  <si>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</si>
  <si>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</si>
  <si>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</si>
  <si>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</si>
  <si>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</si>
  <si>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</si>
  <si>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</si>
  <si>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</si>
  <si>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</si>
  <si>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</si>
  <si>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</si>
  <si>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</si>
  <si>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</si>
  <si>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</si>
  <si>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</si>
  <si>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</si>
  <si>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</si>
  <si>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</si>
  <si>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</si>
  <si>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</si>
  <si>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</si>
  <si>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</si>
  <si>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</si>
  <si>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</si>
  <si>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</si>
  <si>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</si>
  <si>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</si>
  <si>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</si>
  <si>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</si>
  <si>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</si>
  <si>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</si>
  <si>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</si>
  <si>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</si>
  <si>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</si>
  <si>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</si>
  <si>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</si>
  <si>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</si>
  <si>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</si>
  <si>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</si>
  <si>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</si>
  <si>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</si>
  <si>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</si>
  <si>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</si>
  <si>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</si>
  <si>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</si>
  <si>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</si>
  <si>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</si>
  <si>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</si>
  <si>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</si>
  <si>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</si>
  <si>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</si>
  <si>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</si>
  <si>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</si>
  <si>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</si>
  <si>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</si>
  <si>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</si>
  <si>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</si>
  <si>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</si>
  <si>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</si>
  <si>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</si>
  <si>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</si>
  <si>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</si>
  <si>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</si>
  <si>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</si>
  <si>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</si>
  <si>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</si>
  <si>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</si>
  <si>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</si>
  <si>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</si>
  <si>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</si>
  <si>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</si>
  <si>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</si>
  <si>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</si>
  <si>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</si>
  <si>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</si>
  <si>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</si>
  <si>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</si>
  <si>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</si>
  <si>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</si>
  <si>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</si>
  <si>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</si>
  <si>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</si>
  <si>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</si>
  <si>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</si>
  <si>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</si>
  <si>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</si>
  <si>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</si>
  <si>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</si>
  <si>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</si>
  <si>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</si>
  <si>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</si>
  <si>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</si>
  <si>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</si>
  <si>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</si>
  <si>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</si>
  <si>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</si>
  <si>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</si>
  <si>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</si>
  <si>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</si>
  <si>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</si>
  <si>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</si>
  <si>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</si>
  <si>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</si>
  <si>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</si>
  <si>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</si>
  <si>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</si>
  <si>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</si>
  <si>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</si>
  <si>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</si>
  <si>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</si>
  <si>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</si>
  <si>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</si>
  <si>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</si>
  <si>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</si>
  <si>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</si>
  <si>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</si>
  <si>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</si>
  <si>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</si>
  <si>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</si>
  <si>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</si>
  <si>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</si>
  <si>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</si>
  <si>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</si>
  <si>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</si>
  <si>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</si>
  <si>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</si>
  <si>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</si>
  <si>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</si>
  <si>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</si>
  <si>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</si>
  <si>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</si>
  <si>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</si>
  <si>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</si>
  <si>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</si>
  <si>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</si>
  <si>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</si>
  <si>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</si>
  <si>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</si>
  <si>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</si>
  <si>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</si>
  <si>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</si>
  <si>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</si>
  <si>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</si>
  <si>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</si>
  <si>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</si>
  <si>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</si>
  <si>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</si>
  <si>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</si>
  <si>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</si>
  <si>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</si>
  <si>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</si>
  <si>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</si>
  <si>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</si>
  <si>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</si>
  <si>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</si>
  <si>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</si>
  <si>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</si>
  <si>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</si>
  <si>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</si>
  <si>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</si>
  <si>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</si>
  <si>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</si>
  <si>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</si>
  <si>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</si>
  <si>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</si>
  <si>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</si>
  <si>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</si>
  <si>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</si>
  <si>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</si>
  <si>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</si>
  <si>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</si>
  <si>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</si>
  <si>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</si>
  <si>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</si>
  <si>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</si>
  <si>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</si>
  <si>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</si>
  <si>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</si>
  <si>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</si>
  <si>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</si>
  <si>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</si>
  <si>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</si>
  <si>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</si>
  <si>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</si>
  <si>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</si>
  <si>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</si>
  <si>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</si>
  <si>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</si>
  <si>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</si>
  <si>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</si>
  <si>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</si>
  <si>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</si>
  <si>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</si>
  <si>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</si>
  <si>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</si>
  <si>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11013</t>
  </si>
  <si>
    <t>EDEGEM</t>
  </si>
  <si>
    <t>Cultuurgrond (ha)</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</si>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</sst>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DD25C72C-438B-44E4-A2EC-293960411BDD}"/>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214876.84858096758</c:v>
                </c:pt>
                <c:pt idx="1">
                  <c:v>118714.59055133103</c:v>
                </c:pt>
                <c:pt idx="2">
                  <c:v>871.46500000000003</c:v>
                </c:pt>
                <c:pt idx="3">
                  <c:v>2536.0471914794248</c:v>
                </c:pt>
                <c:pt idx="4">
                  <c:v>26643.814544651777</c:v>
                </c:pt>
                <c:pt idx="5">
                  <c:v>118347.54890983785</c:v>
                </c:pt>
                <c:pt idx="6">
                  <c:v>2872.0083734351329</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214876.84858096758</c:v>
                </c:pt>
                <c:pt idx="1">
                  <c:v>118714.59055133103</c:v>
                </c:pt>
                <c:pt idx="2">
                  <c:v>871.46500000000003</c:v>
                </c:pt>
                <c:pt idx="3">
                  <c:v>2536.0471914794248</c:v>
                </c:pt>
                <c:pt idx="4">
                  <c:v>26643.814544651777</c:v>
                </c:pt>
                <c:pt idx="5">
                  <c:v>118347.54890983785</c:v>
                </c:pt>
                <c:pt idx="6">
                  <c:v>2872.0083734351329</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43521.11458604216</c:v>
                </c:pt>
                <c:pt idx="2">
                  <c:v>24775.666608360953</c:v>
                </c:pt>
                <c:pt idx="3">
                  <c:v>190.40849494394436</c:v>
                </c:pt>
                <c:pt idx="4">
                  <c:v>641.77546033010969</c:v>
                </c:pt>
                <c:pt idx="5">
                  <c:v>5667.9140424541993</c:v>
                </c:pt>
                <c:pt idx="6">
                  <c:v>29901.678711240809</c:v>
                </c:pt>
                <c:pt idx="7">
                  <c:v>733.39614862382234</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43521.11458604216</c:v>
                </c:pt>
                <c:pt idx="2">
                  <c:v>24775.666608360953</c:v>
                </c:pt>
                <c:pt idx="3">
                  <c:v>190.40849494394436</c:v>
                </c:pt>
                <c:pt idx="4">
                  <c:v>641.77546033010969</c:v>
                </c:pt>
                <c:pt idx="5">
                  <c:v>5667.9140424541993</c:v>
                </c:pt>
                <c:pt idx="6">
                  <c:v>29901.678711240809</c:v>
                </c:pt>
                <c:pt idx="7">
                  <c:v>733.39614862382234</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11013</v>
      </c>
      <c r="B6" s="385"/>
      <c r="C6" s="386"/>
    </row>
    <row r="7" spans="1:7" s="383" customFormat="1" ht="15.75" customHeight="1">
      <c r="A7" s="387" t="str">
        <f>txtMunicipality</f>
        <v>EDEGEM</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0.21849241787558232</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0.21849241787558232</v>
      </c>
      <c r="C29" s="499">
        <f ca="1">'EF ele_warmte'!B22</f>
        <v>0.23764705882352943</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9211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121</v>
      </c>
      <c r="C14" s="327"/>
      <c r="D14" s="327"/>
      <c r="E14" s="327"/>
      <c r="F14" s="327"/>
    </row>
    <row r="15" spans="1:6">
      <c r="A15" s="1258" t="s">
        <v>177</v>
      </c>
      <c r="B15" s="1259">
        <v>2</v>
      </c>
      <c r="C15" s="327"/>
      <c r="D15" s="327"/>
      <c r="E15" s="327"/>
      <c r="F15" s="327"/>
    </row>
    <row r="16" spans="1:6">
      <c r="A16" s="1258" t="s">
        <v>6</v>
      </c>
      <c r="B16" s="1259">
        <v>99</v>
      </c>
      <c r="C16" s="327"/>
      <c r="D16" s="327"/>
      <c r="E16" s="327"/>
      <c r="F16" s="327"/>
    </row>
    <row r="17" spans="1:6">
      <c r="A17" s="1258" t="s">
        <v>7</v>
      </c>
      <c r="B17" s="1259">
        <v>37</v>
      </c>
      <c r="C17" s="327"/>
      <c r="D17" s="327"/>
      <c r="E17" s="327"/>
      <c r="F17" s="327"/>
    </row>
    <row r="18" spans="1:6">
      <c r="A18" s="1258" t="s">
        <v>8</v>
      </c>
      <c r="B18" s="1259">
        <v>78</v>
      </c>
      <c r="C18" s="327"/>
      <c r="D18" s="327"/>
      <c r="E18" s="327"/>
      <c r="F18" s="327"/>
    </row>
    <row r="19" spans="1:6">
      <c r="A19" s="1258" t="s">
        <v>9</v>
      </c>
      <c r="B19" s="1259">
        <v>58</v>
      </c>
      <c r="C19" s="327"/>
      <c r="D19" s="327"/>
      <c r="E19" s="327"/>
      <c r="F19" s="327"/>
    </row>
    <row r="20" spans="1:6">
      <c r="A20" s="1258" t="s">
        <v>10</v>
      </c>
      <c r="B20" s="1259">
        <v>31</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6</v>
      </c>
      <c r="C29" s="327"/>
      <c r="D29" s="327"/>
      <c r="E29" s="327"/>
      <c r="F29" s="327"/>
    </row>
    <row r="30" spans="1:6">
      <c r="A30" s="1253" t="s">
        <v>906</v>
      </c>
      <c r="B30" s="1261">
        <v>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19722.648836779201</v>
      </c>
      <c r="E38" s="1259">
        <v>1</v>
      </c>
      <c r="F38" s="1259">
        <v>2113</v>
      </c>
    </row>
    <row r="39" spans="1:6">
      <c r="A39" s="1258" t="s">
        <v>29</v>
      </c>
      <c r="B39" s="1258" t="s">
        <v>30</v>
      </c>
      <c r="C39" s="1259">
        <v>7621</v>
      </c>
      <c r="D39" s="1259">
        <v>143984306.51602101</v>
      </c>
      <c r="E39" s="1259">
        <v>9463</v>
      </c>
      <c r="F39" s="1259">
        <v>33718752.4323368</v>
      </c>
    </row>
    <row r="40" spans="1:6">
      <c r="A40" s="1258" t="s">
        <v>29</v>
      </c>
      <c r="B40" s="1258" t="s">
        <v>28</v>
      </c>
      <c r="C40" s="1259">
        <v>1</v>
      </c>
      <c r="D40" s="1259">
        <v>39745.338596690999</v>
      </c>
      <c r="E40" s="1259">
        <v>1</v>
      </c>
      <c r="F40" s="1259">
        <v>3757.7505537248999</v>
      </c>
    </row>
    <row r="41" spans="1:6">
      <c r="A41" s="1258" t="s">
        <v>31</v>
      </c>
      <c r="B41" s="1258" t="s">
        <v>32</v>
      </c>
      <c r="C41" s="1259">
        <v>24</v>
      </c>
      <c r="D41" s="1259">
        <v>850024.52097153803</v>
      </c>
      <c r="E41" s="1259">
        <v>45</v>
      </c>
      <c r="F41" s="1259">
        <v>212669.74179429599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17</v>
      </c>
      <c r="D48" s="1259">
        <v>10440865.897652401</v>
      </c>
      <c r="E48" s="1259">
        <v>28</v>
      </c>
      <c r="F48" s="1259">
        <v>10158149.680477399</v>
      </c>
    </row>
    <row r="49" spans="1:6">
      <c r="A49" s="1258" t="s">
        <v>31</v>
      </c>
      <c r="B49" s="1258" t="s">
        <v>39</v>
      </c>
      <c r="C49" s="1259">
        <v>0</v>
      </c>
      <c r="D49" s="1259">
        <v>0</v>
      </c>
      <c r="E49" s="1259">
        <v>0</v>
      </c>
      <c r="F49" s="1259">
        <v>0</v>
      </c>
    </row>
    <row r="50" spans="1:6">
      <c r="A50" s="1258" t="s">
        <v>31</v>
      </c>
      <c r="B50" s="1258" t="s">
        <v>40</v>
      </c>
      <c r="C50" s="1259">
        <v>6</v>
      </c>
      <c r="D50" s="1259">
        <v>1000374.6663061701</v>
      </c>
      <c r="E50" s="1259">
        <v>15</v>
      </c>
      <c r="F50" s="1259">
        <v>529200.59513912001</v>
      </c>
    </row>
    <row r="51" spans="1:6">
      <c r="A51" s="1258" t="s">
        <v>41</v>
      </c>
      <c r="B51" s="1258" t="s">
        <v>42</v>
      </c>
      <c r="C51" s="1259">
        <v>0</v>
      </c>
      <c r="D51" s="1259">
        <v>0</v>
      </c>
      <c r="E51" s="1259">
        <v>0</v>
      </c>
      <c r="F51" s="1259">
        <v>0</v>
      </c>
    </row>
    <row r="52" spans="1:6">
      <c r="A52" s="1258" t="s">
        <v>41</v>
      </c>
      <c r="B52" s="1258" t="s">
        <v>28</v>
      </c>
      <c r="C52" s="1259">
        <v>3</v>
      </c>
      <c r="D52" s="1259">
        <v>273824.11817120499</v>
      </c>
      <c r="E52" s="1259">
        <v>6</v>
      </c>
      <c r="F52" s="1259">
        <v>490216.45319515502</v>
      </c>
    </row>
    <row r="53" spans="1:6">
      <c r="A53" s="1258" t="s">
        <v>43</v>
      </c>
      <c r="B53" s="1258" t="s">
        <v>44</v>
      </c>
      <c r="C53" s="1259">
        <v>208</v>
      </c>
      <c r="D53" s="1259">
        <v>6563851.5569949104</v>
      </c>
      <c r="E53" s="1259">
        <v>386</v>
      </c>
      <c r="F53" s="1259">
        <v>1470275.5925281399</v>
      </c>
    </row>
    <row r="54" spans="1:6">
      <c r="A54" s="1258" t="s">
        <v>45</v>
      </c>
      <c r="B54" s="1258" t="s">
        <v>46</v>
      </c>
      <c r="C54" s="1259">
        <v>0</v>
      </c>
      <c r="D54" s="1259">
        <v>0</v>
      </c>
      <c r="E54" s="1259">
        <v>1</v>
      </c>
      <c r="F54" s="1259">
        <v>871465</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75</v>
      </c>
      <c r="D57" s="1259">
        <v>7714086.8259714004</v>
      </c>
      <c r="E57" s="1259">
        <v>116</v>
      </c>
      <c r="F57" s="1259">
        <v>3997763.5896924599</v>
      </c>
    </row>
    <row r="58" spans="1:6">
      <c r="A58" s="1258" t="s">
        <v>48</v>
      </c>
      <c r="B58" s="1258" t="s">
        <v>50</v>
      </c>
      <c r="C58" s="1259">
        <v>30</v>
      </c>
      <c r="D58" s="1259">
        <v>30404757.597892899</v>
      </c>
      <c r="E58" s="1259">
        <v>39</v>
      </c>
      <c r="F58" s="1259">
        <v>20203240.9518863</v>
      </c>
    </row>
    <row r="59" spans="1:6">
      <c r="A59" s="1258" t="s">
        <v>48</v>
      </c>
      <c r="B59" s="1258" t="s">
        <v>51</v>
      </c>
      <c r="C59" s="1259">
        <v>81</v>
      </c>
      <c r="D59" s="1259">
        <v>4888410.6490435498</v>
      </c>
      <c r="E59" s="1259">
        <v>134</v>
      </c>
      <c r="F59" s="1259">
        <v>5468371.3187625604</v>
      </c>
    </row>
    <row r="60" spans="1:6">
      <c r="A60" s="1258" t="s">
        <v>48</v>
      </c>
      <c r="B60" s="1258" t="s">
        <v>52</v>
      </c>
      <c r="C60" s="1259">
        <v>40</v>
      </c>
      <c r="D60" s="1259">
        <v>4327747.7000210201</v>
      </c>
      <c r="E60" s="1259">
        <v>44</v>
      </c>
      <c r="F60" s="1259">
        <v>1681133.1992053899</v>
      </c>
    </row>
    <row r="61" spans="1:6">
      <c r="A61" s="1258" t="s">
        <v>48</v>
      </c>
      <c r="B61" s="1258" t="s">
        <v>53</v>
      </c>
      <c r="C61" s="1259">
        <v>243</v>
      </c>
      <c r="D61" s="1259">
        <v>20167786.391486101</v>
      </c>
      <c r="E61" s="1259">
        <v>480</v>
      </c>
      <c r="F61" s="1259">
        <v>9141903.2756592799</v>
      </c>
    </row>
    <row r="62" spans="1:6">
      <c r="A62" s="1258" t="s">
        <v>48</v>
      </c>
      <c r="B62" s="1258" t="s">
        <v>54</v>
      </c>
      <c r="C62" s="1259">
        <v>8</v>
      </c>
      <c r="D62" s="1259">
        <v>2111684.3817465501</v>
      </c>
      <c r="E62" s="1259">
        <v>12</v>
      </c>
      <c r="F62" s="1259">
        <v>347302.05100020597</v>
      </c>
    </row>
    <row r="63" spans="1:6">
      <c r="A63" s="1258" t="s">
        <v>48</v>
      </c>
      <c r="B63" s="1258" t="s">
        <v>28</v>
      </c>
      <c r="C63" s="1259">
        <v>95</v>
      </c>
      <c r="D63" s="1259">
        <v>4443113.5331733003</v>
      </c>
      <c r="E63" s="1259">
        <v>95</v>
      </c>
      <c r="F63" s="1259">
        <v>3348699.7763885502</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32527.896557948101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104057.72884191399</v>
      </c>
      <c r="E68" s="1261">
        <v>4</v>
      </c>
      <c r="F68" s="1261">
        <v>25658.608601504598</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30249277</v>
      </c>
      <c r="E73" s="446"/>
      <c r="F73" s="327"/>
    </row>
    <row r="74" spans="1:6">
      <c r="A74" s="1258" t="s">
        <v>63</v>
      </c>
      <c r="B74" s="1258" t="s">
        <v>681</v>
      </c>
      <c r="C74" s="1271" t="s">
        <v>682</v>
      </c>
      <c r="D74" s="1259">
        <v>2156864.1777227698</v>
      </c>
      <c r="E74" s="446"/>
      <c r="F74" s="327"/>
    </row>
    <row r="75" spans="1:6">
      <c r="A75" s="1258" t="s">
        <v>64</v>
      </c>
      <c r="B75" s="1258" t="s">
        <v>679</v>
      </c>
      <c r="C75" s="1271" t="s">
        <v>683</v>
      </c>
      <c r="D75" s="1259">
        <v>27435533</v>
      </c>
      <c r="E75" s="446"/>
      <c r="F75" s="327"/>
    </row>
    <row r="76" spans="1:6">
      <c r="A76" s="1258" t="s">
        <v>64</v>
      </c>
      <c r="B76" s="1258" t="s">
        <v>681</v>
      </c>
      <c r="C76" s="1271" t="s">
        <v>684</v>
      </c>
      <c r="D76" s="1259">
        <v>31182.5</v>
      </c>
      <c r="E76" s="446"/>
      <c r="F76" s="327"/>
    </row>
    <row r="77" spans="1:6">
      <c r="A77" s="1258" t="s">
        <v>65</v>
      </c>
      <c r="B77" s="1258" t="s">
        <v>679</v>
      </c>
      <c r="C77" s="1271" t="s">
        <v>685</v>
      </c>
      <c r="D77" s="1259">
        <v>71084933</v>
      </c>
      <c r="E77" s="446"/>
      <c r="F77" s="327"/>
    </row>
    <row r="78" spans="1:6">
      <c r="A78" s="1253" t="s">
        <v>65</v>
      </c>
      <c r="B78" s="1253" t="s">
        <v>681</v>
      </c>
      <c r="C78" s="1253" t="s">
        <v>686</v>
      </c>
      <c r="D78" s="1261">
        <v>7801703</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760135.64455446054</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1073.6155217522289</v>
      </c>
      <c r="C91" s="327"/>
      <c r="D91" s="327"/>
      <c r="E91" s="327"/>
      <c r="F91" s="327"/>
    </row>
    <row r="92" spans="1:6">
      <c r="A92" s="1253" t="s">
        <v>68</v>
      </c>
      <c r="B92" s="1254">
        <v>232.18491476421832</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6361</v>
      </c>
      <c r="C97" s="327"/>
      <c r="D97" s="327"/>
      <c r="E97" s="327"/>
      <c r="F97" s="327"/>
    </row>
    <row r="98" spans="1:6">
      <c r="A98" s="1258" t="s">
        <v>71</v>
      </c>
      <c r="B98" s="1259">
        <v>2</v>
      </c>
      <c r="C98" s="327"/>
      <c r="D98" s="327"/>
      <c r="E98" s="327"/>
      <c r="F98" s="327"/>
    </row>
    <row r="99" spans="1:6">
      <c r="A99" s="1258" t="s">
        <v>72</v>
      </c>
      <c r="B99" s="1259">
        <v>6</v>
      </c>
      <c r="C99" s="327"/>
      <c r="D99" s="327"/>
      <c r="E99" s="327"/>
      <c r="F99" s="327"/>
    </row>
    <row r="100" spans="1:6">
      <c r="A100" s="1258" t="s">
        <v>73</v>
      </c>
      <c r="B100" s="1259">
        <v>580</v>
      </c>
      <c r="C100" s="327"/>
      <c r="D100" s="327"/>
      <c r="E100" s="327"/>
      <c r="F100" s="327"/>
    </row>
    <row r="101" spans="1:6">
      <c r="A101" s="1258" t="s">
        <v>74</v>
      </c>
      <c r="B101" s="1259">
        <v>13</v>
      </c>
      <c r="C101" s="327"/>
      <c r="D101" s="327"/>
      <c r="E101" s="327"/>
      <c r="F101" s="327"/>
    </row>
    <row r="102" spans="1:6">
      <c r="A102" s="1258" t="s">
        <v>75</v>
      </c>
      <c r="B102" s="1259">
        <v>131</v>
      </c>
      <c r="C102" s="327"/>
      <c r="D102" s="327"/>
      <c r="E102" s="327"/>
      <c r="F102" s="327"/>
    </row>
    <row r="103" spans="1:6">
      <c r="A103" s="1258" t="s">
        <v>76</v>
      </c>
      <c r="B103" s="1259">
        <v>45</v>
      </c>
      <c r="C103" s="327"/>
      <c r="D103" s="327"/>
      <c r="E103" s="327"/>
      <c r="F103" s="327"/>
    </row>
    <row r="104" spans="1:6">
      <c r="A104" s="1258" t="s">
        <v>77</v>
      </c>
      <c r="B104" s="1259">
        <v>1767</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8</v>
      </c>
      <c r="C123" s="1259">
        <v>4</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61</v>
      </c>
      <c r="C129" s="327"/>
      <c r="D129" s="327"/>
      <c r="E129" s="327"/>
      <c r="F129" s="327"/>
    </row>
    <row r="130" spans="1:6">
      <c r="A130" s="1258" t="s">
        <v>284</v>
      </c>
      <c r="B130" s="1259">
        <v>3</v>
      </c>
      <c r="C130" s="327"/>
      <c r="D130" s="327"/>
      <c r="E130" s="327"/>
      <c r="F130" s="327"/>
    </row>
    <row r="131" spans="1:6">
      <c r="A131" s="1258" t="s">
        <v>285</v>
      </c>
      <c r="B131" s="1259">
        <v>0</v>
      </c>
      <c r="C131" s="327"/>
      <c r="D131" s="327"/>
      <c r="E131" s="327"/>
      <c r="F131" s="327"/>
    </row>
    <row r="132" spans="1:6">
      <c r="A132" s="1253" t="s">
        <v>286</v>
      </c>
      <c r="B132" s="1254">
        <v>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95665.560491670767</v>
      </c>
      <c r="C3" s="43" t="s">
        <v>163</v>
      </c>
      <c r="D3" s="43"/>
      <c r="E3" s="156"/>
      <c r="F3" s="43"/>
      <c r="G3" s="43"/>
      <c r="H3" s="43"/>
      <c r="I3" s="43"/>
      <c r="J3" s="43"/>
      <c r="K3" s="96"/>
    </row>
    <row r="4" spans="1:11">
      <c r="A4" s="353" t="s">
        <v>164</v>
      </c>
      <c r="B4" s="49">
        <f>IF(ISERROR('SEAP template'!B78+'SEAP template'!C78),0,'SEAP template'!B78+'SEAP template'!C78)</f>
        <v>4230.800436516447</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695.11764705882354</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0.21849241787558232</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993.02521008403369</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4178.5714285714284</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0.23764705882352943</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871.46500000000003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871.46500000000003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0.21849241787558232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190.40849494394436</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33722.510182890524</v>
      </c>
      <c r="C5" s="17">
        <f>IF(ISERROR('Eigen informatie GS &amp; warmtenet'!B57),0,'Eigen informatie GS &amp; warmtenet'!B57)</f>
        <v>0</v>
      </c>
      <c r="D5" s="30">
        <f>(SUM(HH_hh_gas_kWh,HH_rest_gas_kWh)/1000)*0.902</f>
        <v>129909.69477286519</v>
      </c>
      <c r="E5" s="17">
        <f>B32*B41</f>
        <v>1123.262020204201</v>
      </c>
      <c r="F5" s="17">
        <f>B36*B45</f>
        <v>34422.895638682843</v>
      </c>
      <c r="G5" s="18"/>
      <c r="H5" s="17"/>
      <c r="I5" s="17"/>
      <c r="J5" s="17">
        <f>B35*B44+C35*C44</f>
        <v>651.90110140852778</v>
      </c>
      <c r="K5" s="17"/>
      <c r="L5" s="17"/>
      <c r="M5" s="17"/>
      <c r="N5" s="17">
        <f>B34*B43+C34*C43</f>
        <v>13604.419343164083</v>
      </c>
      <c r="O5" s="17">
        <f>B52*B53*B54</f>
        <v>101.61666666666667</v>
      </c>
      <c r="P5" s="17">
        <f>B60*B61*B62/1000-B60*B61*B62/1000/B63</f>
        <v>266.93333333333334</v>
      </c>
    </row>
    <row r="6" spans="1:16">
      <c r="A6" s="16" t="s">
        <v>592</v>
      </c>
      <c r="B6" s="733">
        <f>kWh_PV_kleiner_dan_10kW</f>
        <v>1073.6155217522289</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34796.125704642756</v>
      </c>
      <c r="C8" s="21">
        <f>C5</f>
        <v>0</v>
      </c>
      <c r="D8" s="21">
        <f>D5</f>
        <v>129909.69477286519</v>
      </c>
      <c r="E8" s="21">
        <f>E5</f>
        <v>1123.262020204201</v>
      </c>
      <c r="F8" s="21">
        <f>F5</f>
        <v>34422.895638682843</v>
      </c>
      <c r="G8" s="21"/>
      <c r="H8" s="21"/>
      <c r="I8" s="21"/>
      <c r="J8" s="21">
        <f>J5</f>
        <v>651.90110140852778</v>
      </c>
      <c r="K8" s="21"/>
      <c r="L8" s="21">
        <f>L5</f>
        <v>0</v>
      </c>
      <c r="M8" s="21">
        <f>M5</f>
        <v>0</v>
      </c>
      <c r="N8" s="21">
        <f>N5</f>
        <v>13604.419343164083</v>
      </c>
      <c r="O8" s="21">
        <f>O5</f>
        <v>101.61666666666667</v>
      </c>
      <c r="P8" s="21">
        <f>P5</f>
        <v>266.93333333333334</v>
      </c>
    </row>
    <row r="9" spans="1:16">
      <c r="B9" s="19"/>
      <c r="C9" s="19"/>
      <c r="D9" s="257"/>
      <c r="E9" s="19"/>
      <c r="F9" s="19"/>
      <c r="G9" s="19"/>
      <c r="H9" s="19"/>
      <c r="I9" s="19"/>
      <c r="J9" s="19"/>
      <c r="K9" s="19"/>
      <c r="L9" s="19"/>
      <c r="M9" s="19"/>
      <c r="N9" s="19"/>
      <c r="O9" s="19"/>
      <c r="P9" s="19"/>
    </row>
    <row r="10" spans="1:16">
      <c r="A10" s="24" t="s">
        <v>207</v>
      </c>
      <c r="B10" s="25">
        <f ca="1">'EF ele_warmte'!B12</f>
        <v>0.21849241787558232</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7602.6896379100963</v>
      </c>
      <c r="C12" s="23">
        <f ca="1">C10*C8</f>
        <v>0</v>
      </c>
      <c r="D12" s="23">
        <f>D8*D10</f>
        <v>26241.758344118771</v>
      </c>
      <c r="E12" s="23">
        <f>E10*E8</f>
        <v>254.98047858635363</v>
      </c>
      <c r="F12" s="23">
        <f>F10*F8</f>
        <v>9190.9131355283189</v>
      </c>
      <c r="G12" s="23"/>
      <c r="H12" s="23"/>
      <c r="I12" s="23"/>
      <c r="J12" s="23">
        <f>J10*J8</f>
        <v>230.77298989861882</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9211</v>
      </c>
      <c r="C26" s="36"/>
      <c r="D26" s="227"/>
    </row>
    <row r="27" spans="1:5" s="15" customFormat="1">
      <c r="A27" s="229" t="s">
        <v>697</v>
      </c>
      <c r="B27" s="37">
        <f>SUM(HH_hh_gas_aantal,HH_rest_gas_aantal)</f>
        <v>7622</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7240.9</v>
      </c>
      <c r="C31" s="34" t="s">
        <v>104</v>
      </c>
      <c r="D31" s="173"/>
    </row>
    <row r="32" spans="1:5">
      <c r="A32" s="170" t="s">
        <v>72</v>
      </c>
      <c r="B32" s="33">
        <f>IF((B21*($B$26-($B$27-0.05*$B$27)-$B$60))&lt;0,0,B21*($B$26-($B$27-0.05*$B$27)-$B$60))</f>
        <v>48.983799538928977</v>
      </c>
      <c r="C32" s="34" t="s">
        <v>104</v>
      </c>
      <c r="D32" s="173"/>
    </row>
    <row r="33" spans="1:6">
      <c r="A33" s="170" t="s">
        <v>73</v>
      </c>
      <c r="B33" s="33">
        <f>IF((B22*($B$26-($B$27-0.05*$B$27)-$B$60))&lt;0,0,B22*($B$26-($B$27-0.05*$B$27)-$B$60))</f>
        <v>329.71842103225379</v>
      </c>
      <c r="C33" s="34" t="s">
        <v>104</v>
      </c>
      <c r="D33" s="173"/>
    </row>
    <row r="34" spans="1:6">
      <c r="A34" s="170" t="s">
        <v>74</v>
      </c>
      <c r="B34" s="33">
        <f>IF((B24*($B$26-($B$27-0.05*$B$27)-$B$60))&lt;0,0,B24*($B$26-($B$27-0.05*$B$27)-$B$60))</f>
        <v>83.654032590100115</v>
      </c>
      <c r="C34" s="33">
        <f>B26*C24</f>
        <v>1884.2027829286822</v>
      </c>
      <c r="D34" s="232"/>
    </row>
    <row r="35" spans="1:6">
      <c r="A35" s="170" t="s">
        <v>76</v>
      </c>
      <c r="B35" s="33">
        <f>IF((B19*($B$26-($B$27-0.05*$B$27)-$B$60))&lt;0,0,B19*($B$26-($B$27-0.05*$B$27)-$B$60))</f>
        <v>31.08858635346223</v>
      </c>
      <c r="C35" s="33">
        <f>B35/2</f>
        <v>15.544293176731115</v>
      </c>
      <c r="D35" s="232"/>
    </row>
    <row r="36" spans="1:6">
      <c r="A36" s="170" t="s">
        <v>77</v>
      </c>
      <c r="B36" s="33">
        <f>IF((B18*($B$26-($B$27-0.05*$B$27)-$B$60))&lt;0,0,B18*($B$26-($B$27-0.05*$B$27)-$B$60))</f>
        <v>1462.6551604852555</v>
      </c>
      <c r="C36" s="34" t="s">
        <v>104</v>
      </c>
      <c r="D36" s="173"/>
    </row>
    <row r="37" spans="1:6">
      <c r="A37" s="170" t="s">
        <v>78</v>
      </c>
      <c r="B37" s="33">
        <f>B60</f>
        <v>14</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65</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14</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44188.414162594745</v>
      </c>
      <c r="C5" s="17">
        <f>IF(ISERROR('Eigen informatie GS &amp; warmtenet'!B58),0,'Eigen informatie GS &amp; warmtenet'!B58)</f>
        <v>0</v>
      </c>
      <c r="D5" s="30">
        <f>SUM(D6:D12)</f>
        <v>66799.943545560018</v>
      </c>
      <c r="E5" s="17">
        <f>SUM(E6:E12)</f>
        <v>153.06117097817236</v>
      </c>
      <c r="F5" s="17">
        <f>SUM(F6:F12)</f>
        <v>5049.6184838358258</v>
      </c>
      <c r="G5" s="18"/>
      <c r="H5" s="17"/>
      <c r="I5" s="17"/>
      <c r="J5" s="17">
        <f>SUM(J6:J12)</f>
        <v>848.24537700963538</v>
      </c>
      <c r="K5" s="17"/>
      <c r="L5" s="17"/>
      <c r="M5" s="17"/>
      <c r="N5" s="17">
        <f>SUM(N6:N12)</f>
        <v>2924.1892399240578</v>
      </c>
      <c r="O5" s="17">
        <f>B38*B39*B40</f>
        <v>4.6900000000000004</v>
      </c>
      <c r="P5" s="17">
        <f>B46*B47*B48/1000-B46*B47*B48/1000/B49</f>
        <v>0</v>
      </c>
      <c r="R5" s="32"/>
    </row>
    <row r="6" spans="1:18">
      <c r="A6" s="32" t="s">
        <v>53</v>
      </c>
      <c r="B6" s="37">
        <f>B26</f>
        <v>9141.9032756592806</v>
      </c>
      <c r="C6" s="33"/>
      <c r="D6" s="37">
        <f>IF(ISERROR(TER_kantoor_gas_kWh/1000),0,TER_kantoor_gas_kWh/1000)*0.902</f>
        <v>18191.343325120462</v>
      </c>
      <c r="E6" s="33">
        <f>$C$26*'E Balans VL '!I12/100/3.6*1000000</f>
        <v>77.16563713111249</v>
      </c>
      <c r="F6" s="33">
        <f>$C$26*('E Balans VL '!L12+'E Balans VL '!N12)/100/3.6*1000000</f>
        <v>1225.828009329527</v>
      </c>
      <c r="G6" s="34"/>
      <c r="H6" s="33"/>
      <c r="I6" s="33"/>
      <c r="J6" s="33">
        <f>$C$26*('E Balans VL '!D12+'E Balans VL '!E12)/100/3.6*1000000</f>
        <v>0</v>
      </c>
      <c r="K6" s="33"/>
      <c r="L6" s="33"/>
      <c r="M6" s="33"/>
      <c r="N6" s="33">
        <f>$C$26*'E Balans VL '!Y12/100/3.6*1000000</f>
        <v>80.400211898442365</v>
      </c>
      <c r="O6" s="33"/>
      <c r="P6" s="33"/>
      <c r="R6" s="32"/>
    </row>
    <row r="7" spans="1:18">
      <c r="A7" s="32" t="s">
        <v>52</v>
      </c>
      <c r="B7" s="37">
        <f t="shared" ref="B7:B12" si="0">B27</f>
        <v>1681.1331992053899</v>
      </c>
      <c r="C7" s="33"/>
      <c r="D7" s="37">
        <f>IF(ISERROR(TER_horeca_gas_kWh/1000),0,TER_horeca_gas_kWh/1000)*0.902</f>
        <v>3903.6284254189604</v>
      </c>
      <c r="E7" s="33">
        <f>$C$27*'E Balans VL '!I9/100/3.6*1000000</f>
        <v>22.103545311434047</v>
      </c>
      <c r="F7" s="33">
        <f>$C$27*('E Balans VL '!L9+'E Balans VL '!N9)/100/3.6*1000000</f>
        <v>422.19533281677747</v>
      </c>
      <c r="G7" s="34"/>
      <c r="H7" s="33"/>
      <c r="I7" s="33"/>
      <c r="J7" s="33">
        <f>$C$27*('E Balans VL '!D9+'E Balans VL '!E9)/100/3.6*1000000</f>
        <v>0</v>
      </c>
      <c r="K7" s="33"/>
      <c r="L7" s="33"/>
      <c r="M7" s="33"/>
      <c r="N7" s="33">
        <f>$C$27*'E Balans VL '!Y9/100/3.6*1000000</f>
        <v>0.45766787778111639</v>
      </c>
      <c r="O7" s="33"/>
      <c r="P7" s="33"/>
      <c r="R7" s="32"/>
    </row>
    <row r="8" spans="1:18">
      <c r="A8" s="6" t="s">
        <v>51</v>
      </c>
      <c r="B8" s="37">
        <f t="shared" si="0"/>
        <v>5468.3713187625608</v>
      </c>
      <c r="C8" s="33"/>
      <c r="D8" s="37">
        <f>IF(ISERROR(TER_handel_gas_kWh/1000),0,TER_handel_gas_kWh/1000)*0.902</f>
        <v>4409.3464054372816</v>
      </c>
      <c r="E8" s="33">
        <f>$C$28*'E Balans VL '!I13/100/3.6*1000000</f>
        <v>23.948009649393057</v>
      </c>
      <c r="F8" s="33">
        <f>$C$28*('E Balans VL '!L13+'E Balans VL '!N13)/100/3.6*1000000</f>
        <v>367.55450972458397</v>
      </c>
      <c r="G8" s="34"/>
      <c r="H8" s="33"/>
      <c r="I8" s="33"/>
      <c r="J8" s="33">
        <f>$C$28*('E Balans VL '!D13+'E Balans VL '!E13)/100/3.6*1000000</f>
        <v>0</v>
      </c>
      <c r="K8" s="33"/>
      <c r="L8" s="33"/>
      <c r="M8" s="33"/>
      <c r="N8" s="33">
        <f>$C$28*'E Balans VL '!Y13/100/3.6*1000000</f>
        <v>16.154964832432047</v>
      </c>
      <c r="O8" s="33"/>
      <c r="P8" s="33"/>
      <c r="R8" s="32"/>
    </row>
    <row r="9" spans="1:18">
      <c r="A9" s="32" t="s">
        <v>50</v>
      </c>
      <c r="B9" s="37">
        <f t="shared" si="0"/>
        <v>20203.240951886299</v>
      </c>
      <c r="C9" s="33"/>
      <c r="D9" s="37">
        <f>IF(ISERROR(TER_gezond_gas_kWh/1000),0,TER_gezond_gas_kWh/1000)*0.902</f>
        <v>27425.091353299395</v>
      </c>
      <c r="E9" s="33">
        <f>$C$29*'E Balans VL '!I10/100/3.6*1000000</f>
        <v>6.9479837613651974</v>
      </c>
      <c r="F9" s="33">
        <f>$C$29*('E Balans VL '!L10+'E Balans VL '!N10)/100/3.6*1000000</f>
        <v>1765.8428357875659</v>
      </c>
      <c r="G9" s="34"/>
      <c r="H9" s="33"/>
      <c r="I9" s="33"/>
      <c r="J9" s="33">
        <f>$C$29*('E Balans VL '!D10+'E Balans VL '!E10)/100/3.6*1000000</f>
        <v>838.04776071366064</v>
      </c>
      <c r="K9" s="33"/>
      <c r="L9" s="33"/>
      <c r="M9" s="33"/>
      <c r="N9" s="33">
        <f>$C$29*'E Balans VL '!Y10/100/3.6*1000000</f>
        <v>211.82351552628279</v>
      </c>
      <c r="O9" s="33"/>
      <c r="P9" s="33"/>
      <c r="R9" s="32"/>
    </row>
    <row r="10" spans="1:18">
      <c r="A10" s="32" t="s">
        <v>49</v>
      </c>
      <c r="B10" s="37">
        <f t="shared" si="0"/>
        <v>3997.7635896924598</v>
      </c>
      <c r="C10" s="33"/>
      <c r="D10" s="37">
        <f>IF(ISERROR(TER_ander_gas_kWh/1000),0,TER_ander_gas_kWh/1000)*0.902</f>
        <v>6958.1063170262032</v>
      </c>
      <c r="E10" s="33">
        <f>$C$30*'E Balans VL '!I14/100/3.6*1000000</f>
        <v>2.3776158766711628</v>
      </c>
      <c r="F10" s="33">
        <f>$C$30*('E Balans VL '!L14+'E Balans VL '!N14)/100/3.6*1000000</f>
        <v>707.8165924022544</v>
      </c>
      <c r="G10" s="34"/>
      <c r="H10" s="33"/>
      <c r="I10" s="33"/>
      <c r="J10" s="33">
        <f>$C$30*('E Balans VL '!D14+'E Balans VL '!E14)/100/3.6*1000000</f>
        <v>0</v>
      </c>
      <c r="K10" s="33"/>
      <c r="L10" s="33"/>
      <c r="M10" s="33"/>
      <c r="N10" s="33">
        <f>$C$30*'E Balans VL '!Y14/100/3.6*1000000</f>
        <v>2373.7357332279694</v>
      </c>
      <c r="O10" s="33"/>
      <c r="P10" s="33"/>
      <c r="R10" s="32"/>
    </row>
    <row r="11" spans="1:18">
      <c r="A11" s="32" t="s">
        <v>54</v>
      </c>
      <c r="B11" s="37">
        <f t="shared" si="0"/>
        <v>347.30205100020595</v>
      </c>
      <c r="C11" s="33"/>
      <c r="D11" s="37">
        <f>IF(ISERROR(TER_onderwijs_gas_kWh/1000),0,TER_onderwijs_gas_kWh/1000)*0.902</f>
        <v>1904.7393123353881</v>
      </c>
      <c r="E11" s="33">
        <f>$C$31*'E Balans VL '!I11/100/3.6*1000000</f>
        <v>0.23100831455386467</v>
      </c>
      <c r="F11" s="33">
        <f>$C$31*('E Balans VL '!L11+'E Balans VL '!N11)/100/3.6*1000000</f>
        <v>111.26881002483078</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3348.6997763885502</v>
      </c>
      <c r="C12" s="33"/>
      <c r="D12" s="37">
        <f>IF(ISERROR(TER_rest_gas_kWh/1000),0,TER_rest_gas_kWh/1000)*0.902</f>
        <v>4007.688406922317</v>
      </c>
      <c r="E12" s="33">
        <f>$C$32*'E Balans VL '!I8/100/3.6*1000000</f>
        <v>20.287370933642546</v>
      </c>
      <c r="F12" s="33">
        <f>$C$32*('E Balans VL '!L8+'E Balans VL '!N8)/100/3.6*1000000</f>
        <v>449.11239375028612</v>
      </c>
      <c r="G12" s="34"/>
      <c r="H12" s="33"/>
      <c r="I12" s="33"/>
      <c r="J12" s="33">
        <f>$C$32*('E Balans VL '!D8+'E Balans VL '!E8)/100/3.6*1000000</f>
        <v>10.197616295974759</v>
      </c>
      <c r="K12" s="33"/>
      <c r="L12" s="33"/>
      <c r="M12" s="33"/>
      <c r="N12" s="33">
        <f>$C$32*'E Balans VL '!Y8/100/3.6*1000000</f>
        <v>241.61714656114998</v>
      </c>
      <c r="O12" s="33"/>
      <c r="P12" s="33"/>
      <c r="R12" s="32"/>
    </row>
    <row r="13" spans="1:18">
      <c r="A13" s="16" t="s">
        <v>483</v>
      </c>
      <c r="B13" s="245">
        <f ca="1">'lokale energieproductie'!N38+'lokale energieproductie'!N31</f>
        <v>2925</v>
      </c>
      <c r="C13" s="245">
        <f ca="1">'lokale energieproductie'!O38+'lokale energieproductie'!O31</f>
        <v>4178.5714285714284</v>
      </c>
      <c r="D13" s="305">
        <f ca="1">('lokale energieproductie'!P31+'lokale energieproductie'!P38)*(-1)</f>
        <v>-8357.1428571428569</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47113.414162594745</v>
      </c>
      <c r="C16" s="21">
        <f t="shared" ca="1" si="1"/>
        <v>4178.5714285714284</v>
      </c>
      <c r="D16" s="21">
        <f t="shared" ca="1" si="1"/>
        <v>58442.800688417163</v>
      </c>
      <c r="E16" s="21">
        <f t="shared" si="1"/>
        <v>153.06117097817236</v>
      </c>
      <c r="F16" s="21">
        <f t="shared" ca="1" si="1"/>
        <v>5049.6184838358258</v>
      </c>
      <c r="G16" s="21">
        <f t="shared" si="1"/>
        <v>0</v>
      </c>
      <c r="H16" s="21">
        <f t="shared" si="1"/>
        <v>0</v>
      </c>
      <c r="I16" s="21">
        <f t="shared" si="1"/>
        <v>0</v>
      </c>
      <c r="J16" s="21">
        <f t="shared" si="1"/>
        <v>848.24537700963538</v>
      </c>
      <c r="K16" s="21">
        <f t="shared" si="1"/>
        <v>0</v>
      </c>
      <c r="L16" s="21">
        <f t="shared" ca="1" si="1"/>
        <v>0</v>
      </c>
      <c r="M16" s="21">
        <f t="shared" si="1"/>
        <v>0</v>
      </c>
      <c r="N16" s="21">
        <f t="shared" ca="1" si="1"/>
        <v>2924.1892399240578</v>
      </c>
      <c r="O16" s="21">
        <f>O5</f>
        <v>4.6900000000000004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0.21849241787558232</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10293.923774759029</v>
      </c>
      <c r="C20" s="23">
        <f t="shared" ref="C20:P20" ca="1" si="2">C16*C18</f>
        <v>993.02521008403369</v>
      </c>
      <c r="D20" s="23">
        <f t="shared" ca="1" si="2"/>
        <v>11805.445739060267</v>
      </c>
      <c r="E20" s="23">
        <f t="shared" si="2"/>
        <v>34.744885812045126</v>
      </c>
      <c r="F20" s="23">
        <f t="shared" ca="1" si="2"/>
        <v>1348.2481351841657</v>
      </c>
      <c r="G20" s="23">
        <f t="shared" si="2"/>
        <v>0</v>
      </c>
      <c r="H20" s="23">
        <f t="shared" si="2"/>
        <v>0</v>
      </c>
      <c r="I20" s="23">
        <f t="shared" si="2"/>
        <v>0</v>
      </c>
      <c r="J20" s="23">
        <f t="shared" si="2"/>
        <v>300.27886346141094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9141.9032756592806</v>
      </c>
      <c r="C26" s="39">
        <f>IF(ISERROR(B26*3.6/1000000/'E Balans VL '!Z12*100),0,B26*3.6/1000000/'E Balans VL '!Z12*100)</f>
        <v>0.19160294336112266</v>
      </c>
      <c r="D26" s="235" t="s">
        <v>647</v>
      </c>
      <c r="F26" s="6"/>
    </row>
    <row r="27" spans="1:18">
      <c r="A27" s="230" t="s">
        <v>52</v>
      </c>
      <c r="B27" s="33">
        <f>IF(ISERROR(TER_horeca_ele_kWh/1000),0,TER_horeca_ele_kWh/1000)</f>
        <v>1681.1331992053899</v>
      </c>
      <c r="C27" s="39">
        <f>IF(ISERROR(B27*3.6/1000000/'E Balans VL '!Z9*100),0,B27*3.6/1000000/'E Balans VL '!Z9*100)</f>
        <v>0.12889219310954197</v>
      </c>
      <c r="D27" s="235" t="s">
        <v>647</v>
      </c>
      <c r="F27" s="6"/>
    </row>
    <row r="28" spans="1:18">
      <c r="A28" s="170" t="s">
        <v>51</v>
      </c>
      <c r="B28" s="33">
        <f>IF(ISERROR(TER_handel_ele_kWh/1000),0,TER_handel_ele_kWh/1000)</f>
        <v>5468.3713187625608</v>
      </c>
      <c r="C28" s="39">
        <f>IF(ISERROR(B28*3.6/1000000/'E Balans VL '!Z13*100),0,B28*3.6/1000000/'E Balans VL '!Z13*100)</f>
        <v>0.15427082195123176</v>
      </c>
      <c r="D28" s="235" t="s">
        <v>647</v>
      </c>
      <c r="F28" s="6"/>
    </row>
    <row r="29" spans="1:18">
      <c r="A29" s="230" t="s">
        <v>50</v>
      </c>
      <c r="B29" s="33">
        <f>IF(ISERROR(TER_gezond_ele_kWh/1000),0,TER_gezond_ele_kWh/1000)</f>
        <v>20203.240951886299</v>
      </c>
      <c r="C29" s="39">
        <f>IF(ISERROR(B29*3.6/1000000/'E Balans VL '!Z10*100),0,B29*3.6/1000000/'E Balans VL '!Z10*100)</f>
        <v>2.24331863939948</v>
      </c>
      <c r="D29" s="235" t="s">
        <v>647</v>
      </c>
      <c r="F29" s="6"/>
    </row>
    <row r="30" spans="1:18">
      <c r="A30" s="230" t="s">
        <v>49</v>
      </c>
      <c r="B30" s="33">
        <f>IF(ISERROR(TER_ander_ele_kWh/1000),0,TER_ander_ele_kWh/1000)</f>
        <v>3997.7635896924598</v>
      </c>
      <c r="C30" s="39">
        <f>IF(ISERROR(B30*3.6/1000000/'E Balans VL '!Z14*100),0,B30*3.6/1000000/'E Balans VL '!Z14*100)</f>
        <v>0.28846034940150522</v>
      </c>
      <c r="D30" s="235" t="s">
        <v>647</v>
      </c>
      <c r="F30" s="6"/>
    </row>
    <row r="31" spans="1:18">
      <c r="A31" s="230" t="s">
        <v>54</v>
      </c>
      <c r="B31" s="33">
        <f>IF(ISERROR(TER_onderwijs_ele_kWh/1000),0,TER_onderwijs_ele_kWh/1000)</f>
        <v>347.30205100020595</v>
      </c>
      <c r="C31" s="39">
        <f>IF(ISERROR(B31*3.6/1000000/'E Balans VL '!Z11*100),0,B31*3.6/1000000/'E Balans VL '!Z11*100)</f>
        <v>9.6269377521554386E-2</v>
      </c>
      <c r="D31" s="235" t="s">
        <v>647</v>
      </c>
    </row>
    <row r="32" spans="1:18">
      <c r="A32" s="230" t="s">
        <v>249</v>
      </c>
      <c r="B32" s="33">
        <f>IF(ISERROR(TER_rest_ele_kWh/1000),0,TER_rest_ele_kWh/1000)</f>
        <v>3348.6997763885502</v>
      </c>
      <c r="C32" s="39">
        <f>IF(ISERROR(B32*3.6/1000000/'E Balans VL '!Z8*100),0,B32*3.6/1000000/'E Balans VL '!Z8*100)</f>
        <v>2.729737347513822E-2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3</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10900.020017410816</v>
      </c>
      <c r="C5" s="17">
        <f>IF(ISERROR('Eigen informatie GS &amp; warmtenet'!B59),0,'Eigen informatie GS &amp; warmtenet'!B59)</f>
        <v>0</v>
      </c>
      <c r="D5" s="30">
        <f>SUM(D6:D15)</f>
        <v>11086.721106606958</v>
      </c>
      <c r="E5" s="17">
        <f>SUM(E6:E15)</f>
        <v>667.43181795735279</v>
      </c>
      <c r="F5" s="17">
        <f>SUM(F6:F15)</f>
        <v>3318.7206511099389</v>
      </c>
      <c r="G5" s="18"/>
      <c r="H5" s="17"/>
      <c r="I5" s="17"/>
      <c r="J5" s="17">
        <f>SUM(J6:J15)</f>
        <v>26.04297712029522</v>
      </c>
      <c r="K5" s="17"/>
      <c r="L5" s="17"/>
      <c r="M5" s="17"/>
      <c r="N5" s="17">
        <f>SUM(N6:N15)</f>
        <v>644.87797444641592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212.66974179429599</v>
      </c>
      <c r="C9" s="33"/>
      <c r="D9" s="37">
        <f>IF( ISERROR(IND_andere_gas_kWh/1000),0,IND_andere_gas_kWh/1000)*0.902</f>
        <v>766.72211791632731</v>
      </c>
      <c r="E9" s="33">
        <f>C31*'E Balans VL '!I19/100/3.6*1000000</f>
        <v>57.564470184172848</v>
      </c>
      <c r="F9" s="33">
        <f>C31*'E Balans VL '!L19/100/3.6*1000000+C31*'E Balans VL '!N19/100/3.6*1000000</f>
        <v>141.66055319479145</v>
      </c>
      <c r="G9" s="34"/>
      <c r="H9" s="33"/>
      <c r="I9" s="33"/>
      <c r="J9" s="40">
        <f>C31*'E Balans VL '!D19/100/3.6*1000000+C31*'E Balans VL '!E19/100/3.6*1000000</f>
        <v>0</v>
      </c>
      <c r="K9" s="33"/>
      <c r="L9" s="33"/>
      <c r="M9" s="33"/>
      <c r="N9" s="33">
        <f>C31*'E Balans VL '!Y19/100/3.6*1000000</f>
        <v>17.97981789254181</v>
      </c>
      <c r="O9" s="33"/>
      <c r="P9" s="33"/>
      <c r="R9" s="32"/>
    </row>
    <row r="10" spans="1:18">
      <c r="A10" s="6" t="s">
        <v>40</v>
      </c>
      <c r="B10" s="37">
        <f t="shared" si="0"/>
        <v>529.20059513911997</v>
      </c>
      <c r="C10" s="33"/>
      <c r="D10" s="37">
        <f>IF( ISERROR(IND_voed_gas_kWh/1000),0,IND_voed_gas_kWh/1000)*0.902</f>
        <v>902.33794900816542</v>
      </c>
      <c r="E10" s="33">
        <f>C32*'E Balans VL '!I20/100/3.6*1000000</f>
        <v>43.162816346277019</v>
      </c>
      <c r="F10" s="33">
        <f>C32*'E Balans VL '!L20/100/3.6*1000000+C32*'E Balans VL '!N20/100/3.6*1000000</f>
        <v>789.08610063740491</v>
      </c>
      <c r="G10" s="34"/>
      <c r="H10" s="33"/>
      <c r="I10" s="33"/>
      <c r="J10" s="40">
        <f>C32*'E Balans VL '!D20/100/3.6*1000000+C32*'E Balans VL '!E20/100/3.6*1000000</f>
        <v>7.0006815103414947E-3</v>
      </c>
      <c r="K10" s="33"/>
      <c r="L10" s="33"/>
      <c r="M10" s="33"/>
      <c r="N10" s="33">
        <f>C32*'E Balans VL '!Y20/100/3.6*1000000</f>
        <v>155.46046137639189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10158.1496804774</v>
      </c>
      <c r="C15" s="33"/>
      <c r="D15" s="37">
        <f>IF( ISERROR(IND_rest_gas_kWh/1000),0,IND_rest_gas_kWh/1000)*0.902</f>
        <v>9417.6610396824653</v>
      </c>
      <c r="E15" s="33">
        <f>C37*'E Balans VL '!I15/100/3.6*1000000</f>
        <v>566.70453142690292</v>
      </c>
      <c r="F15" s="33">
        <f>C37*'E Balans VL '!L15/100/3.6*1000000+C37*'E Balans VL '!N15/100/3.6*1000000</f>
        <v>2387.9739972777425</v>
      </c>
      <c r="G15" s="34"/>
      <c r="H15" s="33"/>
      <c r="I15" s="33"/>
      <c r="J15" s="40">
        <f>C37*'E Balans VL '!D15/100/3.6*1000000+C37*'E Balans VL '!E15/100/3.6*1000000</f>
        <v>26.035976438784878</v>
      </c>
      <c r="K15" s="33"/>
      <c r="L15" s="33"/>
      <c r="M15" s="33"/>
      <c r="N15" s="33">
        <f>C37*'E Balans VL '!Y15/100/3.6*1000000</f>
        <v>471.43769517748228</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10900.020017410816</v>
      </c>
      <c r="C18" s="21">
        <f>C5+C16</f>
        <v>0</v>
      </c>
      <c r="D18" s="21">
        <f>MAX((D5+D16),0)</f>
        <v>11086.721106606958</v>
      </c>
      <c r="E18" s="21">
        <f>MAX((E5+E16),0)</f>
        <v>667.43181795735279</v>
      </c>
      <c r="F18" s="21">
        <f>MAX((F5+F16),0)</f>
        <v>3318.7206511099389</v>
      </c>
      <c r="G18" s="21"/>
      <c r="H18" s="21"/>
      <c r="I18" s="21"/>
      <c r="J18" s="21">
        <f>MAX((J5+J16),0)</f>
        <v>26.04297712029522</v>
      </c>
      <c r="K18" s="21"/>
      <c r="L18" s="21">
        <f>MAX((L5+L16),0)</f>
        <v>0</v>
      </c>
      <c r="M18" s="21"/>
      <c r="N18" s="21">
        <f>MAX((N5+N16),0)</f>
        <v>644.87797444641592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0.21849241787558232</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2381.5717284963362</v>
      </c>
      <c r="C22" s="23">
        <f ca="1">C18*C20</f>
        <v>0</v>
      </c>
      <c r="D22" s="23">
        <f>D18*D20</f>
        <v>2239.5176635346056</v>
      </c>
      <c r="E22" s="23">
        <f>E18*E20</f>
        <v>151.50702267631908</v>
      </c>
      <c r="F22" s="23">
        <f>F18*F20</f>
        <v>886.09841384635376</v>
      </c>
      <c r="G22" s="23"/>
      <c r="H22" s="23"/>
      <c r="I22" s="23"/>
      <c r="J22" s="23">
        <f>J18*J20</f>
        <v>9.2192139005845064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0</v>
      </c>
      <c r="C30" s="39">
        <f>IF(ISERROR(B30*3.6/1000000/'E Balans VL '!Z18*100),0,B30*3.6/1000000/'E Balans VL '!Z18*100)</f>
        <v>0</v>
      </c>
      <c r="D30" s="235" t="s">
        <v>647</v>
      </c>
    </row>
    <row r="31" spans="1:18">
      <c r="A31" s="6" t="s">
        <v>32</v>
      </c>
      <c r="B31" s="37">
        <f>IF( ISERROR(IND_ander_ele_kWh/1000),0,IND_ander_ele_kWh/1000)</f>
        <v>212.66974179429599</v>
      </c>
      <c r="C31" s="39">
        <f>IF(ISERROR(B31*3.6/1000000/'E Balans VL '!Z19*100),0,B31*3.6/1000000/'E Balans VL '!Z19*100)</f>
        <v>9.2615976101596761E-3</v>
      </c>
      <c r="D31" s="235" t="s">
        <v>647</v>
      </c>
    </row>
    <row r="32" spans="1:18">
      <c r="A32" s="170" t="s">
        <v>40</v>
      </c>
      <c r="B32" s="37">
        <f>IF( ISERROR(IND_voed_ele_kWh/1000),0,IND_voed_ele_kWh/1000)</f>
        <v>529.20059513911997</v>
      </c>
      <c r="C32" s="39">
        <f>IF(ISERROR(B32*3.6/1000000/'E Balans VL '!Z20*100),0,B32*3.6/1000000/'E Balans VL '!Z20*100)</f>
        <v>0.10040818102481429</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10158.1496804774</v>
      </c>
      <c r="C37" s="39">
        <f>IF(ISERROR(B37*3.6/1000000/'E Balans VL '!Z15*100),0,B37*3.6/1000000/'E Balans VL '!Z15*100)</f>
        <v>7.8281020067706431E-2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490.216453195155</v>
      </c>
      <c r="C5" s="17">
        <f>'Eigen informatie GS &amp; warmtenet'!B60</f>
        <v>0</v>
      </c>
      <c r="D5" s="30">
        <f>IF(ISERROR(SUM(LB_lb_gas_kWh,LB_rest_gas_kWh)/1000),0,SUM(LB_lb_gas_kWh,LB_rest_gas_kWh)/1000)*0.902</f>
        <v>246.9893545904269</v>
      </c>
      <c r="E5" s="17">
        <f>B17*'E Balans VL '!I25/3.6*1000000/100</f>
        <v>10.179202564524614</v>
      </c>
      <c r="F5" s="17">
        <f>B17*('E Balans VL '!L25/3.6*1000000+'E Balans VL '!N25/3.6*1000000)/100</f>
        <v>1732.4374544837233</v>
      </c>
      <c r="G5" s="18"/>
      <c r="H5" s="17"/>
      <c r="I5" s="17"/>
      <c r="J5" s="17">
        <f>('E Balans VL '!D25+'E Balans VL '!E25)/3.6*1000000*landbouw!B17/100</f>
        <v>56.224726645594664</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490.216453195155</v>
      </c>
      <c r="C8" s="21">
        <f>C5+C6</f>
        <v>0</v>
      </c>
      <c r="D8" s="21">
        <f>MAX((D5+D6),0)</f>
        <v>246.9893545904269</v>
      </c>
      <c r="E8" s="21">
        <f>MAX((E5+E6),0)</f>
        <v>10.179202564524614</v>
      </c>
      <c r="F8" s="21">
        <f>MAX((F5+F6),0)</f>
        <v>1732.4374544837233</v>
      </c>
      <c r="G8" s="21"/>
      <c r="H8" s="21"/>
      <c r="I8" s="21"/>
      <c r="J8" s="21">
        <f>MAX((J5+J6),0)</f>
        <v>56.224726645594664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0.21849241787558232</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107.10857814100164</v>
      </c>
      <c r="C12" s="23">
        <f ca="1">C8*C10</f>
        <v>0</v>
      </c>
      <c r="D12" s="23">
        <f>D8*D10</f>
        <v>49.89184962726624</v>
      </c>
      <c r="E12" s="23">
        <f>E8*E10</f>
        <v>2.3106789821470874</v>
      </c>
      <c r="F12" s="23">
        <f>F8*F10</f>
        <v>462.56080034715416</v>
      </c>
      <c r="G12" s="23"/>
      <c r="H12" s="23"/>
      <c r="I12" s="23"/>
      <c r="J12" s="23">
        <f>J8*J10</f>
        <v>19.90355323254051</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6.8369744494976875E-2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21.338374989610077</v>
      </c>
      <c r="C26" s="245">
        <f>B26*'GWP N2O_CH4'!B5</f>
        <v>448.10587478181162</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3.5790963382682168</v>
      </c>
      <c r="C27" s="245">
        <f>B27*'GWP N2O_CH4'!B5</f>
        <v>75.161023103632559</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0.27982557608583042</v>
      </c>
      <c r="C28" s="245">
        <f>B28*'GWP N2O_CH4'!B4</f>
        <v>86.745928586607434</v>
      </c>
      <c r="D28" s="50"/>
    </row>
    <row r="29" spans="1:4">
      <c r="A29" s="41" t="s">
        <v>266</v>
      </c>
      <c r="B29" s="245">
        <f>B34*'ha_N2O bodem landbouw'!B4</f>
        <v>0.72075152283709709</v>
      </c>
      <c r="C29" s="245">
        <f>B29*'GWP N2O_CH4'!B4</f>
        <v>223.4329720795001</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1.7996445330219899E-4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3.5966661254197721E-5</v>
      </c>
      <c r="C5" s="434" t="s">
        <v>204</v>
      </c>
      <c r="D5" s="419">
        <f>SUM(D6:D11)</f>
        <v>3.415230751436399E-5</v>
      </c>
      <c r="E5" s="419">
        <f>SUM(E6:E11)</f>
        <v>1.3466895185593273E-3</v>
      </c>
      <c r="F5" s="432" t="s">
        <v>204</v>
      </c>
      <c r="G5" s="419">
        <f>SUM(G6:G11)</f>
        <v>0.34255398947221927</v>
      </c>
      <c r="H5" s="419">
        <f>SUM(H6:H11)</f>
        <v>6.370952787860705E-2</v>
      </c>
      <c r="I5" s="434" t="s">
        <v>204</v>
      </c>
      <c r="J5" s="434" t="s">
        <v>204</v>
      </c>
      <c r="K5" s="434" t="s">
        <v>204</v>
      </c>
      <c r="L5" s="434" t="s">
        <v>204</v>
      </c>
      <c r="M5" s="419">
        <f>SUM(M6:M11)</f>
        <v>1.8370850237261965E-2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7.886475057279356E-6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6.9953660234073018E-6</v>
      </c>
      <c r="E6" s="836">
        <f>vkm_GW_PW*SUMIFS(TableVerdeelsleutelVkm[LPG],TableVerdeelsleutelVkm[Voertuigtype],"Lichte voertuigen")*SUMIFS(TableECFTransport[EnergieConsumptieFactor (PJ per km)],TableECFTransport[Index],CONCATENATE($A6,"_LPG_LPG"))</f>
        <v>2.5119782042891056E-4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4.9936727813661097E-2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1.2890862400827317E-2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2.8423320523851608E-3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1.3045311745732207E-7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2.0413973226520239E-2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5.370015961200077E-7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9.2172561292591464E-4</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7.7356416299734224E-6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1.0795279936604529E-5</v>
      </c>
      <c r="E8" s="422">
        <f>vkm_NGW_PW*SUMIFS(TableVerdeelsleutelVkm[LPG],TableVerdeelsleutelVkm[Voertuigtype],"Lichte voertuigen")*SUMIFS(TableECFTransport[EnergieConsumptieFactor (PJ per km)],TableECFTransport[Index],CONCATENATE($A8,"_LPG_LPG"))</f>
        <v>3.6802728960043894E-4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6.902296255685629E-2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1.9067970602199551E-2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3.9856847889560374E-3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1.8860039390184552E-9</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3.7910169389603938E-4</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9.3708752480637414E-9</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1.7117058860104598E-5</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1.9740336846525042E-5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1.636166155435216E-5</v>
      </c>
      <c r="E10" s="422">
        <f>vkm_SW_PW*SUMIFS(TableVerdeelsleutelVkm[LPG],TableVerdeelsleutelVkm[Voertuigtype],"Lichte voertuigen")*SUMIFS(TableECFTransport[EnergieConsumptieFactor (PJ per km)],TableECFTransport[Index],CONCATENATE($A10,"_LPG_LPG"))</f>
        <v>7.274644085299779E-4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0.13244676117411885</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3.1748149227665473E-2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7.4273602822703885E-3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4.7186859902355805E-7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7.0354463007166759E-2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1.9992754433447162E-6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3.1766304418643578E-3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9.9907392372771451</v>
      </c>
      <c r="C14" s="21"/>
      <c r="D14" s="21">
        <f t="shared" ref="D14:M14" si="0">((D5)*10^9/3600)+D12</f>
        <v>9.48675208732333</v>
      </c>
      <c r="E14" s="21">
        <f t="shared" si="0"/>
        <v>374.08042182203536</v>
      </c>
      <c r="F14" s="21"/>
      <c r="G14" s="21">
        <f t="shared" si="0"/>
        <v>95153.88596450536</v>
      </c>
      <c r="H14" s="21">
        <f t="shared" si="0"/>
        <v>17697.091077390847</v>
      </c>
      <c r="I14" s="21"/>
      <c r="J14" s="21"/>
      <c r="K14" s="21"/>
      <c r="L14" s="21"/>
      <c r="M14" s="21">
        <f t="shared" si="0"/>
        <v>5103.0139547949902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0.21849241787558232</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2.1829007723171348</v>
      </c>
      <c r="C18" s="23"/>
      <c r="D18" s="23">
        <f t="shared" ref="D18:M18" si="1">D14*D16</f>
        <v>1.9163239216393129</v>
      </c>
      <c r="E18" s="23">
        <f t="shared" si="1"/>
        <v>84.91625575360203</v>
      </c>
      <c r="F18" s="23"/>
      <c r="G18" s="23">
        <f t="shared" si="1"/>
        <v>25406.087552522931</v>
      </c>
      <c r="H18" s="23">
        <f t="shared" si="1"/>
        <v>4406.5756782703211</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5.059015942274748E-5</v>
      </c>
      <c r="C50" s="316">
        <f t="shared" ref="C50:P50" si="2">SUM(C51:C52)</f>
        <v>0</v>
      </c>
      <c r="D50" s="316">
        <f t="shared" si="2"/>
        <v>0</v>
      </c>
      <c r="E50" s="316">
        <f t="shared" si="2"/>
        <v>0</v>
      </c>
      <c r="F50" s="316">
        <f t="shared" si="2"/>
        <v>0</v>
      </c>
      <c r="G50" s="316">
        <f t="shared" si="2"/>
        <v>9.8470882726321082E-3</v>
      </c>
      <c r="H50" s="316">
        <f t="shared" si="2"/>
        <v>0</v>
      </c>
      <c r="I50" s="316">
        <f t="shared" si="2"/>
        <v>0</v>
      </c>
      <c r="J50" s="316">
        <f t="shared" si="2"/>
        <v>0</v>
      </c>
      <c r="K50" s="316">
        <f t="shared" si="2"/>
        <v>0</v>
      </c>
      <c r="L50" s="316">
        <f t="shared" si="2"/>
        <v>0</v>
      </c>
      <c r="M50" s="316">
        <f t="shared" si="2"/>
        <v>4.4155171231162249E-4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5.059015942274748E-5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9.8470882726321082E-3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4.4155171231162249E-4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14.0528220618743</v>
      </c>
      <c r="C54" s="21">
        <f t="shared" ref="C54:P54" si="3">(C50)*10^9/3600</f>
        <v>0</v>
      </c>
      <c r="D54" s="21">
        <f t="shared" si="3"/>
        <v>0</v>
      </c>
      <c r="E54" s="21">
        <f t="shared" si="3"/>
        <v>0</v>
      </c>
      <c r="F54" s="21">
        <f t="shared" si="3"/>
        <v>0</v>
      </c>
      <c r="G54" s="21">
        <f t="shared" si="3"/>
        <v>2735.3022979533634</v>
      </c>
      <c r="H54" s="21">
        <f t="shared" si="3"/>
        <v>0</v>
      </c>
      <c r="I54" s="21">
        <f t="shared" si="3"/>
        <v>0</v>
      </c>
      <c r="J54" s="21">
        <f t="shared" si="3"/>
        <v>0</v>
      </c>
      <c r="K54" s="21">
        <f t="shared" si="3"/>
        <v>0</v>
      </c>
      <c r="L54" s="21">
        <f t="shared" si="3"/>
        <v>0</v>
      </c>
      <c r="M54" s="21">
        <f t="shared" si="3"/>
        <v>122.65325341989514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0.21849241787558232</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3.0704350702742418</v>
      </c>
      <c r="C58" s="23">
        <f t="shared" ref="C58:P58" ca="1" si="4">C54*C56</f>
        <v>0</v>
      </c>
      <c r="D58" s="23">
        <f t="shared" si="4"/>
        <v>0</v>
      </c>
      <c r="E58" s="23">
        <f t="shared" si="4"/>
        <v>0</v>
      </c>
      <c r="F58" s="23">
        <f t="shared" si="4"/>
        <v>0</v>
      </c>
      <c r="G58" s="23">
        <f t="shared" si="4"/>
        <v>730.3257135535481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1305.8004365164472</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2925</v>
      </c>
      <c r="C8" s="546">
        <f>B48</f>
        <v>3441.1764705882351</v>
      </c>
      <c r="D8" s="963"/>
      <c r="E8" s="963">
        <f>E48</f>
        <v>0</v>
      </c>
      <c r="F8" s="964"/>
      <c r="G8" s="547"/>
      <c r="H8" s="963">
        <f>I48</f>
        <v>0</v>
      </c>
      <c r="I8" s="963">
        <f>G48+F48</f>
        <v>0</v>
      </c>
      <c r="J8" s="963">
        <f>H48+D48+C48</f>
        <v>0</v>
      </c>
      <c r="K8" s="963"/>
      <c r="L8" s="963"/>
      <c r="M8" s="963"/>
      <c r="N8" s="548"/>
      <c r="O8" s="549">
        <f>C8*$C$12+D8*$D$12+E8*$E$12+F8*$F$12+G8*$G$12+H8*$H$12+I8*$I$12+J8*$J$12</f>
        <v>695.11764705882354</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4230.800436516447</v>
      </c>
      <c r="C10" s="559">
        <f t="shared" ref="C10:L10" si="0">SUM(C8:C9)</f>
        <v>3441.1764705882351</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695.11764705882354</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4178.5714285714284</v>
      </c>
      <c r="C17" s="571">
        <f>B49</f>
        <v>4915.9663865546217</v>
      </c>
      <c r="D17" s="572"/>
      <c r="E17" s="572">
        <f>E49</f>
        <v>0</v>
      </c>
      <c r="F17" s="969"/>
      <c r="G17" s="573"/>
      <c r="H17" s="571">
        <f>I49</f>
        <v>0</v>
      </c>
      <c r="I17" s="572">
        <f>G49+F49</f>
        <v>0</v>
      </c>
      <c r="J17" s="572">
        <f>H49+D49+C49</f>
        <v>0</v>
      </c>
      <c r="K17" s="572"/>
      <c r="L17" s="572"/>
      <c r="M17" s="572"/>
      <c r="N17" s="970"/>
      <c r="O17" s="574">
        <f>C17*$C$22+E17*$E$22+H17*$H$22+I17*$I$22+J17*$J$22+D17*$D$22+F17*$F$22+G17*$G$22+K17*$K$22+L17*$L$22</f>
        <v>993.02521008403369</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4178.5714285714284</v>
      </c>
      <c r="C20" s="558">
        <f>SUM(C17:C19)</f>
        <v>4915.9663865546217</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993.02521008403369</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51" hidden="1">
      <c r="A28" s="582"/>
      <c r="B28" s="741">
        <v>11013</v>
      </c>
      <c r="C28" s="741">
        <v>2650</v>
      </c>
      <c r="D28" s="630"/>
      <c r="E28" s="629"/>
      <c r="F28" s="629"/>
      <c r="G28" s="629" t="s">
        <v>908</v>
      </c>
      <c r="H28" s="629" t="s">
        <v>909</v>
      </c>
      <c r="I28" s="629"/>
      <c r="J28" s="740"/>
      <c r="K28" s="740"/>
      <c r="L28" s="629" t="s">
        <v>910</v>
      </c>
      <c r="M28" s="629">
        <v>1560</v>
      </c>
      <c r="N28" s="629">
        <v>2925</v>
      </c>
      <c r="O28" s="629">
        <v>4178.5714285714284</v>
      </c>
      <c r="P28" s="629">
        <v>8357.1428571428569</v>
      </c>
      <c r="Q28" s="629">
        <v>0</v>
      </c>
      <c r="R28" s="629">
        <v>0</v>
      </c>
      <c r="S28" s="629">
        <v>0</v>
      </c>
      <c r="T28" s="629">
        <v>0</v>
      </c>
      <c r="U28" s="629">
        <v>0</v>
      </c>
      <c r="V28" s="629">
        <v>0</v>
      </c>
      <c r="W28" s="629">
        <v>0</v>
      </c>
      <c r="X28" s="629"/>
      <c r="Y28" s="629">
        <v>1500</v>
      </c>
      <c r="Z28" s="629" t="s">
        <v>50</v>
      </c>
      <c r="AA28" s="631" t="s">
        <v>149</v>
      </c>
    </row>
    <row r="29" spans="1:27" s="566" customFormat="1" hidden="1">
      <c r="A29" s="585" t="s">
        <v>269</v>
      </c>
      <c r="B29" s="586"/>
      <c r="C29" s="586"/>
      <c r="D29" s="586"/>
      <c r="E29" s="586"/>
      <c r="F29" s="586"/>
      <c r="G29" s="586"/>
      <c r="H29" s="586"/>
      <c r="I29" s="586"/>
      <c r="J29" s="586"/>
      <c r="K29" s="586"/>
      <c r="L29" s="587"/>
      <c r="M29" s="587">
        <f>SUM(M28:M28)</f>
        <v>1560</v>
      </c>
      <c r="N29" s="587">
        <f>SUM(N28:N28)</f>
        <v>2925</v>
      </c>
      <c r="O29" s="587">
        <f>SUM(O28:O28)</f>
        <v>4178.5714285714284</v>
      </c>
      <c r="P29" s="587">
        <f>SUM(P28:P28)</f>
        <v>8357.1428571428569</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1560</v>
      </c>
      <c r="N31" s="587">
        <f ca="1">SUMIF($AA$28:AE28,"tertiair",N28:N28)</f>
        <v>2925</v>
      </c>
      <c r="O31" s="587">
        <f ca="1">SUMIF($AA$28:AF28,"tertiair",O28:O28)</f>
        <v>4178.5714285714284</v>
      </c>
      <c r="P31" s="587">
        <f ca="1">SUMIF($AA$28:AG28,"tertiair",P28:P28)</f>
        <v>8357.1428571428569</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0.58823529411764708</v>
      </c>
      <c r="C45" s="612">
        <f>IF(ISERROR(N29/(O29+N29)),0,N29/(N29+O29))</f>
        <v>0.41176470588235292</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3441.1764705882351</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4915.9663865546217</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47984.879162594742</v>
      </c>
      <c r="D10" s="640">
        <f ca="1">tertiair!C16</f>
        <v>4178.5714285714284</v>
      </c>
      <c r="E10" s="640">
        <f ca="1">tertiair!D16</f>
        <v>58442.800688417163</v>
      </c>
      <c r="F10" s="640">
        <f>tertiair!E16</f>
        <v>153.06117097817236</v>
      </c>
      <c r="G10" s="640">
        <f ca="1">tertiair!F16</f>
        <v>5049.6184838358258</v>
      </c>
      <c r="H10" s="640">
        <f>tertiair!G16</f>
        <v>0</v>
      </c>
      <c r="I10" s="640">
        <f>tertiair!H16</f>
        <v>0</v>
      </c>
      <c r="J10" s="640">
        <f>tertiair!I16</f>
        <v>0</v>
      </c>
      <c r="K10" s="640">
        <f>tertiair!J16</f>
        <v>848.24537700963538</v>
      </c>
      <c r="L10" s="640">
        <f>tertiair!K16</f>
        <v>0</v>
      </c>
      <c r="M10" s="640">
        <f ca="1">tertiair!L16</f>
        <v>0</v>
      </c>
      <c r="N10" s="640">
        <f>tertiair!M16</f>
        <v>0</v>
      </c>
      <c r="O10" s="640">
        <f ca="1">tertiair!N16</f>
        <v>2924.1892399240578</v>
      </c>
      <c r="P10" s="640">
        <f>tertiair!O16</f>
        <v>4.6900000000000004</v>
      </c>
      <c r="Q10" s="641">
        <f>tertiair!P16</f>
        <v>0</v>
      </c>
      <c r="R10" s="643">
        <f ca="1">SUM(C10:Q10)</f>
        <v>119586.05555133102</v>
      </c>
      <c r="S10" s="67"/>
    </row>
    <row r="11" spans="1:19" s="444" customFormat="1">
      <c r="A11" s="754" t="s">
        <v>214</v>
      </c>
      <c r="B11" s="759"/>
      <c r="C11" s="640">
        <f>huishoudens!B8</f>
        <v>34796.125704642756</v>
      </c>
      <c r="D11" s="640">
        <f>huishoudens!C8</f>
        <v>0</v>
      </c>
      <c r="E11" s="640">
        <f>huishoudens!D8</f>
        <v>129909.69477286519</v>
      </c>
      <c r="F11" s="640">
        <f>huishoudens!E8</f>
        <v>1123.262020204201</v>
      </c>
      <c r="G11" s="640">
        <f>huishoudens!F8</f>
        <v>34422.895638682843</v>
      </c>
      <c r="H11" s="640">
        <f>huishoudens!G8</f>
        <v>0</v>
      </c>
      <c r="I11" s="640">
        <f>huishoudens!H8</f>
        <v>0</v>
      </c>
      <c r="J11" s="640">
        <f>huishoudens!I8</f>
        <v>0</v>
      </c>
      <c r="K11" s="640">
        <f>huishoudens!J8</f>
        <v>651.90110140852778</v>
      </c>
      <c r="L11" s="640">
        <f>huishoudens!K8</f>
        <v>0</v>
      </c>
      <c r="M11" s="640">
        <f>huishoudens!L8</f>
        <v>0</v>
      </c>
      <c r="N11" s="640">
        <f>huishoudens!M8</f>
        <v>0</v>
      </c>
      <c r="O11" s="640">
        <f>huishoudens!N8</f>
        <v>13604.419343164083</v>
      </c>
      <c r="P11" s="640">
        <f>huishoudens!O8</f>
        <v>101.61666666666667</v>
      </c>
      <c r="Q11" s="641">
        <f>huishoudens!P8</f>
        <v>266.93333333333334</v>
      </c>
      <c r="R11" s="643">
        <f>SUM(C11:Q11)</f>
        <v>214876.84858096758</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10900.020017410816</v>
      </c>
      <c r="D13" s="640">
        <f>industrie!C18</f>
        <v>0</v>
      </c>
      <c r="E13" s="640">
        <f>industrie!D18</f>
        <v>11086.721106606958</v>
      </c>
      <c r="F13" s="640">
        <f>industrie!E18</f>
        <v>667.43181795735279</v>
      </c>
      <c r="G13" s="640">
        <f>industrie!F18</f>
        <v>3318.7206511099389</v>
      </c>
      <c r="H13" s="640">
        <f>industrie!G18</f>
        <v>0</v>
      </c>
      <c r="I13" s="640">
        <f>industrie!H18</f>
        <v>0</v>
      </c>
      <c r="J13" s="640">
        <f>industrie!I18</f>
        <v>0</v>
      </c>
      <c r="K13" s="640">
        <f>industrie!J18</f>
        <v>26.04297712029522</v>
      </c>
      <c r="L13" s="640">
        <f>industrie!K18</f>
        <v>0</v>
      </c>
      <c r="M13" s="640">
        <f>industrie!L18</f>
        <v>0</v>
      </c>
      <c r="N13" s="640">
        <f>industrie!M18</f>
        <v>0</v>
      </c>
      <c r="O13" s="640">
        <f>industrie!N18</f>
        <v>644.87797444641592</v>
      </c>
      <c r="P13" s="640">
        <f>industrie!O18</f>
        <v>0</v>
      </c>
      <c r="Q13" s="641">
        <f>industrie!P18</f>
        <v>0</v>
      </c>
      <c r="R13" s="643">
        <f>SUM(C13:Q13)</f>
        <v>26643.814544651777</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93681.024884648315</v>
      </c>
      <c r="D16" s="675">
        <f t="shared" ref="D16:R16" ca="1" si="0">SUM(D9:D15)</f>
        <v>4178.5714285714284</v>
      </c>
      <c r="E16" s="675">
        <f t="shared" ca="1" si="0"/>
        <v>199439.21656788932</v>
      </c>
      <c r="F16" s="675">
        <f t="shared" si="0"/>
        <v>1943.7550091397261</v>
      </c>
      <c r="G16" s="675">
        <f t="shared" ca="1" si="0"/>
        <v>42791.234773628603</v>
      </c>
      <c r="H16" s="675">
        <f t="shared" si="0"/>
        <v>0</v>
      </c>
      <c r="I16" s="675">
        <f t="shared" si="0"/>
        <v>0</v>
      </c>
      <c r="J16" s="675">
        <f t="shared" si="0"/>
        <v>0</v>
      </c>
      <c r="K16" s="675">
        <f t="shared" si="0"/>
        <v>1526.1894555384583</v>
      </c>
      <c r="L16" s="675">
        <f t="shared" si="0"/>
        <v>0</v>
      </c>
      <c r="M16" s="675">
        <f t="shared" ca="1" si="0"/>
        <v>0</v>
      </c>
      <c r="N16" s="675">
        <f t="shared" si="0"/>
        <v>0</v>
      </c>
      <c r="O16" s="675">
        <f t="shared" ca="1" si="0"/>
        <v>17173.486557534558</v>
      </c>
      <c r="P16" s="675">
        <f t="shared" si="0"/>
        <v>106.30666666666667</v>
      </c>
      <c r="Q16" s="675">
        <f t="shared" si="0"/>
        <v>266.93333333333334</v>
      </c>
      <c r="R16" s="675">
        <f t="shared" ca="1" si="0"/>
        <v>361106.71867695038</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14.0528220618743</v>
      </c>
      <c r="D19" s="640">
        <f>transport!C54</f>
        <v>0</v>
      </c>
      <c r="E19" s="640">
        <f>transport!D54</f>
        <v>0</v>
      </c>
      <c r="F19" s="640">
        <f>transport!E54</f>
        <v>0</v>
      </c>
      <c r="G19" s="640">
        <f>transport!F54</f>
        <v>0</v>
      </c>
      <c r="H19" s="640">
        <f>transport!G54</f>
        <v>2735.3022979533634</v>
      </c>
      <c r="I19" s="640">
        <f>transport!H54</f>
        <v>0</v>
      </c>
      <c r="J19" s="640">
        <f>transport!I54</f>
        <v>0</v>
      </c>
      <c r="K19" s="640">
        <f>transport!J54</f>
        <v>0</v>
      </c>
      <c r="L19" s="640">
        <f>transport!K54</f>
        <v>0</v>
      </c>
      <c r="M19" s="640">
        <f>transport!L54</f>
        <v>0</v>
      </c>
      <c r="N19" s="640">
        <f>transport!M54</f>
        <v>122.65325341989514</v>
      </c>
      <c r="O19" s="640">
        <f>transport!N54</f>
        <v>0</v>
      </c>
      <c r="P19" s="640">
        <f>transport!O54</f>
        <v>0</v>
      </c>
      <c r="Q19" s="641">
        <f>transport!P54</f>
        <v>0</v>
      </c>
      <c r="R19" s="643">
        <f>SUM(C19:Q19)</f>
        <v>2872.0083734351329</v>
      </c>
      <c r="S19" s="67"/>
    </row>
    <row r="20" spans="1:19" s="444" customFormat="1">
      <c r="A20" s="754" t="s">
        <v>296</v>
      </c>
      <c r="B20" s="759"/>
      <c r="C20" s="640">
        <f>transport!B14</f>
        <v>9.9907392372771451</v>
      </c>
      <c r="D20" s="640">
        <f>transport!C14</f>
        <v>0</v>
      </c>
      <c r="E20" s="640">
        <f>transport!D14</f>
        <v>9.48675208732333</v>
      </c>
      <c r="F20" s="640">
        <f>transport!E14</f>
        <v>374.08042182203536</v>
      </c>
      <c r="G20" s="640">
        <f>transport!F14</f>
        <v>0</v>
      </c>
      <c r="H20" s="640">
        <f>transport!G14</f>
        <v>95153.88596450536</v>
      </c>
      <c r="I20" s="640">
        <f>transport!H14</f>
        <v>17697.091077390847</v>
      </c>
      <c r="J20" s="640">
        <f>transport!I14</f>
        <v>0</v>
      </c>
      <c r="K20" s="640">
        <f>transport!J14</f>
        <v>0</v>
      </c>
      <c r="L20" s="640">
        <f>transport!K14</f>
        <v>0</v>
      </c>
      <c r="M20" s="640">
        <f>transport!L14</f>
        <v>0</v>
      </c>
      <c r="N20" s="640">
        <f>transport!M14</f>
        <v>5103.0139547949902</v>
      </c>
      <c r="O20" s="640">
        <f>transport!N14</f>
        <v>0</v>
      </c>
      <c r="P20" s="640">
        <f>transport!O14</f>
        <v>0</v>
      </c>
      <c r="Q20" s="641">
        <f>transport!P14</f>
        <v>0</v>
      </c>
      <c r="R20" s="643">
        <f>SUM(C20:Q20)</f>
        <v>118347.54890983785</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24.043561299151445</v>
      </c>
      <c r="D22" s="757">
        <f t="shared" ref="D22:R22" si="1">SUM(D18:D21)</f>
        <v>0</v>
      </c>
      <c r="E22" s="757">
        <f t="shared" si="1"/>
        <v>9.48675208732333</v>
      </c>
      <c r="F22" s="757">
        <f t="shared" si="1"/>
        <v>374.08042182203536</v>
      </c>
      <c r="G22" s="757">
        <f t="shared" si="1"/>
        <v>0</v>
      </c>
      <c r="H22" s="757">
        <f t="shared" si="1"/>
        <v>97889.188262458716</v>
      </c>
      <c r="I22" s="757">
        <f t="shared" si="1"/>
        <v>17697.091077390847</v>
      </c>
      <c r="J22" s="757">
        <f t="shared" si="1"/>
        <v>0</v>
      </c>
      <c r="K22" s="757">
        <f t="shared" si="1"/>
        <v>0</v>
      </c>
      <c r="L22" s="757">
        <f t="shared" si="1"/>
        <v>0</v>
      </c>
      <c r="M22" s="757">
        <f t="shared" si="1"/>
        <v>0</v>
      </c>
      <c r="N22" s="757">
        <f t="shared" si="1"/>
        <v>5225.6672082148852</v>
      </c>
      <c r="O22" s="757">
        <f t="shared" si="1"/>
        <v>0</v>
      </c>
      <c r="P22" s="757">
        <f t="shared" si="1"/>
        <v>0</v>
      </c>
      <c r="Q22" s="757">
        <f t="shared" si="1"/>
        <v>0</v>
      </c>
      <c r="R22" s="757">
        <f t="shared" si="1"/>
        <v>121219.55728327298</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490.216453195155</v>
      </c>
      <c r="D24" s="640">
        <f>+landbouw!C8</f>
        <v>0</v>
      </c>
      <c r="E24" s="640">
        <f>+landbouw!D8</f>
        <v>246.9893545904269</v>
      </c>
      <c r="F24" s="640">
        <f>+landbouw!E8</f>
        <v>10.179202564524614</v>
      </c>
      <c r="G24" s="640">
        <f>+landbouw!F8</f>
        <v>1732.4374544837233</v>
      </c>
      <c r="H24" s="640">
        <f>+landbouw!G8</f>
        <v>0</v>
      </c>
      <c r="I24" s="640">
        <f>+landbouw!H8</f>
        <v>0</v>
      </c>
      <c r="J24" s="640">
        <f>+landbouw!I8</f>
        <v>0</v>
      </c>
      <c r="K24" s="640">
        <f>+landbouw!J8</f>
        <v>56.224726645594664</v>
      </c>
      <c r="L24" s="640">
        <f>+landbouw!K8</f>
        <v>0</v>
      </c>
      <c r="M24" s="640">
        <f>+landbouw!L8</f>
        <v>0</v>
      </c>
      <c r="N24" s="640">
        <f>+landbouw!M8</f>
        <v>0</v>
      </c>
      <c r="O24" s="640">
        <f>+landbouw!N8</f>
        <v>0</v>
      </c>
      <c r="P24" s="640">
        <f>+landbouw!O8</f>
        <v>0</v>
      </c>
      <c r="Q24" s="641">
        <f>+landbouw!P8</f>
        <v>0</v>
      </c>
      <c r="R24" s="643">
        <f>SUM(C24:Q24)</f>
        <v>2536.0471914794248</v>
      </c>
      <c r="S24" s="67"/>
    </row>
    <row r="25" spans="1:19" s="444" customFormat="1" ht="15" thickBot="1">
      <c r="A25" s="776" t="s">
        <v>806</v>
      </c>
      <c r="B25" s="939"/>
      <c r="C25" s="940">
        <f>IF(Onbekend_ele_kWh="---",0,Onbekend_ele_kWh)/1000+IF(REST_rest_ele_kWh="---",0,REST_rest_ele_kWh)/1000</f>
        <v>1470.2755925281399</v>
      </c>
      <c r="D25" s="940"/>
      <c r="E25" s="940">
        <f>IF(onbekend_gas_kWh="---",0,onbekend_gas_kWh)/1000+IF(REST_rest_gas_kWh="---",0,REST_rest_gas_kWh)/1000</f>
        <v>6563.8515569949104</v>
      </c>
      <c r="F25" s="940"/>
      <c r="G25" s="940"/>
      <c r="H25" s="940"/>
      <c r="I25" s="940"/>
      <c r="J25" s="940"/>
      <c r="K25" s="940"/>
      <c r="L25" s="940"/>
      <c r="M25" s="940"/>
      <c r="N25" s="940"/>
      <c r="O25" s="940"/>
      <c r="P25" s="940"/>
      <c r="Q25" s="941"/>
      <c r="R25" s="643">
        <f>SUM(C25:Q25)</f>
        <v>8034.1271495230503</v>
      </c>
      <c r="S25" s="67"/>
    </row>
    <row r="26" spans="1:19" s="444" customFormat="1" ht="15.75" thickBot="1">
      <c r="A26" s="648" t="s">
        <v>807</v>
      </c>
      <c r="B26" s="762"/>
      <c r="C26" s="757">
        <f>SUM(C24:C25)</f>
        <v>1960.492045723295</v>
      </c>
      <c r="D26" s="757">
        <f t="shared" ref="D26:R26" si="2">SUM(D24:D25)</f>
        <v>0</v>
      </c>
      <c r="E26" s="757">
        <f t="shared" si="2"/>
        <v>6810.8409115853374</v>
      </c>
      <c r="F26" s="757">
        <f t="shared" si="2"/>
        <v>10.179202564524614</v>
      </c>
      <c r="G26" s="757">
        <f t="shared" si="2"/>
        <v>1732.4374544837233</v>
      </c>
      <c r="H26" s="757">
        <f t="shared" si="2"/>
        <v>0</v>
      </c>
      <c r="I26" s="757">
        <f t="shared" si="2"/>
        <v>0</v>
      </c>
      <c r="J26" s="757">
        <f t="shared" si="2"/>
        <v>0</v>
      </c>
      <c r="K26" s="757">
        <f t="shared" si="2"/>
        <v>56.224726645594664</v>
      </c>
      <c r="L26" s="757">
        <f t="shared" si="2"/>
        <v>0</v>
      </c>
      <c r="M26" s="757">
        <f t="shared" si="2"/>
        <v>0</v>
      </c>
      <c r="N26" s="757">
        <f t="shared" si="2"/>
        <v>0</v>
      </c>
      <c r="O26" s="757">
        <f t="shared" si="2"/>
        <v>0</v>
      </c>
      <c r="P26" s="757">
        <f t="shared" si="2"/>
        <v>0</v>
      </c>
      <c r="Q26" s="757">
        <f t="shared" si="2"/>
        <v>0</v>
      </c>
      <c r="R26" s="757">
        <f t="shared" si="2"/>
        <v>10570.174341002476</v>
      </c>
      <c r="S26" s="67"/>
    </row>
    <row r="27" spans="1:19" s="444" customFormat="1" ht="17.25" thickTop="1" thickBot="1">
      <c r="A27" s="649" t="s">
        <v>109</v>
      </c>
      <c r="B27" s="749"/>
      <c r="C27" s="650">
        <f ca="1">C22+C16+C26</f>
        <v>95665.560491670767</v>
      </c>
      <c r="D27" s="650">
        <f t="shared" ref="D27:R27" ca="1" si="3">D22+D16+D26</f>
        <v>4178.5714285714284</v>
      </c>
      <c r="E27" s="650">
        <f t="shared" ca="1" si="3"/>
        <v>206259.544231562</v>
      </c>
      <c r="F27" s="650">
        <f t="shared" si="3"/>
        <v>2328.0146335262862</v>
      </c>
      <c r="G27" s="650">
        <f t="shared" ca="1" si="3"/>
        <v>44523.672228112329</v>
      </c>
      <c r="H27" s="650">
        <f t="shared" si="3"/>
        <v>97889.188262458716</v>
      </c>
      <c r="I27" s="650">
        <f t="shared" si="3"/>
        <v>17697.091077390847</v>
      </c>
      <c r="J27" s="650">
        <f t="shared" si="3"/>
        <v>0</v>
      </c>
      <c r="K27" s="650">
        <f t="shared" si="3"/>
        <v>1582.4141821840531</v>
      </c>
      <c r="L27" s="650">
        <f t="shared" si="3"/>
        <v>0</v>
      </c>
      <c r="M27" s="650">
        <f t="shared" ca="1" si="3"/>
        <v>0</v>
      </c>
      <c r="N27" s="650">
        <f t="shared" si="3"/>
        <v>5225.6672082148852</v>
      </c>
      <c r="O27" s="650">
        <f t="shared" ca="1" si="3"/>
        <v>17173.486557534558</v>
      </c>
      <c r="P27" s="650">
        <f t="shared" si="3"/>
        <v>106.30666666666667</v>
      </c>
      <c r="Q27" s="650">
        <f t="shared" si="3"/>
        <v>266.93333333333334</v>
      </c>
      <c r="R27" s="650">
        <f t="shared" ca="1" si="3"/>
        <v>492896.45030122582</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10484.332269702973</v>
      </c>
      <c r="D40" s="640">
        <f ca="1">tertiair!C20</f>
        <v>993.02521008403369</v>
      </c>
      <c r="E40" s="640">
        <f ca="1">tertiair!D20</f>
        <v>11805.445739060267</v>
      </c>
      <c r="F40" s="640">
        <f>tertiair!E20</f>
        <v>34.744885812045126</v>
      </c>
      <c r="G40" s="640">
        <f ca="1">tertiair!F20</f>
        <v>1348.2481351841657</v>
      </c>
      <c r="H40" s="640">
        <f>tertiair!G20</f>
        <v>0</v>
      </c>
      <c r="I40" s="640">
        <f>tertiair!H20</f>
        <v>0</v>
      </c>
      <c r="J40" s="640">
        <f>tertiair!I20</f>
        <v>0</v>
      </c>
      <c r="K40" s="640">
        <f>tertiair!J20</f>
        <v>300.27886346141094</v>
      </c>
      <c r="L40" s="640">
        <f>tertiair!K20</f>
        <v>0</v>
      </c>
      <c r="M40" s="640">
        <f ca="1">tertiair!L20</f>
        <v>0</v>
      </c>
      <c r="N40" s="640">
        <f>tertiair!M20</f>
        <v>0</v>
      </c>
      <c r="O40" s="640">
        <f ca="1">tertiair!N20</f>
        <v>0</v>
      </c>
      <c r="P40" s="640">
        <f>tertiair!O20</f>
        <v>0</v>
      </c>
      <c r="Q40" s="717">
        <f>tertiair!P20</f>
        <v>0</v>
      </c>
      <c r="R40" s="795">
        <f t="shared" ca="1" si="4"/>
        <v>24966.075103304895</v>
      </c>
    </row>
    <row r="41" spans="1:18">
      <c r="A41" s="767" t="s">
        <v>214</v>
      </c>
      <c r="B41" s="774"/>
      <c r="C41" s="640">
        <f ca="1">huishoudens!B12</f>
        <v>7602.6896379100963</v>
      </c>
      <c r="D41" s="640">
        <f ca="1">huishoudens!C12</f>
        <v>0</v>
      </c>
      <c r="E41" s="640">
        <f>huishoudens!D12</f>
        <v>26241.758344118771</v>
      </c>
      <c r="F41" s="640">
        <f>huishoudens!E12</f>
        <v>254.98047858635363</v>
      </c>
      <c r="G41" s="640">
        <f>huishoudens!F12</f>
        <v>9190.9131355283189</v>
      </c>
      <c r="H41" s="640">
        <f>huishoudens!G12</f>
        <v>0</v>
      </c>
      <c r="I41" s="640">
        <f>huishoudens!H12</f>
        <v>0</v>
      </c>
      <c r="J41" s="640">
        <f>huishoudens!I12</f>
        <v>0</v>
      </c>
      <c r="K41" s="640">
        <f>huishoudens!J12</f>
        <v>230.77298989861882</v>
      </c>
      <c r="L41" s="640">
        <f>huishoudens!K12</f>
        <v>0</v>
      </c>
      <c r="M41" s="640">
        <f>huishoudens!L12</f>
        <v>0</v>
      </c>
      <c r="N41" s="640">
        <f>huishoudens!M12</f>
        <v>0</v>
      </c>
      <c r="O41" s="640">
        <f>huishoudens!N12</f>
        <v>0</v>
      </c>
      <c r="P41" s="640">
        <f>huishoudens!O12</f>
        <v>0</v>
      </c>
      <c r="Q41" s="717">
        <f>huishoudens!P12</f>
        <v>0</v>
      </c>
      <c r="R41" s="795">
        <f t="shared" ca="1" si="4"/>
        <v>43521.11458604216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2381.5717284963362</v>
      </c>
      <c r="D43" s="640">
        <f ca="1">industrie!C22</f>
        <v>0</v>
      </c>
      <c r="E43" s="640">
        <f>industrie!D22</f>
        <v>2239.5176635346056</v>
      </c>
      <c r="F43" s="640">
        <f>industrie!E22</f>
        <v>151.50702267631908</v>
      </c>
      <c r="G43" s="640">
        <f>industrie!F22</f>
        <v>886.09841384635376</v>
      </c>
      <c r="H43" s="640">
        <f>industrie!G22</f>
        <v>0</v>
      </c>
      <c r="I43" s="640">
        <f>industrie!H22</f>
        <v>0</v>
      </c>
      <c r="J43" s="640">
        <f>industrie!I22</f>
        <v>0</v>
      </c>
      <c r="K43" s="640">
        <f>industrie!J22</f>
        <v>9.2192139005845064</v>
      </c>
      <c r="L43" s="640">
        <f>industrie!K22</f>
        <v>0</v>
      </c>
      <c r="M43" s="640">
        <f>industrie!L22</f>
        <v>0</v>
      </c>
      <c r="N43" s="640">
        <f>industrie!M22</f>
        <v>0</v>
      </c>
      <c r="O43" s="640">
        <f>industrie!N22</f>
        <v>0</v>
      </c>
      <c r="P43" s="640">
        <f>industrie!O22</f>
        <v>0</v>
      </c>
      <c r="Q43" s="717">
        <f>industrie!P22</f>
        <v>0</v>
      </c>
      <c r="R43" s="794">
        <f t="shared" ca="1" si="4"/>
        <v>5667.9140424541993</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20468.593636109403</v>
      </c>
      <c r="D46" s="675">
        <f t="shared" ref="D46:Q46" ca="1" si="5">SUM(D39:D45)</f>
        <v>993.02521008403369</v>
      </c>
      <c r="E46" s="675">
        <f t="shared" ca="1" si="5"/>
        <v>40286.721746713643</v>
      </c>
      <c r="F46" s="675">
        <f t="shared" si="5"/>
        <v>441.23238707471785</v>
      </c>
      <c r="G46" s="675">
        <f t="shared" ca="1" si="5"/>
        <v>11425.259684558838</v>
      </c>
      <c r="H46" s="675">
        <f t="shared" si="5"/>
        <v>0</v>
      </c>
      <c r="I46" s="675">
        <f t="shared" si="5"/>
        <v>0</v>
      </c>
      <c r="J46" s="675">
        <f t="shared" si="5"/>
        <v>0</v>
      </c>
      <c r="K46" s="675">
        <f t="shared" si="5"/>
        <v>540.27106726061425</v>
      </c>
      <c r="L46" s="675">
        <f t="shared" si="5"/>
        <v>0</v>
      </c>
      <c r="M46" s="675">
        <f t="shared" ca="1" si="5"/>
        <v>0</v>
      </c>
      <c r="N46" s="675">
        <f t="shared" si="5"/>
        <v>0</v>
      </c>
      <c r="O46" s="675">
        <f t="shared" ca="1" si="5"/>
        <v>0</v>
      </c>
      <c r="P46" s="675">
        <f t="shared" si="5"/>
        <v>0</v>
      </c>
      <c r="Q46" s="675">
        <f t="shared" si="5"/>
        <v>0</v>
      </c>
      <c r="R46" s="675">
        <f ca="1">SUM(R39:R45)</f>
        <v>74155.103731801253</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3.0704350702742418</v>
      </c>
      <c r="D49" s="640">
        <f ca="1">transport!C58</f>
        <v>0</v>
      </c>
      <c r="E49" s="640">
        <f>transport!D58</f>
        <v>0</v>
      </c>
      <c r="F49" s="640">
        <f>transport!E58</f>
        <v>0</v>
      </c>
      <c r="G49" s="640">
        <f>transport!F58</f>
        <v>0</v>
      </c>
      <c r="H49" s="640">
        <f>transport!G58</f>
        <v>730.3257135535481</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733.39614862382234</v>
      </c>
    </row>
    <row r="50" spans="1:18">
      <c r="A50" s="770" t="s">
        <v>296</v>
      </c>
      <c r="B50" s="780"/>
      <c r="C50" s="646">
        <f ca="1">transport!B18</f>
        <v>2.1829007723171348</v>
      </c>
      <c r="D50" s="646">
        <f>transport!C18</f>
        <v>0</v>
      </c>
      <c r="E50" s="646">
        <f>transport!D18</f>
        <v>1.9163239216393129</v>
      </c>
      <c r="F50" s="646">
        <f>transport!E18</f>
        <v>84.91625575360203</v>
      </c>
      <c r="G50" s="646">
        <f>transport!F18</f>
        <v>0</v>
      </c>
      <c r="H50" s="646">
        <f>transport!G18</f>
        <v>25406.087552522931</v>
      </c>
      <c r="I50" s="646">
        <f>transport!H18</f>
        <v>4406.5756782703211</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29901.678711240809</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5.2533358425913761</v>
      </c>
      <c r="D52" s="675">
        <f t="shared" ref="D52:Q52" ca="1" si="6">SUM(D48:D51)</f>
        <v>0</v>
      </c>
      <c r="E52" s="675">
        <f t="shared" si="6"/>
        <v>1.9163239216393129</v>
      </c>
      <c r="F52" s="675">
        <f t="shared" si="6"/>
        <v>84.91625575360203</v>
      </c>
      <c r="G52" s="675">
        <f t="shared" si="6"/>
        <v>0</v>
      </c>
      <c r="H52" s="675">
        <f t="shared" si="6"/>
        <v>26136.413266076481</v>
      </c>
      <c r="I52" s="675">
        <f t="shared" si="6"/>
        <v>4406.5756782703211</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30635.074859864631</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107.10857814100164</v>
      </c>
      <c r="D54" s="646">
        <f ca="1">+landbouw!C12</f>
        <v>0</v>
      </c>
      <c r="E54" s="646">
        <f>+landbouw!D12</f>
        <v>49.89184962726624</v>
      </c>
      <c r="F54" s="646">
        <f>+landbouw!E12</f>
        <v>2.3106789821470874</v>
      </c>
      <c r="G54" s="646">
        <f>+landbouw!F12</f>
        <v>462.56080034715416</v>
      </c>
      <c r="H54" s="646">
        <f>+landbouw!G12</f>
        <v>0</v>
      </c>
      <c r="I54" s="646">
        <f>+landbouw!H12</f>
        <v>0</v>
      </c>
      <c r="J54" s="646">
        <f>+landbouw!I12</f>
        <v>0</v>
      </c>
      <c r="K54" s="646">
        <f>+landbouw!J12</f>
        <v>19.90355323254051</v>
      </c>
      <c r="L54" s="646">
        <f>+landbouw!K12</f>
        <v>0</v>
      </c>
      <c r="M54" s="646">
        <f>+landbouw!L12</f>
        <v>0</v>
      </c>
      <c r="N54" s="646">
        <f>+landbouw!M12</f>
        <v>0</v>
      </c>
      <c r="O54" s="646">
        <f>+landbouw!N12</f>
        <v>0</v>
      </c>
      <c r="P54" s="646">
        <f>+landbouw!O12</f>
        <v>0</v>
      </c>
      <c r="Q54" s="647">
        <f>+landbouw!P12</f>
        <v>0</v>
      </c>
      <c r="R54" s="674">
        <f ca="1">SUM(C54:Q54)</f>
        <v>641.77546033010969</v>
      </c>
    </row>
    <row r="55" spans="1:18" ht="15" thickBot="1">
      <c r="A55" s="770" t="s">
        <v>806</v>
      </c>
      <c r="B55" s="780"/>
      <c r="C55" s="646">
        <f ca="1">C25*'EF ele_warmte'!B12</f>
        <v>321.24406915492773</v>
      </c>
      <c r="D55" s="646"/>
      <c r="E55" s="646">
        <f>E25*EF_CO2_aardgas</f>
        <v>1325.8980145129719</v>
      </c>
      <c r="F55" s="646"/>
      <c r="G55" s="646"/>
      <c r="H55" s="646"/>
      <c r="I55" s="646"/>
      <c r="J55" s="646"/>
      <c r="K55" s="646"/>
      <c r="L55" s="646"/>
      <c r="M55" s="646"/>
      <c r="N55" s="646"/>
      <c r="O55" s="646"/>
      <c r="P55" s="646"/>
      <c r="Q55" s="647"/>
      <c r="R55" s="674">
        <f ca="1">SUM(C55:Q55)</f>
        <v>1647.1420836678997</v>
      </c>
    </row>
    <row r="56" spans="1:18" ht="15.75" thickBot="1">
      <c r="A56" s="768" t="s">
        <v>807</v>
      </c>
      <c r="B56" s="781"/>
      <c r="C56" s="675">
        <f ca="1">SUM(C54:C55)</f>
        <v>428.35264729592939</v>
      </c>
      <c r="D56" s="675">
        <f t="shared" ref="D56:Q56" ca="1" si="7">SUM(D54:D55)</f>
        <v>0</v>
      </c>
      <c r="E56" s="675">
        <f t="shared" si="7"/>
        <v>1375.7898641402383</v>
      </c>
      <c r="F56" s="675">
        <f t="shared" si="7"/>
        <v>2.3106789821470874</v>
      </c>
      <c r="G56" s="675">
        <f t="shared" si="7"/>
        <v>462.56080034715416</v>
      </c>
      <c r="H56" s="675">
        <f t="shared" si="7"/>
        <v>0</v>
      </c>
      <c r="I56" s="675">
        <f t="shared" si="7"/>
        <v>0</v>
      </c>
      <c r="J56" s="675">
        <f t="shared" si="7"/>
        <v>0</v>
      </c>
      <c r="K56" s="675">
        <f t="shared" si="7"/>
        <v>19.90355323254051</v>
      </c>
      <c r="L56" s="675">
        <f t="shared" si="7"/>
        <v>0</v>
      </c>
      <c r="M56" s="675">
        <f t="shared" si="7"/>
        <v>0</v>
      </c>
      <c r="N56" s="675">
        <f t="shared" si="7"/>
        <v>0</v>
      </c>
      <c r="O56" s="675">
        <f t="shared" si="7"/>
        <v>0</v>
      </c>
      <c r="P56" s="675">
        <f t="shared" si="7"/>
        <v>0</v>
      </c>
      <c r="Q56" s="676">
        <f t="shared" si="7"/>
        <v>0</v>
      </c>
      <c r="R56" s="677">
        <f ca="1">SUM(R54:R55)</f>
        <v>2288.9175439980095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20902.199619247924</v>
      </c>
      <c r="D61" s="683">
        <f t="shared" ref="D61:Q61" ca="1" si="8">D46+D52+D56</f>
        <v>993.02521008403369</v>
      </c>
      <c r="E61" s="683">
        <f t="shared" ca="1" si="8"/>
        <v>41664.427934775515</v>
      </c>
      <c r="F61" s="683">
        <f t="shared" si="8"/>
        <v>528.45932181046703</v>
      </c>
      <c r="G61" s="683">
        <f t="shared" ca="1" si="8"/>
        <v>11887.820484905991</v>
      </c>
      <c r="H61" s="683">
        <f t="shared" si="8"/>
        <v>26136.413266076481</v>
      </c>
      <c r="I61" s="683">
        <f t="shared" si="8"/>
        <v>4406.5756782703211</v>
      </c>
      <c r="J61" s="683">
        <f t="shared" si="8"/>
        <v>0</v>
      </c>
      <c r="K61" s="683">
        <f t="shared" si="8"/>
        <v>560.17462049315475</v>
      </c>
      <c r="L61" s="683">
        <f t="shared" si="8"/>
        <v>0</v>
      </c>
      <c r="M61" s="683">
        <f t="shared" ca="1" si="8"/>
        <v>0</v>
      </c>
      <c r="N61" s="683">
        <f t="shared" si="8"/>
        <v>0</v>
      </c>
      <c r="O61" s="683">
        <f t="shared" ca="1" si="8"/>
        <v>0</v>
      </c>
      <c r="P61" s="683">
        <f t="shared" si="8"/>
        <v>0</v>
      </c>
      <c r="Q61" s="683">
        <f t="shared" si="8"/>
        <v>0</v>
      </c>
      <c r="R61" s="683">
        <f ca="1">R46+R52+R56</f>
        <v>107079.09613566389</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0.21849241787558227</v>
      </c>
      <c r="D63" s="726">
        <f t="shared" ca="1" si="9"/>
        <v>0.23764705882352943</v>
      </c>
      <c r="E63" s="946">
        <f t="shared" ca="1" si="9"/>
        <v>0.20199999999999996</v>
      </c>
      <c r="F63" s="726">
        <f t="shared" si="9"/>
        <v>0.22700000000000004</v>
      </c>
      <c r="G63" s="726">
        <f t="shared" ca="1" si="9"/>
        <v>0.26699999999999996</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1305.8004365164472</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2925</v>
      </c>
      <c r="D76" s="956">
        <f>'lokale energieproductie'!C8</f>
        <v>3441.1764705882351</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695.11764705882354</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1305.8004365164472</v>
      </c>
      <c r="C78" s="698">
        <f>SUM(C72:C77)</f>
        <v>2925</v>
      </c>
      <c r="D78" s="699">
        <f t="shared" ref="D78:H78" si="10">SUM(D76:D77)</f>
        <v>3441.1764705882351</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695.11764705882354</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4178.5714285714284</v>
      </c>
      <c r="D87" s="720">
        <f>'lokale energieproductie'!C17</f>
        <v>4915.9663865546217</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993.02521008403369</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4178.5714285714284</v>
      </c>
      <c r="D90" s="698">
        <f t="shared" ref="D90:H90" si="12">SUM(D87:D89)</f>
        <v>4915.9663865546217</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993.02521008403369</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34796.125704642756</v>
      </c>
      <c r="C4" s="448">
        <f>huishoudens!C8</f>
        <v>0</v>
      </c>
      <c r="D4" s="448">
        <f>huishoudens!D8</f>
        <v>129909.69477286519</v>
      </c>
      <c r="E4" s="448">
        <f>huishoudens!E8</f>
        <v>1123.262020204201</v>
      </c>
      <c r="F4" s="448">
        <f>huishoudens!F8</f>
        <v>34422.895638682843</v>
      </c>
      <c r="G4" s="448">
        <f>huishoudens!G8</f>
        <v>0</v>
      </c>
      <c r="H4" s="448">
        <f>huishoudens!H8</f>
        <v>0</v>
      </c>
      <c r="I4" s="448">
        <f>huishoudens!I8</f>
        <v>0</v>
      </c>
      <c r="J4" s="448">
        <f>huishoudens!J8</f>
        <v>651.90110140852778</v>
      </c>
      <c r="K4" s="448">
        <f>huishoudens!K8</f>
        <v>0</v>
      </c>
      <c r="L4" s="448">
        <f>huishoudens!L8</f>
        <v>0</v>
      </c>
      <c r="M4" s="448">
        <f>huishoudens!M8</f>
        <v>0</v>
      </c>
      <c r="N4" s="448">
        <f>huishoudens!N8</f>
        <v>13604.419343164083</v>
      </c>
      <c r="O4" s="448">
        <f>huishoudens!O8</f>
        <v>101.61666666666667</v>
      </c>
      <c r="P4" s="449">
        <f>huishoudens!P8</f>
        <v>266.93333333333334</v>
      </c>
      <c r="Q4" s="450">
        <f>SUM(B4:P4)</f>
        <v>214876.84858096758</v>
      </c>
    </row>
    <row r="5" spans="1:17">
      <c r="A5" s="447" t="s">
        <v>149</v>
      </c>
      <c r="B5" s="448">
        <f ca="1">tertiair!B16</f>
        <v>47113.414162594745</v>
      </c>
      <c r="C5" s="448">
        <f ca="1">tertiair!C16</f>
        <v>4178.5714285714284</v>
      </c>
      <c r="D5" s="448">
        <f ca="1">tertiair!D16</f>
        <v>58442.800688417163</v>
      </c>
      <c r="E5" s="448">
        <f>tertiair!E16</f>
        <v>153.06117097817236</v>
      </c>
      <c r="F5" s="448">
        <f ca="1">tertiair!F16</f>
        <v>5049.6184838358258</v>
      </c>
      <c r="G5" s="448">
        <f>tertiair!G16</f>
        <v>0</v>
      </c>
      <c r="H5" s="448">
        <f>tertiair!H16</f>
        <v>0</v>
      </c>
      <c r="I5" s="448">
        <f>tertiair!I16</f>
        <v>0</v>
      </c>
      <c r="J5" s="448">
        <f>tertiair!J16</f>
        <v>848.24537700963538</v>
      </c>
      <c r="K5" s="448">
        <f>tertiair!K16</f>
        <v>0</v>
      </c>
      <c r="L5" s="448">
        <f ca="1">tertiair!L16</f>
        <v>0</v>
      </c>
      <c r="M5" s="448">
        <f>tertiair!M16</f>
        <v>0</v>
      </c>
      <c r="N5" s="448">
        <f ca="1">tertiair!N16</f>
        <v>2924.1892399240578</v>
      </c>
      <c r="O5" s="448">
        <f>tertiair!O16</f>
        <v>4.6900000000000004</v>
      </c>
      <c r="P5" s="449">
        <f>tertiair!P16</f>
        <v>0</v>
      </c>
      <c r="Q5" s="447">
        <f t="shared" ref="Q5:Q14" ca="1" si="0">SUM(B5:P5)</f>
        <v>118714.59055133103</v>
      </c>
    </row>
    <row r="6" spans="1:17">
      <c r="A6" s="447" t="s">
        <v>187</v>
      </c>
      <c r="B6" s="448">
        <f>'openbare verlichting'!B8</f>
        <v>871.46500000000003</v>
      </c>
      <c r="C6" s="448"/>
      <c r="D6" s="448"/>
      <c r="E6" s="448"/>
      <c r="F6" s="448"/>
      <c r="G6" s="448"/>
      <c r="H6" s="448"/>
      <c r="I6" s="448"/>
      <c r="J6" s="448"/>
      <c r="K6" s="448"/>
      <c r="L6" s="448"/>
      <c r="M6" s="448"/>
      <c r="N6" s="448"/>
      <c r="O6" s="448"/>
      <c r="P6" s="449"/>
      <c r="Q6" s="447">
        <f t="shared" si="0"/>
        <v>871.46500000000003</v>
      </c>
    </row>
    <row r="7" spans="1:17">
      <c r="A7" s="447" t="s">
        <v>105</v>
      </c>
      <c r="B7" s="448">
        <f>landbouw!B8</f>
        <v>490.216453195155</v>
      </c>
      <c r="C7" s="448">
        <f>landbouw!C8</f>
        <v>0</v>
      </c>
      <c r="D7" s="448">
        <f>landbouw!D8</f>
        <v>246.9893545904269</v>
      </c>
      <c r="E7" s="448">
        <f>landbouw!E8</f>
        <v>10.179202564524614</v>
      </c>
      <c r="F7" s="448">
        <f>landbouw!F8</f>
        <v>1732.4374544837233</v>
      </c>
      <c r="G7" s="448">
        <f>landbouw!G8</f>
        <v>0</v>
      </c>
      <c r="H7" s="448">
        <f>landbouw!H8</f>
        <v>0</v>
      </c>
      <c r="I7" s="448">
        <f>landbouw!I8</f>
        <v>0</v>
      </c>
      <c r="J7" s="448">
        <f>landbouw!J8</f>
        <v>56.224726645594664</v>
      </c>
      <c r="K7" s="448">
        <f>landbouw!K8</f>
        <v>0</v>
      </c>
      <c r="L7" s="448">
        <f>landbouw!L8</f>
        <v>0</v>
      </c>
      <c r="M7" s="448">
        <f>landbouw!M8</f>
        <v>0</v>
      </c>
      <c r="N7" s="448">
        <f>landbouw!N8</f>
        <v>0</v>
      </c>
      <c r="O7" s="448">
        <f>landbouw!O8</f>
        <v>0</v>
      </c>
      <c r="P7" s="449">
        <f>landbouw!P8</f>
        <v>0</v>
      </c>
      <c r="Q7" s="447">
        <f t="shared" si="0"/>
        <v>2536.0471914794248</v>
      </c>
    </row>
    <row r="8" spans="1:17">
      <c r="A8" s="447" t="s">
        <v>614</v>
      </c>
      <c r="B8" s="448">
        <f>industrie!B18</f>
        <v>10900.020017410816</v>
      </c>
      <c r="C8" s="448">
        <f>industrie!C18</f>
        <v>0</v>
      </c>
      <c r="D8" s="448">
        <f>industrie!D18</f>
        <v>11086.721106606958</v>
      </c>
      <c r="E8" s="448">
        <f>industrie!E18</f>
        <v>667.43181795735279</v>
      </c>
      <c r="F8" s="448">
        <f>industrie!F18</f>
        <v>3318.7206511099389</v>
      </c>
      <c r="G8" s="448">
        <f>industrie!G18</f>
        <v>0</v>
      </c>
      <c r="H8" s="448">
        <f>industrie!H18</f>
        <v>0</v>
      </c>
      <c r="I8" s="448">
        <f>industrie!I18</f>
        <v>0</v>
      </c>
      <c r="J8" s="448">
        <f>industrie!J18</f>
        <v>26.04297712029522</v>
      </c>
      <c r="K8" s="448">
        <f>industrie!K18</f>
        <v>0</v>
      </c>
      <c r="L8" s="448">
        <f>industrie!L18</f>
        <v>0</v>
      </c>
      <c r="M8" s="448">
        <f>industrie!M18</f>
        <v>0</v>
      </c>
      <c r="N8" s="448">
        <f>industrie!N18</f>
        <v>644.87797444641592</v>
      </c>
      <c r="O8" s="448">
        <f>industrie!O18</f>
        <v>0</v>
      </c>
      <c r="P8" s="449">
        <f>industrie!P18</f>
        <v>0</v>
      </c>
      <c r="Q8" s="447">
        <f t="shared" si="0"/>
        <v>26643.814544651777</v>
      </c>
    </row>
    <row r="9" spans="1:17" s="453" customFormat="1">
      <c r="A9" s="451" t="s">
        <v>555</v>
      </c>
      <c r="B9" s="452">
        <f>transport!B14</f>
        <v>9.9907392372771451</v>
      </c>
      <c r="C9" s="452">
        <f>transport!C14</f>
        <v>0</v>
      </c>
      <c r="D9" s="452">
        <f>transport!D14</f>
        <v>9.48675208732333</v>
      </c>
      <c r="E9" s="452">
        <f>transport!E14</f>
        <v>374.08042182203536</v>
      </c>
      <c r="F9" s="452">
        <f>transport!F14</f>
        <v>0</v>
      </c>
      <c r="G9" s="452">
        <f>transport!G14</f>
        <v>95153.88596450536</v>
      </c>
      <c r="H9" s="452">
        <f>transport!H14</f>
        <v>17697.091077390847</v>
      </c>
      <c r="I9" s="452">
        <f>transport!I14</f>
        <v>0</v>
      </c>
      <c r="J9" s="452">
        <f>transport!J14</f>
        <v>0</v>
      </c>
      <c r="K9" s="452">
        <f>transport!K14</f>
        <v>0</v>
      </c>
      <c r="L9" s="452">
        <f>transport!L14</f>
        <v>0</v>
      </c>
      <c r="M9" s="452">
        <f>transport!M14</f>
        <v>5103.0139547949902</v>
      </c>
      <c r="N9" s="452">
        <f>transport!N14</f>
        <v>0</v>
      </c>
      <c r="O9" s="452">
        <f>transport!O14</f>
        <v>0</v>
      </c>
      <c r="P9" s="452">
        <f>transport!P14</f>
        <v>0</v>
      </c>
      <c r="Q9" s="451">
        <f>SUM(B9:P9)</f>
        <v>118347.54890983785</v>
      </c>
    </row>
    <row r="10" spans="1:17">
      <c r="A10" s="447" t="s">
        <v>545</v>
      </c>
      <c r="B10" s="448">
        <f>transport!B54</f>
        <v>14.0528220618743</v>
      </c>
      <c r="C10" s="448">
        <f>transport!C54</f>
        <v>0</v>
      </c>
      <c r="D10" s="448">
        <f>transport!D54</f>
        <v>0</v>
      </c>
      <c r="E10" s="448">
        <f>transport!E54</f>
        <v>0</v>
      </c>
      <c r="F10" s="448">
        <f>transport!F54</f>
        <v>0</v>
      </c>
      <c r="G10" s="448">
        <f>transport!G54</f>
        <v>2735.3022979533634</v>
      </c>
      <c r="H10" s="448">
        <f>transport!H54</f>
        <v>0</v>
      </c>
      <c r="I10" s="448">
        <f>transport!I54</f>
        <v>0</v>
      </c>
      <c r="J10" s="448">
        <f>transport!J54</f>
        <v>0</v>
      </c>
      <c r="K10" s="448">
        <f>transport!K54</f>
        <v>0</v>
      </c>
      <c r="L10" s="448">
        <f>transport!L54</f>
        <v>0</v>
      </c>
      <c r="M10" s="448">
        <f>transport!M54</f>
        <v>122.65325341989514</v>
      </c>
      <c r="N10" s="448">
        <f>transport!N54</f>
        <v>0</v>
      </c>
      <c r="O10" s="448">
        <f>transport!O54</f>
        <v>0</v>
      </c>
      <c r="P10" s="449">
        <f>transport!P54</f>
        <v>0</v>
      </c>
      <c r="Q10" s="447">
        <f t="shared" si="0"/>
        <v>2872.0083734351329</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1470.2755925281399</v>
      </c>
      <c r="C14" s="455"/>
      <c r="D14" s="455">
        <f>'SEAP template'!E25</f>
        <v>6563.8515569949104</v>
      </c>
      <c r="E14" s="455"/>
      <c r="F14" s="455"/>
      <c r="G14" s="455"/>
      <c r="H14" s="455"/>
      <c r="I14" s="455"/>
      <c r="J14" s="455"/>
      <c r="K14" s="455"/>
      <c r="L14" s="455"/>
      <c r="M14" s="455"/>
      <c r="N14" s="455"/>
      <c r="O14" s="455"/>
      <c r="P14" s="456"/>
      <c r="Q14" s="447">
        <f t="shared" si="0"/>
        <v>8034.1271495230503</v>
      </c>
    </row>
    <row r="15" spans="1:17" s="460" customFormat="1">
      <c r="A15" s="457" t="s">
        <v>549</v>
      </c>
      <c r="B15" s="458">
        <f ca="1">SUM(B4:B14)</f>
        <v>95665.560491670767</v>
      </c>
      <c r="C15" s="458">
        <f t="shared" ref="C15:Q15" ca="1" si="1">SUM(C4:C14)</f>
        <v>4178.5714285714284</v>
      </c>
      <c r="D15" s="458">
        <f t="shared" ca="1" si="1"/>
        <v>206259.544231562</v>
      </c>
      <c r="E15" s="458">
        <f t="shared" si="1"/>
        <v>2328.0146335262862</v>
      </c>
      <c r="F15" s="458">
        <f t="shared" ca="1" si="1"/>
        <v>44523.672228112329</v>
      </c>
      <c r="G15" s="458">
        <f t="shared" si="1"/>
        <v>97889.188262458716</v>
      </c>
      <c r="H15" s="458">
        <f t="shared" si="1"/>
        <v>17697.091077390847</v>
      </c>
      <c r="I15" s="458">
        <f t="shared" si="1"/>
        <v>0</v>
      </c>
      <c r="J15" s="458">
        <f t="shared" si="1"/>
        <v>1582.4141821840531</v>
      </c>
      <c r="K15" s="458">
        <f t="shared" si="1"/>
        <v>0</v>
      </c>
      <c r="L15" s="458">
        <f t="shared" ca="1" si="1"/>
        <v>0</v>
      </c>
      <c r="M15" s="458">
        <f t="shared" si="1"/>
        <v>5225.6672082148852</v>
      </c>
      <c r="N15" s="458">
        <f t="shared" ca="1" si="1"/>
        <v>17173.486557534558</v>
      </c>
      <c r="O15" s="458">
        <f t="shared" si="1"/>
        <v>106.30666666666667</v>
      </c>
      <c r="P15" s="458">
        <f t="shared" si="1"/>
        <v>266.93333333333334</v>
      </c>
      <c r="Q15" s="458">
        <f t="shared" ca="1" si="1"/>
        <v>492896.45030122582</v>
      </c>
    </row>
    <row r="17" spans="1:17">
      <c r="A17" s="461" t="s">
        <v>550</v>
      </c>
      <c r="B17" s="731">
        <f ca="1">huishoudens!B10</f>
        <v>0.21849241787558232</v>
      </c>
      <c r="C17" s="731">
        <f ca="1">huishoudens!C10</f>
        <v>0.23764705882352943</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7602.6896379100963</v>
      </c>
      <c r="C22" s="448">
        <f t="shared" ref="C22:C32" ca="1" si="3">C4*$C$17</f>
        <v>0</v>
      </c>
      <c r="D22" s="448">
        <f t="shared" ref="D22:D32" si="4">D4*$D$17</f>
        <v>26241.758344118771</v>
      </c>
      <c r="E22" s="448">
        <f t="shared" ref="E22:E32" si="5">E4*$E$17</f>
        <v>254.98047858635363</v>
      </c>
      <c r="F22" s="448">
        <f t="shared" ref="F22:F32" si="6">F4*$F$17</f>
        <v>9190.9131355283189</v>
      </c>
      <c r="G22" s="448">
        <f t="shared" ref="G22:G32" si="7">G4*$G$17</f>
        <v>0</v>
      </c>
      <c r="H22" s="448">
        <f t="shared" ref="H22:H32" si="8">H4*$H$17</f>
        <v>0</v>
      </c>
      <c r="I22" s="448">
        <f t="shared" ref="I22:I32" si="9">I4*$I$17</f>
        <v>0</v>
      </c>
      <c r="J22" s="448">
        <f t="shared" ref="J22:J32" si="10">J4*$J$17</f>
        <v>230.77298989861882</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43521.11458604216</v>
      </c>
    </row>
    <row r="23" spans="1:17">
      <c r="A23" s="447" t="s">
        <v>149</v>
      </c>
      <c r="B23" s="448">
        <f t="shared" ca="1" si="2"/>
        <v>10293.923774759029</v>
      </c>
      <c r="C23" s="448">
        <f t="shared" ca="1" si="3"/>
        <v>993.02521008403369</v>
      </c>
      <c r="D23" s="448">
        <f t="shared" ca="1" si="4"/>
        <v>11805.445739060267</v>
      </c>
      <c r="E23" s="448">
        <f t="shared" si="5"/>
        <v>34.744885812045126</v>
      </c>
      <c r="F23" s="448">
        <f t="shared" ca="1" si="6"/>
        <v>1348.2481351841657</v>
      </c>
      <c r="G23" s="448">
        <f t="shared" si="7"/>
        <v>0</v>
      </c>
      <c r="H23" s="448">
        <f t="shared" si="8"/>
        <v>0</v>
      </c>
      <c r="I23" s="448">
        <f t="shared" si="9"/>
        <v>0</v>
      </c>
      <c r="J23" s="448">
        <f t="shared" si="10"/>
        <v>300.27886346141094</v>
      </c>
      <c r="K23" s="448">
        <f t="shared" si="11"/>
        <v>0</v>
      </c>
      <c r="L23" s="448">
        <f t="shared" ca="1" si="12"/>
        <v>0</v>
      </c>
      <c r="M23" s="448">
        <f t="shared" si="13"/>
        <v>0</v>
      </c>
      <c r="N23" s="448">
        <f t="shared" ca="1" si="14"/>
        <v>0</v>
      </c>
      <c r="O23" s="448">
        <f t="shared" si="15"/>
        <v>0</v>
      </c>
      <c r="P23" s="449">
        <f t="shared" si="16"/>
        <v>0</v>
      </c>
      <c r="Q23" s="447">
        <f t="shared" ref="Q23:Q32" ca="1" si="17">SUM(B23:P23)</f>
        <v>24775.666608360953</v>
      </c>
    </row>
    <row r="24" spans="1:17">
      <c r="A24" s="447" t="s">
        <v>187</v>
      </c>
      <c r="B24" s="448">
        <f t="shared" ca="1" si="2"/>
        <v>190.40849494394436</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190.40849494394436</v>
      </c>
    </row>
    <row r="25" spans="1:17">
      <c r="A25" s="447" t="s">
        <v>105</v>
      </c>
      <c r="B25" s="448">
        <f t="shared" ca="1" si="2"/>
        <v>107.10857814100164</v>
      </c>
      <c r="C25" s="448">
        <f t="shared" ca="1" si="3"/>
        <v>0</v>
      </c>
      <c r="D25" s="448">
        <f t="shared" si="4"/>
        <v>49.89184962726624</v>
      </c>
      <c r="E25" s="448">
        <f t="shared" si="5"/>
        <v>2.3106789821470874</v>
      </c>
      <c r="F25" s="448">
        <f t="shared" si="6"/>
        <v>462.56080034715416</v>
      </c>
      <c r="G25" s="448">
        <f t="shared" si="7"/>
        <v>0</v>
      </c>
      <c r="H25" s="448">
        <f t="shared" si="8"/>
        <v>0</v>
      </c>
      <c r="I25" s="448">
        <f t="shared" si="9"/>
        <v>0</v>
      </c>
      <c r="J25" s="448">
        <f t="shared" si="10"/>
        <v>19.90355323254051</v>
      </c>
      <c r="K25" s="448">
        <f t="shared" si="11"/>
        <v>0</v>
      </c>
      <c r="L25" s="448">
        <f t="shared" si="12"/>
        <v>0</v>
      </c>
      <c r="M25" s="448">
        <f t="shared" si="13"/>
        <v>0</v>
      </c>
      <c r="N25" s="448">
        <f t="shared" si="14"/>
        <v>0</v>
      </c>
      <c r="O25" s="448">
        <f t="shared" si="15"/>
        <v>0</v>
      </c>
      <c r="P25" s="449">
        <f t="shared" si="16"/>
        <v>0</v>
      </c>
      <c r="Q25" s="447">
        <f t="shared" ca="1" si="17"/>
        <v>641.77546033010969</v>
      </c>
    </row>
    <row r="26" spans="1:17">
      <c r="A26" s="447" t="s">
        <v>614</v>
      </c>
      <c r="B26" s="448">
        <f t="shared" ca="1" si="2"/>
        <v>2381.5717284963362</v>
      </c>
      <c r="C26" s="448">
        <f t="shared" ca="1" si="3"/>
        <v>0</v>
      </c>
      <c r="D26" s="448">
        <f t="shared" si="4"/>
        <v>2239.5176635346056</v>
      </c>
      <c r="E26" s="448">
        <f t="shared" si="5"/>
        <v>151.50702267631908</v>
      </c>
      <c r="F26" s="448">
        <f t="shared" si="6"/>
        <v>886.09841384635376</v>
      </c>
      <c r="G26" s="448">
        <f t="shared" si="7"/>
        <v>0</v>
      </c>
      <c r="H26" s="448">
        <f t="shared" si="8"/>
        <v>0</v>
      </c>
      <c r="I26" s="448">
        <f t="shared" si="9"/>
        <v>0</v>
      </c>
      <c r="J26" s="448">
        <f t="shared" si="10"/>
        <v>9.2192139005845064</v>
      </c>
      <c r="K26" s="448">
        <f t="shared" si="11"/>
        <v>0</v>
      </c>
      <c r="L26" s="448">
        <f t="shared" si="12"/>
        <v>0</v>
      </c>
      <c r="M26" s="448">
        <f t="shared" si="13"/>
        <v>0</v>
      </c>
      <c r="N26" s="448">
        <f t="shared" si="14"/>
        <v>0</v>
      </c>
      <c r="O26" s="448">
        <f t="shared" si="15"/>
        <v>0</v>
      </c>
      <c r="P26" s="449">
        <f t="shared" si="16"/>
        <v>0</v>
      </c>
      <c r="Q26" s="447">
        <f t="shared" ca="1" si="17"/>
        <v>5667.9140424541993</v>
      </c>
    </row>
    <row r="27" spans="1:17" s="453" customFormat="1">
      <c r="A27" s="451" t="s">
        <v>555</v>
      </c>
      <c r="B27" s="725">
        <f t="shared" ca="1" si="2"/>
        <v>2.1829007723171348</v>
      </c>
      <c r="C27" s="452">
        <f t="shared" ca="1" si="3"/>
        <v>0</v>
      </c>
      <c r="D27" s="452">
        <f t="shared" si="4"/>
        <v>1.9163239216393129</v>
      </c>
      <c r="E27" s="452">
        <f t="shared" si="5"/>
        <v>84.91625575360203</v>
      </c>
      <c r="F27" s="452">
        <f t="shared" si="6"/>
        <v>0</v>
      </c>
      <c r="G27" s="452">
        <f t="shared" si="7"/>
        <v>25406.087552522931</v>
      </c>
      <c r="H27" s="452">
        <f t="shared" si="8"/>
        <v>4406.5756782703211</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29901.678711240809</v>
      </c>
    </row>
    <row r="28" spans="1:17">
      <c r="A28" s="447" t="s">
        <v>545</v>
      </c>
      <c r="B28" s="448">
        <f t="shared" ca="1" si="2"/>
        <v>3.0704350702742418</v>
      </c>
      <c r="C28" s="448">
        <f t="shared" ca="1" si="3"/>
        <v>0</v>
      </c>
      <c r="D28" s="448">
        <f t="shared" si="4"/>
        <v>0</v>
      </c>
      <c r="E28" s="448">
        <f t="shared" si="5"/>
        <v>0</v>
      </c>
      <c r="F28" s="448">
        <f t="shared" si="6"/>
        <v>0</v>
      </c>
      <c r="G28" s="448">
        <f t="shared" si="7"/>
        <v>730.3257135535481</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733.39614862382234</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321.24406915492773</v>
      </c>
      <c r="C32" s="448">
        <f t="shared" ca="1" si="3"/>
        <v>0</v>
      </c>
      <c r="D32" s="448">
        <f t="shared" si="4"/>
        <v>1325.8980145129719</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1647.1420836678997</v>
      </c>
    </row>
    <row r="33" spans="1:17" s="460" customFormat="1">
      <c r="A33" s="457" t="s">
        <v>549</v>
      </c>
      <c r="B33" s="458">
        <f ca="1">SUM(B22:B32)</f>
        <v>20902.199619247924</v>
      </c>
      <c r="C33" s="458">
        <f t="shared" ref="C33:Q33" ca="1" si="18">SUM(C22:C32)</f>
        <v>993.02521008403369</v>
      </c>
      <c r="D33" s="458">
        <f t="shared" ca="1" si="18"/>
        <v>41664.427934775522</v>
      </c>
      <c r="E33" s="458">
        <f t="shared" si="18"/>
        <v>528.45932181046692</v>
      </c>
      <c r="F33" s="458">
        <f t="shared" ca="1" si="18"/>
        <v>11887.820484905991</v>
      </c>
      <c r="G33" s="458">
        <f t="shared" si="18"/>
        <v>26136.413266076481</v>
      </c>
      <c r="H33" s="458">
        <f t="shared" si="18"/>
        <v>4406.5756782703211</v>
      </c>
      <c r="I33" s="458">
        <f t="shared" si="18"/>
        <v>0</v>
      </c>
      <c r="J33" s="458">
        <f t="shared" si="18"/>
        <v>560.17462049315475</v>
      </c>
      <c r="K33" s="458">
        <f t="shared" si="18"/>
        <v>0</v>
      </c>
      <c r="L33" s="458">
        <f t="shared" ca="1" si="18"/>
        <v>0</v>
      </c>
      <c r="M33" s="458">
        <f t="shared" si="18"/>
        <v>0</v>
      </c>
      <c r="N33" s="458">
        <f t="shared" ca="1" si="18"/>
        <v>0</v>
      </c>
      <c r="O33" s="458">
        <f t="shared" si="18"/>
        <v>0</v>
      </c>
      <c r="P33" s="458">
        <f t="shared" si="18"/>
        <v>0</v>
      </c>
      <c r="Q33" s="458">
        <f t="shared" ca="1" si="18"/>
        <v>107079.0961356639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1305.8004365164472</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2925</v>
      </c>
      <c r="D8" s="982">
        <f>'SEAP template'!D76</f>
        <v>3441.1764705882351</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695.11764705882354</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1305.8004365164472</v>
      </c>
      <c r="C10" s="986">
        <f>SUM(C4:C9)</f>
        <v>2925</v>
      </c>
      <c r="D10" s="986">
        <f t="shared" ref="D10:H10" si="0">SUM(D8:D9)</f>
        <v>3441.1764705882351</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695.11764705882354</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0.21849241787558232</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4178.5714285714284</v>
      </c>
      <c r="D17" s="983">
        <f>'SEAP template'!D87</f>
        <v>4915.9663865546217</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993.02521008403369</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4178.5714285714284</v>
      </c>
      <c r="D20" s="986">
        <f t="shared" ref="D20:H20" si="2">SUM(D17:D19)</f>
        <v>4915.9663865546217</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993.02521008403369</v>
      </c>
    </row>
    <row r="22" spans="1:16">
      <c r="A22" s="461" t="s">
        <v>829</v>
      </c>
      <c r="B22" s="731" t="s">
        <v>823</v>
      </c>
      <c r="C22" s="731">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0.21849241787558232</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2022-07-26T11:49:54Z</dcterms:modified>
</cp:coreProperties>
</file>