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81CC1A64-4EF7-4C63-9D02-0ECD0A53974F}"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36" i="18"/>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Q36" i="18"/>
  <c r="R36" i="18"/>
  <c r="J9" i="18"/>
  <c r="U36" i="18"/>
  <c r="T36" i="18"/>
  <c r="I9"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L20" i="18"/>
  <c r="D20" i="18"/>
  <c r="G12" i="18"/>
  <c r="F12" i="18"/>
  <c r="E12" i="18"/>
  <c r="D12" i="18"/>
  <c r="C12" i="18"/>
  <c r="L10" i="18"/>
  <c r="K10" i="18"/>
  <c r="G10" i="18"/>
  <c r="D10" i="18"/>
  <c r="B6" i="18"/>
  <c r="B5" i="18"/>
  <c r="B4" i="18"/>
  <c r="B45" i="18"/>
  <c r="F49" i="18"/>
  <c r="F20" i="18"/>
  <c r="B17" i="18"/>
  <c r="C45" i="18"/>
  <c r="B48" i="18"/>
  <c r="C8" i="18"/>
  <c r="G20" i="18"/>
  <c r="K20" i="18"/>
  <c r="B10" i="18"/>
  <c r="O9" i="18"/>
  <c r="O19" i="18"/>
  <c r="O18" i="18"/>
  <c r="B20" i="18"/>
  <c r="I48" i="18"/>
  <c r="H8" i="18"/>
  <c r="H10" i="18"/>
  <c r="E48" i="18"/>
  <c r="E8" i="18"/>
  <c r="E10" i="18"/>
  <c r="D48" i="18"/>
  <c r="F48" i="18"/>
  <c r="N6" i="17"/>
  <c r="L6" i="17"/>
  <c r="F6" i="17"/>
  <c r="D6" i="17"/>
  <c r="C6" i="17"/>
  <c r="N16" i="16"/>
  <c r="L16" i="16"/>
  <c r="F16" i="16"/>
  <c r="D16" i="16"/>
  <c r="C16" i="16"/>
  <c r="B16" i="16"/>
  <c r="B13" i="15"/>
  <c r="H48" i="18"/>
  <c r="C48" i="18"/>
  <c r="J8" i="18"/>
  <c r="C49" i="18"/>
  <c r="H49" i="18"/>
  <c r="G49" i="18"/>
  <c r="I17" i="18"/>
  <c r="I49" i="18"/>
  <c r="H17" i="18"/>
  <c r="H20" i="18"/>
  <c r="D49" i="18"/>
  <c r="E49" i="18"/>
  <c r="E17" i="18"/>
  <c r="E20" i="18"/>
  <c r="B49" i="18"/>
  <c r="C17" i="18"/>
  <c r="C20" i="18"/>
  <c r="G48"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<sst xmlns="http://schemas.openxmlformats.org/spreadsheetml/2006/main" count="2497" uniqueCount="945">
  <si>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</si>
  <si>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</si>
  <si>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</si>
  <si>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</si>
  <si>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</si>
  <si>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</si>
  <si>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</si>
  <si>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</si>
  <si>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</si>
  <si>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</si>
  <si>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</si>
  <si>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</si>
  <si>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</si>
  <si>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</si>
  <si>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</si>
  <si>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</si>
  <si>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</si>
  <si>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</si>
  <si>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</si>
  <si>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</si>
  <si>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</si>
  <si>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</si>
  <si>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</si>
  <si>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</si>
  <si>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</si>
  <si>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</si>
  <si>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</si>
  <si>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</si>
  <si>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</si>
  <si>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</si>
  <si>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</si>
  <si>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</si>
  <si>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</si>
  <si>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</si>
  <si>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</si>
  <si>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</si>
  <si>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</si>
  <si>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</si>
  <si>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</si>
  <si>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</si>
  <si>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</si>
  <si>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</si>
  <si>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</si>
  <si>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</si>
  <si>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</si>
  <si>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</si>
  <si>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</si>
  <si>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</si>
  <si>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</si>
  <si>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</si>
  <si>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</si>
  <si>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</si>
  <si>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</si>
  <si>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</si>
  <si>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</si>
  <si>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</si>
  <si>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</si>
  <si>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</si>
  <si>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</si>
  <si>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</si>
  <si>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</si>
  <si>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</si>
  <si>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</si>
  <si>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</si>
  <si>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</si>
  <si>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</si>
  <si>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</si>
  <si>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</si>
  <si>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</si>
  <si>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</si>
  <si>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</si>
  <si>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</si>
  <si>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</si>
  <si>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</si>
  <si>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</si>
  <si>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</si>
  <si>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</si>
  <si>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</si>
  <si>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</si>
  <si>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</si>
  <si>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</si>
  <si>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</si>
  <si>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</si>
  <si>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</si>
  <si>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</si>
  <si>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</si>
  <si>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</si>
  <si>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</si>
  <si>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</si>
  <si>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</si>
  <si>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</si>
  <si>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</si>
  <si>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</si>
  <si>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</si>
  <si>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</si>
  <si>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</si>
  <si>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</si>
  <si>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</si>
  <si>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</si>
  <si>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</si>
  <si>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</si>
  <si>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</si>
  <si>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</si>
  <si>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</si>
  <si>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</si>
  <si>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</si>
  <si>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</si>
  <si>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</si>
  <si>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</si>
  <si>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</si>
  <si>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</si>
  <si>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</si>
  <si>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</si>
  <si>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</si>
  <si>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</si>
  <si>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</si>
  <si>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</si>
  <si>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</si>
  <si>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</si>
  <si>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</si>
  <si>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</si>
  <si>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</si>
  <si>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</si>
  <si>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</si>
  <si>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</si>
  <si>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</si>
  <si>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</si>
  <si>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</si>
  <si>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</si>
  <si>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</si>
  <si>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</si>
  <si>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</si>
  <si>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</si>
  <si>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</si>
  <si>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</si>
  <si>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</si>
  <si>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</si>
  <si>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</si>
  <si>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</si>
  <si>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</si>
  <si>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</si>
  <si>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</si>
  <si>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</si>
  <si>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</si>
  <si>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</si>
  <si>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</si>
  <si>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</si>
  <si>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</si>
  <si>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</si>
  <si>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</si>
  <si>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</si>
  <si>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</si>
  <si>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</si>
  <si>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</si>
  <si>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</si>
  <si>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</si>
  <si>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</si>
  <si>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</si>
  <si>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</si>
  <si>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</si>
  <si>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</si>
  <si>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</si>
  <si>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</si>
  <si>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</si>
  <si>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</si>
  <si>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</si>
  <si>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</si>
  <si>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</si>
  <si>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</si>
  <si>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</si>
  <si>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</si>
  <si>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</si>
  <si>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</si>
  <si>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</si>
  <si>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</si>
  <si>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</si>
  <si>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</si>
  <si>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</si>
  <si>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</si>
  <si>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</si>
  <si>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</si>
  <si>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</si>
  <si>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</si>
  <si>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</si>
  <si>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</si>
  <si>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</si>
  <si>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</si>
  <si>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</si>
  <si>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</si>
  <si>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</si>
  <si>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</si>
  <si>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</si>
  <si>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</si>
  <si>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</si>
  <si>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</si>
  <si>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</si>
  <si>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</si>
  <si>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</si>
  <si>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</si>
  <si>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</si>
  <si>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</si>
  <si>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</si>
  <si>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</si>
  <si>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</si>
  <si>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</si>
  <si>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</si>
  <si>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</si>
  <si>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</si>
  <si>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</si>
  <si>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</si>
  <si>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</si>
  <si>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</si>
  <si>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</si>
  <si>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</si>
  <si>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</si>
  <si>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</si>
  <si>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</si>
  <si>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</si>
  <si>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</si>
  <si>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</si>
  <si>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</si>
  <si>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</si>
  <si>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</si>
  <si>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</si>
  <si>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</si>
  <si>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</si>
  <si>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</si>
  <si>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</si>
  <si>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</si>
  <si>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</si>
  <si>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</si>
  <si>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</si>
  <si>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</si>
  <si>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</si>
  <si>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</si>
  <si>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</si>
  <si>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</si>
  <si>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</si>
  <si>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</si>
  <si>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</si>
  <si>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</si>
  <si>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</si>
  <si>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</si>
  <si>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</si>
  <si>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</si>
  <si>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</si>
  <si>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</si>
  <si>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</si>
  <si>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</si>
  <si>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</si>
  <si>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</si>
  <si>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</si>
  <si>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</si>
  <si>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</si>
  <si>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</si>
  <si>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</si>
  <si>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</si>
  <si>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</si>
  <si>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</si>
  <si>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</si>
  <si>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</si>
  <si>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</si>
  <si>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</si>
  <si>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</si>
  <si>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</si>
  <si>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</si>
  <si>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</si>
  <si>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</si>
  <si>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</si>
  <si>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</si>
  <si>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</si>
  <si>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</si>
  <si>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</si>
  <si>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</si>
  <si>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</si>
  <si>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</si>
  <si>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</si>
  <si>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</si>
  <si>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</si>
  <si>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</si>
  <si>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</si>
  <si>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</si>
  <si>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</si>
  <si>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</si>
  <si>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</si>
  <si>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</si>
  <si>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</si>
  <si>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</si>
  <si>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</si>
  <si>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</si>
  <si>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</si>
  <si>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</si>
  <si>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</si>
  <si>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</si>
  <si>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</si>
  <si>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</si>
  <si>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</si>
  <si>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</si>
  <si>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</si>
  <si>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</si>
  <si>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</si>
  <si>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</si>
  <si>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</si>
  <si>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</si>
  <si>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</si>
  <si>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</si>
  <si>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</si>
  <si>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</si>
  <si>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</si>
  <si>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</si>
  <si>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</si>
  <si>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</si>
  <si>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</si>
  <si>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</si>
  <si>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</si>
  <si>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</si>
  <si>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</si>
  <si>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</si>
  <si>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</si>
  <si>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</si>
  <si>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</si>
  <si>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</si>
  <si>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</si>
  <si>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</si>
  <si>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</si>
  <si>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</si>
  <si>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</si>
  <si>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</si>
  <si>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</si>
  <si>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</si>
  <si>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</si>
  <si>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</si>
  <si>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</si>
  <si>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</si>
  <si>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</si>
  <si>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</si>
  <si>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</si>
  <si>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</si>
  <si>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</si>
  <si>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</si>
  <si>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</si>
  <si>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</si>
  <si>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</si>
  <si>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</si>
  <si>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</si>
  <si>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</si>
  <si>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</si>
  <si>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</si>
  <si>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</si>
  <si>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</si>
  <si>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</si>
  <si>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</si>
  <si>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</si>
  <si>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</si>
  <si>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</si>
  <si>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</si>
  <si>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</si>
  <si>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</si>
  <si>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</si>
  <si>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</si>
  <si>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</si>
  <si>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</si>
  <si>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</si>
  <si>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</si>
  <si>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</si>
  <si>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</si>
  <si>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</si>
  <si>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</si>
  <si>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</si>
  <si>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</si>
  <si>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</si>
  <si>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</si>
  <si>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</si>
  <si>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</si>
  <si>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</si>
  <si>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</si>
  <si>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</si>
  <si>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</si>
  <si>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</si>
  <si>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</si>
  <si>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</si>
  <si>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</si>
  <si>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</si>
  <si>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</si>
  <si>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</si>
  <si>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</si>
  <si>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</si>
  <si>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</si>
  <si>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</si>
  <si>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</si>
  <si>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</si>
  <si>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</si>
  <si>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</si>
  <si>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</si>
  <si>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</si>
  <si>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</si>
  <si>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</si>
  <si>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</si>
  <si>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</si>
  <si>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</si>
  <si>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</si>
  <si>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</si>
  <si>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</si>
  <si>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</si>
  <si>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</si>
  <si>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</si>
  <si>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</si>
  <si>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</si>
  <si>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</si>
  <si>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</si>
  <si>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</si>
  <si>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</si>
  <si>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</si>
  <si>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</si>
  <si>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</si>
  <si>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</si>
  <si>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</si>
  <si>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</si>
  <si>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</si>
  <si>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</si>
  <si>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</si>
  <si>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</si>
  <si>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</si>
  <si>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</si>
  <si>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</si>
  <si>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</si>
  <si>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</si>
  <si>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</si>
  <si>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</si>
  <si>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</si>
  <si>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</si>
  <si>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</si>
  <si>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</si>
  <si>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</si>
  <si>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</si>
  <si>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</si>
  <si>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</si>
  <si>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</si>
  <si>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</si>
  <si>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</si>
  <si>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</si>
  <si>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</si>
  <si>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</si>
  <si>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</si>
  <si>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</si>
  <si>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</si>
  <si>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</si>
  <si>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</si>
  <si>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</si>
  <si>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</si>
  <si>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</si>
  <si>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</si>
  <si>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</si>
  <si>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</si>
  <si>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</si>
  <si>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</si>
  <si>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</si>
  <si>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</si>
  <si>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</si>
  <si>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</si>
  <si>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</si>
  <si>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</si>
  <si>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</si>
  <si>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</si>
  <si>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</si>
  <si>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</si>
  <si>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</si>
  <si>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</si>
  <si>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</si>
  <si>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</si>
  <si>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</si>
  <si>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</si>
  <si>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</si>
  <si>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</si>
  <si>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</si>
  <si>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</si>
  <si>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</si>
  <si>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</si>
  <si>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</si>
  <si>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</si>
  <si>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</si>
  <si>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</si>
  <si>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</si>
  <si>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</si>
  <si>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</si>
  <si>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</si>
  <si>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</si>
  <si>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</si>
  <si>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</si>
  <si>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</si>
  <si>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</si>
  <si>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</si>
  <si>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</si>
  <si>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</si>
  <si>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</si>
  <si>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</si>
  <si>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</si>
  <si>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</si>
  <si>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</si>
  <si>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</si>
  <si>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</si>
  <si>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</si>
  <si>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</si>
  <si>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</si>
  <si>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</si>
  <si>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</si>
  <si>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</si>
  <si>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</si>
  <si>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</si>
  <si>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</si>
  <si>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</si>
  <si>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</si>
  <si>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</si>
  <si>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</si>
  <si>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</si>
  <si>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</si>
  <si>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</si>
  <si>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</si>
  <si>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</si>
  <si>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</si>
  <si>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</si>
  <si>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</si>
  <si>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</si>
  <si>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</si>
  <si>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</si>
  <si>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</si>
  <si>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</si>
  <si>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</si>
  <si>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</si>
  <si>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</si>
  <si>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</si>
  <si>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</si>
  <si>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</si>
  <si>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</si>
  <si>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</si>
  <si>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</si>
  <si>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</si>
  <si>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</si>
  <si>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</si>
  <si>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</si>
  <si>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</si>
  <si>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</si>
  <si>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</si>
  <si>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</si>
  <si>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</si>
  <si>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</si>
  <si>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</si>
  <si>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</si>
  <si>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</si>
  <si>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</si>
  <si>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</si>
  <si>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</si>
  <si>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</si>
  <si>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</si>
  <si>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</si>
  <si>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</si>
  <si>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</si>
  <si>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</si>
  <si>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</si>
  <si>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</si>
  <si>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</si>
  <si>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</si>
  <si>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</si>
  <si>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</si>
  <si>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</si>
  <si>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</si>
  <si>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</si>
  <si>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</si>
  <si>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</si>
  <si>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</si>
  <si>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</si>
  <si>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</si>
  <si>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</si>
  <si>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</si>
  <si>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</si>
  <si>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</si>
  <si>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</si>
  <si>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</si>
  <si>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</si>
  <si>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</si>
  <si>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</si>
  <si>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</si>
  <si>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</si>
  <si>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</si>
  <si>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</si>
  <si>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</si>
  <si>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</si>
  <si>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</si>
  <si>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</si>
  <si>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</si>
  <si>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</si>
  <si>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</si>
  <si>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</si>
  <si>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</si>
  <si>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</si>
  <si>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</si>
  <si>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</si>
  <si>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</si>
  <si>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</si>
  <si>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</si>
  <si>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</si>
  <si>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</si>
  <si>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</si>
  <si>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</si>
  <si>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</si>
  <si>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</si>
  <si>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</si>
  <si>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</si>
  <si>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</si>
  <si>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</si>
  <si>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</si>
  <si>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</si>
  <si>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</si>
  <si>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</si>
  <si>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</si>
  <si>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</si>
  <si>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</si>
  <si>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</si>
  <si>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</si>
  <si>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</si>
  <si>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</si>
  <si>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</si>
  <si>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</si>
  <si>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</si>
  <si>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</si>
  <si>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</si>
  <si>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</si>
  <si>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</si>
  <si>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</si>
  <si>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</si>
  <si>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</si>
  <si>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</si>
  <si>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</si>
  <si>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</si>
  <si>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</si>
  <si>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</si>
  <si>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</si>
  <si>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</si>
  <si>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</si>
  <si>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</si>
  <si>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</si>
  <si>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</si>
  <si>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</si>
  <si>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</si>
  <si>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</si>
  <si>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</si>
  <si>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</si>
  <si>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</si>
  <si>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</si>
  <si>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</si>
  <si>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</si>
  <si>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</si>
  <si>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</si>
  <si>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</si>
  <si>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</si>
  <si>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</si>
  <si>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</si>
  <si>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</si>
  <si>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</si>
  <si>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</si>
  <si>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</si>
  <si>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</si>
  <si>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</si>
  <si>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</si>
  <si>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</si>
  <si>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</si>
  <si>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</si>
  <si>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</si>
  <si>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</si>
  <si>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</si>
  <si>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</si>
  <si>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</si>
  <si>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</si>
  <si>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</si>
  <si>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</si>
  <si>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</si>
  <si>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</si>
  <si>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</si>
  <si>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</si>
  <si>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</si>
  <si>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</si>
  <si>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</si>
  <si>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</si>
  <si>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</si>
  <si>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</si>
  <si>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</si>
  <si>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</si>
  <si>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</si>
  <si>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</si>
  <si>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</si>
  <si>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</si>
  <si>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</si>
  <si>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</si>
  <si>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</si>
  <si>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</si>
  <si>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</si>
  <si>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</si>
  <si>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</si>
  <si>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</si>
  <si>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</si>
  <si>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</si>
  <si>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</si>
  <si>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</si>
  <si>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</si>
  <si>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</si>
  <si>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</si>
  <si>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</si>
  <si>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</si>
  <si>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</si>
  <si>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</si>
  <si>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</si>
  <si>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</si>
  <si>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</si>
  <si>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</si>
  <si>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</si>
  <si>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</si>
  <si>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</si>
  <si>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</si>
  <si>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</si>
  <si>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</si>
  <si>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</si>
  <si>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</si>
  <si>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</si>
  <si>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</si>
  <si>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</si>
  <si>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</si>
  <si>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</si>
  <si>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</si>
  <si>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</si>
  <si>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</si>
  <si>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</si>
  <si>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</si>
  <si>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</si>
  <si>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</si>
  <si>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</si>
  <si>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</si>
  <si>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</si>
  <si>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</si>
  <si>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</si>
  <si>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</si>
  <si>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</si>
  <si>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</si>
  <si>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</si>
  <si>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</si>
  <si>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</si>
  <si>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</si>
  <si>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</si>
  <si>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</si>
  <si>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</si>
  <si>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</si>
  <si>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</si>
  <si>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</si>
  <si>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</si>
  <si>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</si>
  <si>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</si>
  <si>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</si>
  <si>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</si>
  <si>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</si>
  <si>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</si>
  <si>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</si>
  <si>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</si>
  <si>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</si>
  <si>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</si>
  <si>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</si>
  <si>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</si>
  <si>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</si>
  <si>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</si>
  <si>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</si>
  <si>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</si>
  <si>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</si>
  <si>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</si>
  <si>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</si>
  <si>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</si>
  <si>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</si>
  <si>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</si>
  <si>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</si>
  <si>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</si>
  <si>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</si>
  <si>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</si>
  <si>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</si>
  <si>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</si>
  <si>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</si>
  <si>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</si>
  <si>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</si>
  <si>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</si>
  <si>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</si>
  <si>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</si>
  <si>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</si>
  <si>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</si>
  <si>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</si>
  <si>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</si>
  <si>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</si>
  <si>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</si>
  <si>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</si>
  <si>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</si>
  <si>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</si>
  <si>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</si>
  <si>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</si>
  <si>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</si>
  <si>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</si>
  <si>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</si>
  <si>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</si>
  <si>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</si>
  <si>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</si>
  <si>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</si>
  <si>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</si>
  <si>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</si>
  <si>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</si>
  <si>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</si>
  <si>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</si>
  <si>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</si>
  <si>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</si>
  <si>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</si>
  <si>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</si>
  <si>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</si>
  <si>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</si>
  <si>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</si>
  <si>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</si>
  <si>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</si>
  <si>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</si>
  <si>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</si>
  <si>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</si>
  <si>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</si>
  <si>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</si>
  <si>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</si>
  <si>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</si>
  <si>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</si>
  <si>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</si>
  <si>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</si>
  <si>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</si>
  <si>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</si>
  <si>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</si>
  <si>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</si>
  <si>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</si>
  <si>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</si>
  <si>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</si>
  <si>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</si>
  <si>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</si>
  <si>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</si>
  <si>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</si>
  <si>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</si>
  <si>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</si>
  <si>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</si>
  <si>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</si>
  <si>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</si>
  <si>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</si>
  <si>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</si>
  <si>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</si>
  <si>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</si>
  <si>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</si>
  <si>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</si>
  <si>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</si>
  <si>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</si>
  <si>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</si>
  <si>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</si>
  <si>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</si>
  <si>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</si>
  <si>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</si>
  <si>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</si>
  <si>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</si>
  <si>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</si>
  <si>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</si>
  <si>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</si>
  <si>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</si>
  <si>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</si>
  <si>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</si>
  <si>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</si>
  <si>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</si>
  <si>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</si>
  <si>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</si>
  <si>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</si>
  <si>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</si>
  <si>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</si>
  <si>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</si>
  <si>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</si>
  <si>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</si>
  <si>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</si>
  <si>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</si>
  <si>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</si>
  <si>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</si>
  <si>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</si>
  <si>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</si>
  <si>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</si>
  <si>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</si>
  <si>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</si>
  <si>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</si>
  <si>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</si>
  <si>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</si>
  <si>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</si>
  <si>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</si>
  <si>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</si>
  <si>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</si>
  <si>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</si>
  <si>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</si>
  <si>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</si>
  <si>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</si>
  <si>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</si>
  <si>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</si>
  <si>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</si>
  <si>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</si>
  <si>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</si>
  <si>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</si>
  <si>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</si>
  <si>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</si>
  <si>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</si>
  <si>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</si>
  <si>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</si>
  <si>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</si>
  <si>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</si>
  <si>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</si>
  <si>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</si>
  <si>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</si>
  <si>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</si>
  <si>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</si>
  <si>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</si>
  <si>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</si>
  <si>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</si>
  <si>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</si>
  <si>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</si>
  <si>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</si>
  <si>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</si>
  <si>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</si>
  <si>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</si>
  <si>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</si>
  <si>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</si>
  <si>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</si>
  <si>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</si>
  <si>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</si>
  <si>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</si>
  <si>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</si>
  <si>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</si>
  <si>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</si>
  <si>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</si>
  <si>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</si>
  <si>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</si>
  <si>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</si>
  <si>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</si>
  <si>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72043</t>
  </si>
  <si>
    <t>PELT</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</si>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</sst>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7573EC0-5A40-4B16-ACC3-56DE3DCBD67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72043</v>
      </c>
      <c r="B6" s="384"/>
      <c r="C6" s="385"/>
    </row>
    <row r="7" spans="1:7" s="382" customFormat="1" ht="15.75" customHeight="1">
      <c r="A7" s="386" t="str">
        <f>txtMunicipality</f>
        <v>PELT</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45340.934000000001</v>
      </c>
      <c r="D10" s="639">
        <f ca="1">tertiair!C16</f>
        <v>0</v>
      </c>
      <c r="E10" s="639">
        <f ca="1">tertiair!D16</f>
        <v>41562.273016000006</v>
      </c>
      <c r="F10" s="639">
        <f>tertiair!E16</f>
        <v>307.59327584900467</v>
      </c>
      <c r="G10" s="639">
        <f ca="1">tertiair!F16</f>
        <v>9801.3578331586978</v>
      </c>
      <c r="H10" s="639">
        <f>tertiair!G16</f>
        <v>0</v>
      </c>
      <c r="I10" s="639">
        <f>tertiair!H16</f>
        <v>0</v>
      </c>
      <c r="J10" s="639">
        <f>tertiair!I16</f>
        <v>0</v>
      </c>
      <c r="K10" s="639">
        <f>tertiair!J16</f>
        <v>0</v>
      </c>
      <c r="L10" s="639">
        <f>tertiair!K16</f>
        <v>0</v>
      </c>
      <c r="M10" s="639">
        <f ca="1">tertiair!L16</f>
        <v>0</v>
      </c>
      <c r="N10" s="639">
        <f>tertiair!M16</f>
        <v>0</v>
      </c>
      <c r="O10" s="639">
        <f ca="1">tertiair!N16</f>
        <v>3280.075584291701</v>
      </c>
      <c r="P10" s="639">
        <f>tertiair!O16</f>
        <v>0</v>
      </c>
      <c r="Q10" s="640">
        <f>tertiair!P16</f>
        <v>0</v>
      </c>
      <c r="R10" s="642">
        <f ca="1">SUM(C10:Q10)</f>
        <v>100292.2337092994</v>
      </c>
      <c r="S10" s="68"/>
    </row>
    <row r="11" spans="1:19" s="443" customFormat="1">
      <c r="A11" s="753" t="s">
        <v>214</v>
      </c>
      <c r="B11" s="758"/>
      <c r="C11" s="639">
        <f>huishoudens!B8</f>
        <v>62553.14752031587</v>
      </c>
      <c r="D11" s="639">
        <f>huishoudens!C8</f>
        <v>0</v>
      </c>
      <c r="E11" s="639">
        <f>huishoudens!D8</f>
        <v>118465.32185400001</v>
      </c>
      <c r="F11" s="639">
        <f>huishoudens!E8</f>
        <v>2673.5535100111206</v>
      </c>
      <c r="G11" s="639">
        <f>huishoudens!F8</f>
        <v>81508.884403397577</v>
      </c>
      <c r="H11" s="639">
        <f>huishoudens!G8</f>
        <v>0</v>
      </c>
      <c r="I11" s="639">
        <f>huishoudens!H8</f>
        <v>0</v>
      </c>
      <c r="J11" s="639">
        <f>huishoudens!I8</f>
        <v>0</v>
      </c>
      <c r="K11" s="639">
        <f>huishoudens!J8</f>
        <v>1478.9503060684481</v>
      </c>
      <c r="L11" s="639">
        <f>huishoudens!K8</f>
        <v>0</v>
      </c>
      <c r="M11" s="639">
        <f>huishoudens!L8</f>
        <v>0</v>
      </c>
      <c r="N11" s="639">
        <f>huishoudens!M8</f>
        <v>0</v>
      </c>
      <c r="O11" s="639">
        <f>huishoudens!N8</f>
        <v>18027.580044242506</v>
      </c>
      <c r="P11" s="639">
        <f>huishoudens!O8</f>
        <v>298.59666666666669</v>
      </c>
      <c r="Q11" s="640">
        <f>huishoudens!P8</f>
        <v>514.79999999999995</v>
      </c>
      <c r="R11" s="642">
        <f>SUM(C11:Q11)</f>
        <v>285520.83430470218</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62288.539000000004</v>
      </c>
      <c r="D13" s="639">
        <f>industrie!C18</f>
        <v>0</v>
      </c>
      <c r="E13" s="639">
        <f>industrie!D18</f>
        <v>133540.95568000001</v>
      </c>
      <c r="F13" s="639">
        <f>industrie!E18</f>
        <v>563.2316162674307</v>
      </c>
      <c r="G13" s="639">
        <f>industrie!F18</f>
        <v>21288.953467728545</v>
      </c>
      <c r="H13" s="639">
        <f>industrie!G18</f>
        <v>0</v>
      </c>
      <c r="I13" s="639">
        <f>industrie!H18</f>
        <v>0</v>
      </c>
      <c r="J13" s="639">
        <f>industrie!I18</f>
        <v>0</v>
      </c>
      <c r="K13" s="639">
        <f>industrie!J18</f>
        <v>476.37849072530236</v>
      </c>
      <c r="L13" s="639">
        <f>industrie!K18</f>
        <v>0</v>
      </c>
      <c r="M13" s="639">
        <f>industrie!L18</f>
        <v>0</v>
      </c>
      <c r="N13" s="639">
        <f>industrie!M18</f>
        <v>0</v>
      </c>
      <c r="O13" s="639">
        <f>industrie!N18</f>
        <v>3478.8320236993177</v>
      </c>
      <c r="P13" s="639">
        <f>industrie!O18</f>
        <v>0</v>
      </c>
      <c r="Q13" s="640">
        <f>industrie!P18</f>
        <v>0</v>
      </c>
      <c r="R13" s="642">
        <f>SUM(C13:Q13)</f>
        <v>221636.89027842061</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170182.62052031589</v>
      </c>
      <c r="D16" s="672">
        <f t="shared" ref="D16:R16" ca="1" si="0">SUM(D9:D15)</f>
        <v>0</v>
      </c>
      <c r="E16" s="672">
        <f t="shared" ca="1" si="0"/>
        <v>293568.55055000004</v>
      </c>
      <c r="F16" s="672">
        <f t="shared" si="0"/>
        <v>3544.378402127556</v>
      </c>
      <c r="G16" s="672">
        <f t="shared" ca="1" si="0"/>
        <v>112599.19570428482</v>
      </c>
      <c r="H16" s="672">
        <f t="shared" si="0"/>
        <v>0</v>
      </c>
      <c r="I16" s="672">
        <f t="shared" si="0"/>
        <v>0</v>
      </c>
      <c r="J16" s="672">
        <f t="shared" si="0"/>
        <v>0</v>
      </c>
      <c r="K16" s="672">
        <f t="shared" si="0"/>
        <v>1955.3287967937504</v>
      </c>
      <c r="L16" s="672">
        <f t="shared" si="0"/>
        <v>0</v>
      </c>
      <c r="M16" s="672">
        <f t="shared" ca="1" si="0"/>
        <v>0</v>
      </c>
      <c r="N16" s="672">
        <f t="shared" si="0"/>
        <v>0</v>
      </c>
      <c r="O16" s="672">
        <f t="shared" ca="1" si="0"/>
        <v>24786.487652233525</v>
      </c>
      <c r="P16" s="672">
        <f t="shared" si="0"/>
        <v>298.59666666666669</v>
      </c>
      <c r="Q16" s="672">
        <f t="shared" si="0"/>
        <v>514.79999999999995</v>
      </c>
      <c r="R16" s="672">
        <f t="shared" ca="1" si="0"/>
        <v>607449.95829242223</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20.113632651711608</v>
      </c>
      <c r="D19" s="639">
        <f>transport!C54</f>
        <v>0</v>
      </c>
      <c r="E19" s="639">
        <f>transport!D54</f>
        <v>0</v>
      </c>
      <c r="F19" s="639">
        <f>transport!E54</f>
        <v>0</v>
      </c>
      <c r="G19" s="639">
        <f>transport!F54</f>
        <v>0</v>
      </c>
      <c r="H19" s="639">
        <f>transport!G54</f>
        <v>4011.7037988409743</v>
      </c>
      <c r="I19" s="639">
        <f>transport!H54</f>
        <v>0</v>
      </c>
      <c r="J19" s="639">
        <f>transport!I54</f>
        <v>0</v>
      </c>
      <c r="K19" s="639">
        <f>transport!J54</f>
        <v>0</v>
      </c>
      <c r="L19" s="639">
        <f>transport!K54</f>
        <v>0</v>
      </c>
      <c r="M19" s="639">
        <f>transport!L54</f>
        <v>0</v>
      </c>
      <c r="N19" s="639">
        <f>transport!M54</f>
        <v>177.31303527202084</v>
      </c>
      <c r="O19" s="639">
        <f>transport!N54</f>
        <v>0</v>
      </c>
      <c r="P19" s="639">
        <f>transport!O54</f>
        <v>0</v>
      </c>
      <c r="Q19" s="640">
        <f>transport!P54</f>
        <v>0</v>
      </c>
      <c r="R19" s="642">
        <f>SUM(C19:Q19)</f>
        <v>4209.1304667647064</v>
      </c>
      <c r="S19" s="68"/>
    </row>
    <row r="20" spans="1:19" s="443" customFormat="1">
      <c r="A20" s="753" t="s">
        <v>296</v>
      </c>
      <c r="B20" s="758"/>
      <c r="C20" s="639">
        <f>transport!B14</f>
        <v>6.8551487645049232</v>
      </c>
      <c r="D20" s="639">
        <f>transport!C14</f>
        <v>0</v>
      </c>
      <c r="E20" s="639">
        <f>transport!D14</f>
        <v>9.0415849609975432</v>
      </c>
      <c r="F20" s="639">
        <f>transport!E14</f>
        <v>572.87368930526259</v>
      </c>
      <c r="G20" s="639">
        <f>transport!F14</f>
        <v>0</v>
      </c>
      <c r="H20" s="639">
        <f>transport!G14</f>
        <v>125375.82997132212</v>
      </c>
      <c r="I20" s="639">
        <f>transport!H14</f>
        <v>22901.364120609662</v>
      </c>
      <c r="J20" s="639">
        <f>transport!I14</f>
        <v>0</v>
      </c>
      <c r="K20" s="639">
        <f>transport!J14</f>
        <v>0</v>
      </c>
      <c r="L20" s="639">
        <f>transport!K14</f>
        <v>0</v>
      </c>
      <c r="M20" s="639">
        <f>transport!L14</f>
        <v>0</v>
      </c>
      <c r="N20" s="639">
        <f>transport!M14</f>
        <v>6627.68846649836</v>
      </c>
      <c r="O20" s="639">
        <f>transport!N14</f>
        <v>0</v>
      </c>
      <c r="P20" s="639">
        <f>transport!O14</f>
        <v>0</v>
      </c>
      <c r="Q20" s="640">
        <f>transport!P14</f>
        <v>0</v>
      </c>
      <c r="R20" s="642">
        <f>SUM(C20:Q20)</f>
        <v>155493.65298146091</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26.96878141621653</v>
      </c>
      <c r="D22" s="756">
        <f t="shared" ref="D22:R22" si="1">SUM(D18:D21)</f>
        <v>0</v>
      </c>
      <c r="E22" s="756">
        <f t="shared" si="1"/>
        <v>9.0415849609975432</v>
      </c>
      <c r="F22" s="756">
        <f t="shared" si="1"/>
        <v>572.87368930526259</v>
      </c>
      <c r="G22" s="756">
        <f t="shared" si="1"/>
        <v>0</v>
      </c>
      <c r="H22" s="756">
        <f t="shared" si="1"/>
        <v>129387.53377016309</v>
      </c>
      <c r="I22" s="756">
        <f t="shared" si="1"/>
        <v>22901.364120609662</v>
      </c>
      <c r="J22" s="756">
        <f t="shared" si="1"/>
        <v>0</v>
      </c>
      <c r="K22" s="756">
        <f t="shared" si="1"/>
        <v>0</v>
      </c>
      <c r="L22" s="756">
        <f t="shared" si="1"/>
        <v>0</v>
      </c>
      <c r="M22" s="756">
        <f t="shared" si="1"/>
        <v>0</v>
      </c>
      <c r="N22" s="756">
        <f t="shared" si="1"/>
        <v>6805.0015017703809</v>
      </c>
      <c r="O22" s="756">
        <f t="shared" si="1"/>
        <v>0</v>
      </c>
      <c r="P22" s="756">
        <f t="shared" si="1"/>
        <v>0</v>
      </c>
      <c r="Q22" s="756">
        <f t="shared" si="1"/>
        <v>0</v>
      </c>
      <c r="R22" s="756">
        <f t="shared" si="1"/>
        <v>159702.78344822561</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2280.9540000000002</v>
      </c>
      <c r="D24" s="639">
        <f>+landbouw!C8</f>
        <v>5.1964285714285703</v>
      </c>
      <c r="E24" s="639">
        <f>+landbouw!D8</f>
        <v>1462.8203040000001</v>
      </c>
      <c r="F24" s="639">
        <f>+landbouw!E8</f>
        <v>22.524835902802369</v>
      </c>
      <c r="G24" s="639">
        <f>+landbouw!F8</f>
        <v>7609.8660797959174</v>
      </c>
      <c r="H24" s="639">
        <f>+landbouw!G8</f>
        <v>0</v>
      </c>
      <c r="I24" s="639">
        <f>+landbouw!H8</f>
        <v>0</v>
      </c>
      <c r="J24" s="639">
        <f>+landbouw!I8</f>
        <v>0</v>
      </c>
      <c r="K24" s="639">
        <f>+landbouw!J8</f>
        <v>227.56997733401775</v>
      </c>
      <c r="L24" s="639">
        <f>+landbouw!K8</f>
        <v>0</v>
      </c>
      <c r="M24" s="639">
        <f>+landbouw!L8</f>
        <v>0</v>
      </c>
      <c r="N24" s="639">
        <f>+landbouw!M8</f>
        <v>0</v>
      </c>
      <c r="O24" s="639">
        <f>+landbouw!N8</f>
        <v>0</v>
      </c>
      <c r="P24" s="639">
        <f>+landbouw!O8</f>
        <v>0</v>
      </c>
      <c r="Q24" s="640">
        <f>+landbouw!P8</f>
        <v>0</v>
      </c>
      <c r="R24" s="642">
        <f>SUM(C24:Q24)</f>
        <v>11608.931625604167</v>
      </c>
      <c r="S24" s="68"/>
    </row>
    <row r="25" spans="1:19" s="443" customFormat="1" ht="15" thickBot="1">
      <c r="A25" s="775" t="s">
        <v>847</v>
      </c>
      <c r="B25" s="941"/>
      <c r="C25" s="942">
        <f>IF(Onbekend_ele_kWh="---",0,Onbekend_ele_kWh)/1000+IF(REST_rest_ele_kWh="---",0,REST_rest_ele_kWh)/1000</f>
        <v>900.81700000000001</v>
      </c>
      <c r="D25" s="942"/>
      <c r="E25" s="942">
        <f>IF(onbekend_gas_kWh="---",0,onbekend_gas_kWh)/1000+IF(REST_rest_gas_kWh="---",0,REST_rest_gas_kWh)/1000</f>
        <v>4902.8869999999997</v>
      </c>
      <c r="F25" s="942"/>
      <c r="G25" s="942"/>
      <c r="H25" s="942"/>
      <c r="I25" s="942"/>
      <c r="J25" s="942"/>
      <c r="K25" s="942"/>
      <c r="L25" s="942"/>
      <c r="M25" s="942"/>
      <c r="N25" s="942"/>
      <c r="O25" s="942"/>
      <c r="P25" s="942"/>
      <c r="Q25" s="943"/>
      <c r="R25" s="642">
        <f>SUM(C25:Q25)</f>
        <v>5803.7039999999997</v>
      </c>
      <c r="S25" s="68"/>
    </row>
    <row r="26" spans="1:19" s="443" customFormat="1" ht="15.75" thickBot="1">
      <c r="A26" s="645" t="s">
        <v>848</v>
      </c>
      <c r="B26" s="761"/>
      <c r="C26" s="756">
        <f>SUM(C24:C25)</f>
        <v>3181.7710000000002</v>
      </c>
      <c r="D26" s="756">
        <f t="shared" ref="D26:R26" si="2">SUM(D24:D25)</f>
        <v>5.1964285714285703</v>
      </c>
      <c r="E26" s="756">
        <f t="shared" si="2"/>
        <v>6365.7073039999996</v>
      </c>
      <c r="F26" s="756">
        <f t="shared" si="2"/>
        <v>22.524835902802369</v>
      </c>
      <c r="G26" s="756">
        <f t="shared" si="2"/>
        <v>7609.8660797959174</v>
      </c>
      <c r="H26" s="756">
        <f t="shared" si="2"/>
        <v>0</v>
      </c>
      <c r="I26" s="756">
        <f t="shared" si="2"/>
        <v>0</v>
      </c>
      <c r="J26" s="756">
        <f t="shared" si="2"/>
        <v>0</v>
      </c>
      <c r="K26" s="756">
        <f t="shared" si="2"/>
        <v>227.56997733401775</v>
      </c>
      <c r="L26" s="756">
        <f t="shared" si="2"/>
        <v>0</v>
      </c>
      <c r="M26" s="756">
        <f t="shared" si="2"/>
        <v>0</v>
      </c>
      <c r="N26" s="756">
        <f t="shared" si="2"/>
        <v>0</v>
      </c>
      <c r="O26" s="756">
        <f t="shared" si="2"/>
        <v>0</v>
      </c>
      <c r="P26" s="756">
        <f t="shared" si="2"/>
        <v>0</v>
      </c>
      <c r="Q26" s="756">
        <f t="shared" si="2"/>
        <v>0</v>
      </c>
      <c r="R26" s="756">
        <f t="shared" si="2"/>
        <v>17412.635625604169</v>
      </c>
      <c r="S26" s="68"/>
    </row>
    <row r="27" spans="1:19" s="443" customFormat="1" ht="17.25" thickTop="1" thickBot="1">
      <c r="A27" s="646" t="s">
        <v>109</v>
      </c>
      <c r="B27" s="748"/>
      <c r="C27" s="647">
        <f ca="1">C22+C16+C26</f>
        <v>173391.36030173211</v>
      </c>
      <c r="D27" s="647">
        <f t="shared" ref="D27:R27" ca="1" si="3">D22+D16+D26</f>
        <v>5.1964285714285703</v>
      </c>
      <c r="E27" s="647">
        <f t="shared" ca="1" si="3"/>
        <v>299943.29943896102</v>
      </c>
      <c r="F27" s="647">
        <f t="shared" si="3"/>
        <v>4139.7769273356216</v>
      </c>
      <c r="G27" s="647">
        <f t="shared" ca="1" si="3"/>
        <v>120209.06178408074</v>
      </c>
      <c r="H27" s="647">
        <f t="shared" si="3"/>
        <v>129387.53377016309</v>
      </c>
      <c r="I27" s="647">
        <f t="shared" si="3"/>
        <v>22901.364120609662</v>
      </c>
      <c r="J27" s="647">
        <f t="shared" si="3"/>
        <v>0</v>
      </c>
      <c r="K27" s="647">
        <f t="shared" si="3"/>
        <v>2182.8987741277683</v>
      </c>
      <c r="L27" s="647">
        <f t="shared" si="3"/>
        <v>0</v>
      </c>
      <c r="M27" s="647">
        <f t="shared" ca="1" si="3"/>
        <v>0</v>
      </c>
      <c r="N27" s="647">
        <f t="shared" si="3"/>
        <v>6805.0015017703809</v>
      </c>
      <c r="O27" s="647">
        <f t="shared" ca="1" si="3"/>
        <v>24786.487652233525</v>
      </c>
      <c r="P27" s="647">
        <f t="shared" si="3"/>
        <v>298.59666666666669</v>
      </c>
      <c r="Q27" s="647">
        <f t="shared" si="3"/>
        <v>514.79999999999995</v>
      </c>
      <c r="R27" s="647">
        <f t="shared" ca="1" si="3"/>
        <v>784565.37736625201</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8811.6471511890886</v>
      </c>
      <c r="D40" s="639">
        <f ca="1">tertiair!C20</f>
        <v>0</v>
      </c>
      <c r="E40" s="639">
        <f ca="1">tertiair!D20</f>
        <v>8395.5791492320022</v>
      </c>
      <c r="F40" s="639">
        <f>tertiair!E20</f>
        <v>69.823673617724069</v>
      </c>
      <c r="G40" s="639">
        <f ca="1">tertiair!F20</f>
        <v>2616.9625414533725</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19894.012515492188</v>
      </c>
    </row>
    <row r="41" spans="1:18">
      <c r="A41" s="766" t="s">
        <v>214</v>
      </c>
      <c r="B41" s="773"/>
      <c r="C41" s="639">
        <f ca="1">huishoudens!B12</f>
        <v>12156.702906589926</v>
      </c>
      <c r="D41" s="639">
        <f ca="1">huishoudens!C12</f>
        <v>0</v>
      </c>
      <c r="E41" s="639">
        <f>huishoudens!D12</f>
        <v>23929.995014508004</v>
      </c>
      <c r="F41" s="639">
        <f>huishoudens!E12</f>
        <v>606.89664677252438</v>
      </c>
      <c r="G41" s="639">
        <f>huishoudens!F12</f>
        <v>21762.872135707155</v>
      </c>
      <c r="H41" s="639">
        <f>huishoudens!G12</f>
        <v>0</v>
      </c>
      <c r="I41" s="639">
        <f>huishoudens!H12</f>
        <v>0</v>
      </c>
      <c r="J41" s="639">
        <f>huishoudens!I12</f>
        <v>0</v>
      </c>
      <c r="K41" s="639">
        <f>huishoudens!J12</f>
        <v>523.54840834823062</v>
      </c>
      <c r="L41" s="639">
        <f>huishoudens!K12</f>
        <v>0</v>
      </c>
      <c r="M41" s="639">
        <f>huishoudens!L12</f>
        <v>0</v>
      </c>
      <c r="N41" s="639">
        <f>huishoudens!M12</f>
        <v>0</v>
      </c>
      <c r="O41" s="639">
        <f>huishoudens!N12</f>
        <v>0</v>
      </c>
      <c r="P41" s="639">
        <f>huishoudens!O12</f>
        <v>0</v>
      </c>
      <c r="Q41" s="714">
        <f>huishoudens!P12</f>
        <v>0</v>
      </c>
      <c r="R41" s="794">
        <f t="shared" ca="1" si="4"/>
        <v>58980.015111925844</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12105.278361294462</v>
      </c>
      <c r="D43" s="639">
        <f ca="1">industrie!C22</f>
        <v>0</v>
      </c>
      <c r="E43" s="639">
        <f>industrie!D22</f>
        <v>26975.273047360006</v>
      </c>
      <c r="F43" s="639">
        <f>industrie!E22</f>
        <v>127.85357689270677</v>
      </c>
      <c r="G43" s="639">
        <f>industrie!F22</f>
        <v>5684.1505758835219</v>
      </c>
      <c r="H43" s="639">
        <f>industrie!G22</f>
        <v>0</v>
      </c>
      <c r="I43" s="639">
        <f>industrie!H22</f>
        <v>0</v>
      </c>
      <c r="J43" s="639">
        <f>industrie!I22</f>
        <v>0</v>
      </c>
      <c r="K43" s="639">
        <f>industrie!J22</f>
        <v>168.63798571675702</v>
      </c>
      <c r="L43" s="639">
        <f>industrie!K22</f>
        <v>0</v>
      </c>
      <c r="M43" s="639">
        <f>industrie!L22</f>
        <v>0</v>
      </c>
      <c r="N43" s="639">
        <f>industrie!M22</f>
        <v>0</v>
      </c>
      <c r="O43" s="639">
        <f>industrie!N22</f>
        <v>0</v>
      </c>
      <c r="P43" s="639">
        <f>industrie!O22</f>
        <v>0</v>
      </c>
      <c r="Q43" s="714">
        <f>industrie!P22</f>
        <v>0</v>
      </c>
      <c r="R43" s="793">
        <f t="shared" ca="1" si="4"/>
        <v>45061.193547147457</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33073.628419073473</v>
      </c>
      <c r="D46" s="672">
        <f t="shared" ref="D46:Q46" ca="1" si="5">SUM(D39:D45)</f>
        <v>0</v>
      </c>
      <c r="E46" s="672">
        <f t="shared" ca="1" si="5"/>
        <v>59300.847211100016</v>
      </c>
      <c r="F46" s="672">
        <f t="shared" si="5"/>
        <v>804.57389728295516</v>
      </c>
      <c r="G46" s="672">
        <f t="shared" ca="1" si="5"/>
        <v>30063.985253044051</v>
      </c>
      <c r="H46" s="672">
        <f t="shared" si="5"/>
        <v>0</v>
      </c>
      <c r="I46" s="672">
        <f t="shared" si="5"/>
        <v>0</v>
      </c>
      <c r="J46" s="672">
        <f t="shared" si="5"/>
        <v>0</v>
      </c>
      <c r="K46" s="672">
        <f t="shared" si="5"/>
        <v>692.18639406498767</v>
      </c>
      <c r="L46" s="672">
        <f t="shared" si="5"/>
        <v>0</v>
      </c>
      <c r="M46" s="672">
        <f t="shared" ca="1" si="5"/>
        <v>0</v>
      </c>
      <c r="N46" s="672">
        <f t="shared" si="5"/>
        <v>0</v>
      </c>
      <c r="O46" s="672">
        <f t="shared" ca="1" si="5"/>
        <v>0</v>
      </c>
      <c r="P46" s="672">
        <f t="shared" si="5"/>
        <v>0</v>
      </c>
      <c r="Q46" s="672">
        <f t="shared" si="5"/>
        <v>0</v>
      </c>
      <c r="R46" s="672">
        <f ca="1">SUM(R39:R45)</f>
        <v>123935.22117456549</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3.9089233110089525</v>
      </c>
      <c r="D49" s="639">
        <f ca="1">transport!C58</f>
        <v>0</v>
      </c>
      <c r="E49" s="639">
        <f>transport!D58</f>
        <v>0</v>
      </c>
      <c r="F49" s="639">
        <f>transport!E58</f>
        <v>0</v>
      </c>
      <c r="G49" s="639">
        <f>transport!F58</f>
        <v>0</v>
      </c>
      <c r="H49" s="639">
        <f>transport!G58</f>
        <v>1071.1249142905401</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1075.0338376015491</v>
      </c>
    </row>
    <row r="50" spans="1:18">
      <c r="A50" s="769" t="s">
        <v>296</v>
      </c>
      <c r="B50" s="779"/>
      <c r="C50" s="948">
        <f ca="1">transport!B18</f>
        <v>1.3322432237881821</v>
      </c>
      <c r="D50" s="948">
        <f>transport!C18</f>
        <v>0</v>
      </c>
      <c r="E50" s="948">
        <f>transport!D18</f>
        <v>1.8264001621215038</v>
      </c>
      <c r="F50" s="948">
        <f>transport!E18</f>
        <v>130.0423274722946</v>
      </c>
      <c r="G50" s="948">
        <f>transport!F18</f>
        <v>0</v>
      </c>
      <c r="H50" s="948">
        <f>transport!G18</f>
        <v>33475.346602343008</v>
      </c>
      <c r="I50" s="948">
        <f>transport!H18</f>
        <v>5702.4396660318062</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39310.987239233022</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5.2411665347971343</v>
      </c>
      <c r="D52" s="672">
        <f t="shared" ref="D52:Q52" ca="1" si="6">SUM(D48:D51)</f>
        <v>0</v>
      </c>
      <c r="E52" s="672">
        <f t="shared" si="6"/>
        <v>1.8264001621215038</v>
      </c>
      <c r="F52" s="672">
        <f t="shared" si="6"/>
        <v>130.0423274722946</v>
      </c>
      <c r="G52" s="672">
        <f t="shared" si="6"/>
        <v>0</v>
      </c>
      <c r="H52" s="672">
        <f t="shared" si="6"/>
        <v>34546.471516633552</v>
      </c>
      <c r="I52" s="672">
        <f t="shared" si="6"/>
        <v>5702.4396660318062</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40386.021076834571</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443.28512985844873</v>
      </c>
      <c r="D54" s="948">
        <f ca="1">+landbouw!C12</f>
        <v>0</v>
      </c>
      <c r="E54" s="948">
        <f>+landbouw!D12</f>
        <v>295.48970140800003</v>
      </c>
      <c r="F54" s="948">
        <f>+landbouw!E12</f>
        <v>5.1131377499361381</v>
      </c>
      <c r="G54" s="948">
        <f>+landbouw!F12</f>
        <v>2031.83424330551</v>
      </c>
      <c r="H54" s="948">
        <f>+landbouw!G12</f>
        <v>0</v>
      </c>
      <c r="I54" s="948">
        <f>+landbouw!H12</f>
        <v>0</v>
      </c>
      <c r="J54" s="948">
        <f>+landbouw!I12</f>
        <v>0</v>
      </c>
      <c r="K54" s="948">
        <f>+landbouw!J12</f>
        <v>80.559771976242274</v>
      </c>
      <c r="L54" s="948">
        <f>+landbouw!K12</f>
        <v>0</v>
      </c>
      <c r="M54" s="948">
        <f>+landbouw!L12</f>
        <v>0</v>
      </c>
      <c r="N54" s="948">
        <f>+landbouw!M12</f>
        <v>0</v>
      </c>
      <c r="O54" s="948">
        <f>+landbouw!N12</f>
        <v>0</v>
      </c>
      <c r="P54" s="948">
        <f>+landbouw!O12</f>
        <v>0</v>
      </c>
      <c r="Q54" s="949">
        <f>+landbouw!P12</f>
        <v>0</v>
      </c>
      <c r="R54" s="671">
        <f ca="1">SUM(C54:Q54)</f>
        <v>2856.2819842981371</v>
      </c>
    </row>
    <row r="55" spans="1:18" ht="15" thickBot="1">
      <c r="A55" s="769" t="s">
        <v>847</v>
      </c>
      <c r="B55" s="779"/>
      <c r="C55" s="948">
        <f ca="1">C25*'EF ele_warmte'!B12</f>
        <v>175.06656461449822</v>
      </c>
      <c r="D55" s="948"/>
      <c r="E55" s="948">
        <f>E25*EF_CO2_aardgas</f>
        <v>990.38317400000005</v>
      </c>
      <c r="F55" s="948"/>
      <c r="G55" s="948"/>
      <c r="H55" s="948"/>
      <c r="I55" s="948"/>
      <c r="J55" s="948"/>
      <c r="K55" s="948"/>
      <c r="L55" s="948"/>
      <c r="M55" s="948"/>
      <c r="N55" s="948"/>
      <c r="O55" s="948"/>
      <c r="P55" s="948"/>
      <c r="Q55" s="949"/>
      <c r="R55" s="671">
        <f ca="1">SUM(C55:Q55)</f>
        <v>1165.4497386144983</v>
      </c>
    </row>
    <row r="56" spans="1:18" ht="15.75" thickBot="1">
      <c r="A56" s="767" t="s">
        <v>848</v>
      </c>
      <c r="B56" s="780"/>
      <c r="C56" s="672">
        <f ca="1">SUM(C54:C55)</f>
        <v>618.35169447294697</v>
      </c>
      <c r="D56" s="672">
        <f t="shared" ref="D56:Q56" ca="1" si="7">SUM(D54:D55)</f>
        <v>0</v>
      </c>
      <c r="E56" s="672">
        <f t="shared" si="7"/>
        <v>1285.872875408</v>
      </c>
      <c r="F56" s="672">
        <f t="shared" si="7"/>
        <v>5.1131377499361381</v>
      </c>
      <c r="G56" s="672">
        <f t="shared" si="7"/>
        <v>2031.83424330551</v>
      </c>
      <c r="H56" s="672">
        <f t="shared" si="7"/>
        <v>0</v>
      </c>
      <c r="I56" s="672">
        <f t="shared" si="7"/>
        <v>0</v>
      </c>
      <c r="J56" s="672">
        <f t="shared" si="7"/>
        <v>0</v>
      </c>
      <c r="K56" s="672">
        <f t="shared" si="7"/>
        <v>80.559771976242274</v>
      </c>
      <c r="L56" s="672">
        <f t="shared" si="7"/>
        <v>0</v>
      </c>
      <c r="M56" s="672">
        <f t="shared" si="7"/>
        <v>0</v>
      </c>
      <c r="N56" s="672">
        <f t="shared" si="7"/>
        <v>0</v>
      </c>
      <c r="O56" s="672">
        <f t="shared" si="7"/>
        <v>0</v>
      </c>
      <c r="P56" s="672">
        <f t="shared" si="7"/>
        <v>0</v>
      </c>
      <c r="Q56" s="673">
        <f t="shared" si="7"/>
        <v>0</v>
      </c>
      <c r="R56" s="674">
        <f ca="1">SUM(R54:R55)</f>
        <v>4021.7317229126356</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33697.221280081219</v>
      </c>
      <c r="D61" s="680">
        <f t="shared" ref="D61:Q61" ca="1" si="8">D46+D52+D56</f>
        <v>0</v>
      </c>
      <c r="E61" s="680">
        <f t="shared" ca="1" si="8"/>
        <v>60588.546486670137</v>
      </c>
      <c r="F61" s="680">
        <f t="shared" si="8"/>
        <v>939.72936250518592</v>
      </c>
      <c r="G61" s="680">
        <f t="shared" ca="1" si="8"/>
        <v>32095.819496349563</v>
      </c>
      <c r="H61" s="680">
        <f t="shared" si="8"/>
        <v>34546.471516633552</v>
      </c>
      <c r="I61" s="680">
        <f t="shared" si="8"/>
        <v>5702.4396660318062</v>
      </c>
      <c r="J61" s="680">
        <f t="shared" si="8"/>
        <v>0</v>
      </c>
      <c r="K61" s="680">
        <f t="shared" si="8"/>
        <v>772.74616604122991</v>
      </c>
      <c r="L61" s="680">
        <f t="shared" si="8"/>
        <v>0</v>
      </c>
      <c r="M61" s="680">
        <f t="shared" ca="1" si="8"/>
        <v>0</v>
      </c>
      <c r="N61" s="680">
        <f t="shared" si="8"/>
        <v>0</v>
      </c>
      <c r="O61" s="680">
        <f t="shared" ca="1" si="8"/>
        <v>0</v>
      </c>
      <c r="P61" s="680">
        <f t="shared" si="8"/>
        <v>0</v>
      </c>
      <c r="Q61" s="680">
        <f t="shared" si="8"/>
        <v>0</v>
      </c>
      <c r="R61" s="680">
        <f ca="1">R46+R52+R56</f>
        <v>168342.97397431271</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0.19434198579122974</v>
      </c>
      <c r="D63" s="724">
        <f t="shared" ca="1" si="9"/>
        <v>0</v>
      </c>
      <c r="E63" s="950">
        <f t="shared" ca="1" si="9"/>
        <v>0.20200000000000004</v>
      </c>
      <c r="F63" s="724">
        <f t="shared" si="9"/>
        <v>0.22699999999999995</v>
      </c>
      <c r="G63" s="724">
        <f t="shared" ca="1" si="9"/>
        <v>0.26700000000000007</v>
      </c>
      <c r="H63" s="724">
        <f t="shared" si="9"/>
        <v>0.26700000000000007</v>
      </c>
      <c r="I63" s="724">
        <f t="shared" si="9"/>
        <v>0.24900000000000003</v>
      </c>
      <c r="J63" s="724">
        <f t="shared" si="9"/>
        <v>0</v>
      </c>
      <c r="K63" s="724">
        <f t="shared" si="9"/>
        <v>0.35399999999999998</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0</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20911.608412224305</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3.6374999999999993</v>
      </c>
      <c r="C76" s="690">
        <f>'lokale energieproductie'!B8*IFERROR(SUM(D76:H76)/SUM(D76:O76),0)</f>
        <v>0</v>
      </c>
      <c r="D76" s="960">
        <f>'lokale energieproductie'!C8</f>
        <v>0</v>
      </c>
      <c r="E76" s="961">
        <f>'lokale energieproductie'!D8</f>
        <v>0</v>
      </c>
      <c r="F76" s="961">
        <f>'lokale energieproductie'!E8</f>
        <v>0</v>
      </c>
      <c r="G76" s="961">
        <f>'lokale energieproductie'!F8</f>
        <v>0</v>
      </c>
      <c r="H76" s="961">
        <f>'lokale energieproductie'!G8</f>
        <v>0</v>
      </c>
      <c r="I76" s="961">
        <f>'lokale energieproductie'!I8</f>
        <v>0</v>
      </c>
      <c r="J76" s="961">
        <f>'lokale energieproductie'!J8</f>
        <v>4.2794117647058822</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0</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20915.245912224305</v>
      </c>
      <c r="C78" s="695">
        <f>SUM(C72:C77)</f>
        <v>0</v>
      </c>
      <c r="D78" s="696">
        <f t="shared" ref="D78:H78" si="10">SUM(D76:D77)</f>
        <v>0</v>
      </c>
      <c r="E78" s="696">
        <f t="shared" si="10"/>
        <v>0</v>
      </c>
      <c r="F78" s="696">
        <f t="shared" si="10"/>
        <v>0</v>
      </c>
      <c r="G78" s="696">
        <f t="shared" si="10"/>
        <v>0</v>
      </c>
      <c r="H78" s="696">
        <f t="shared" si="10"/>
        <v>0</v>
      </c>
      <c r="I78" s="696">
        <f>SUM(I76:I77)</f>
        <v>0</v>
      </c>
      <c r="J78" s="696">
        <f>SUM(J76:J77)</f>
        <v>4.2794117647058822</v>
      </c>
      <c r="K78" s="696">
        <f t="shared" ref="K78:L78" si="11">SUM(K76:K77)</f>
        <v>0</v>
      </c>
      <c r="L78" s="696">
        <f t="shared" si="11"/>
        <v>0</v>
      </c>
      <c r="M78" s="696">
        <f>SUM(M76:M77)</f>
        <v>0</v>
      </c>
      <c r="N78" s="696">
        <f>SUM(N76:N77)</f>
        <v>0</v>
      </c>
      <c r="O78" s="804">
        <f>SUM(O76:O77)</f>
        <v>0</v>
      </c>
      <c r="P78" s="697">
        <v>0</v>
      </c>
      <c r="Q78" s="697">
        <f>SUM(Q76:Q77)</f>
        <v>0</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5.1964285714285703</v>
      </c>
      <c r="C87" s="706">
        <f>'lokale energieproductie'!B17*IFERROR(SUM(D87:H87)/SUM(D87:O87),0)</f>
        <v>0</v>
      </c>
      <c r="D87" s="717">
        <f>'lokale energieproductie'!C17</f>
        <v>0</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6.1134453781512601</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0</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5.1964285714285703</v>
      </c>
      <c r="C90" s="695">
        <f>SUM(C87:C89)</f>
        <v>0</v>
      </c>
      <c r="D90" s="695">
        <f t="shared" ref="D90:H90" si="12">SUM(D87:D89)</f>
        <v>0</v>
      </c>
      <c r="E90" s="695">
        <f t="shared" si="12"/>
        <v>0</v>
      </c>
      <c r="F90" s="695">
        <f t="shared" si="12"/>
        <v>0</v>
      </c>
      <c r="G90" s="695">
        <f t="shared" si="12"/>
        <v>0</v>
      </c>
      <c r="H90" s="695">
        <f t="shared" si="12"/>
        <v>0</v>
      </c>
      <c r="I90" s="695">
        <f>SUM(I87:I89)</f>
        <v>0</v>
      </c>
      <c r="J90" s="695">
        <f>SUM(J87:J89)</f>
        <v>6.1134453781512601</v>
      </c>
      <c r="K90" s="695">
        <f t="shared" ref="K90:L90" si="13">SUM(K87:K89)</f>
        <v>0</v>
      </c>
      <c r="L90" s="695">
        <f t="shared" si="13"/>
        <v>0</v>
      </c>
      <c r="M90" s="695">
        <f>SUM(M87:M89)</f>
        <v>0</v>
      </c>
      <c r="N90" s="695">
        <f>SUM(N87:N89)</f>
        <v>0</v>
      </c>
      <c r="O90" s="695">
        <f>SUM(O87:O89)</f>
        <v>0</v>
      </c>
      <c r="P90" s="695">
        <v>0</v>
      </c>
      <c r="Q90" s="695">
        <f>SUM(Q87:Q89)</f>
        <v>0</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62553.14752031587</v>
      </c>
      <c r="C4" s="447">
        <f>huishoudens!C8</f>
        <v>0</v>
      </c>
      <c r="D4" s="447">
        <f>huishoudens!D8</f>
        <v>118465.32185400001</v>
      </c>
      <c r="E4" s="447">
        <f>huishoudens!E8</f>
        <v>2673.5535100111206</v>
      </c>
      <c r="F4" s="447">
        <f>huishoudens!F8</f>
        <v>81508.884403397577</v>
      </c>
      <c r="G4" s="447">
        <f>huishoudens!G8</f>
        <v>0</v>
      </c>
      <c r="H4" s="447">
        <f>huishoudens!H8</f>
        <v>0</v>
      </c>
      <c r="I4" s="447">
        <f>huishoudens!I8</f>
        <v>0</v>
      </c>
      <c r="J4" s="447">
        <f>huishoudens!J8</f>
        <v>1478.9503060684481</v>
      </c>
      <c r="K4" s="447">
        <f>huishoudens!K8</f>
        <v>0</v>
      </c>
      <c r="L4" s="447">
        <f>huishoudens!L8</f>
        <v>0</v>
      </c>
      <c r="M4" s="447">
        <f>huishoudens!M8</f>
        <v>0</v>
      </c>
      <c r="N4" s="447">
        <f>huishoudens!N8</f>
        <v>18027.580044242506</v>
      </c>
      <c r="O4" s="447">
        <f>huishoudens!O8</f>
        <v>298.59666666666669</v>
      </c>
      <c r="P4" s="448">
        <f>huishoudens!P8</f>
        <v>514.79999999999995</v>
      </c>
      <c r="Q4" s="449">
        <f>SUM(B4:P4)</f>
        <v>285520.83430470218</v>
      </c>
    </row>
    <row r="5" spans="1:17">
      <c r="A5" s="446" t="s">
        <v>149</v>
      </c>
      <c r="B5" s="447">
        <f ca="1">tertiair!B16</f>
        <v>43223.773000000001</v>
      </c>
      <c r="C5" s="447">
        <f ca="1">tertiair!C16</f>
        <v>0</v>
      </c>
      <c r="D5" s="447">
        <f ca="1">tertiair!D16</f>
        <v>41562.273016000006</v>
      </c>
      <c r="E5" s="447">
        <f>tertiair!E16</f>
        <v>307.59327584900467</v>
      </c>
      <c r="F5" s="447">
        <f ca="1">tertiair!F16</f>
        <v>9801.3578331586978</v>
      </c>
      <c r="G5" s="447">
        <f>tertiair!G16</f>
        <v>0</v>
      </c>
      <c r="H5" s="447">
        <f>tertiair!H16</f>
        <v>0</v>
      </c>
      <c r="I5" s="447">
        <f>tertiair!I16</f>
        <v>0</v>
      </c>
      <c r="J5" s="447">
        <f>tertiair!J16</f>
        <v>0</v>
      </c>
      <c r="K5" s="447">
        <f>tertiair!K16</f>
        <v>0</v>
      </c>
      <c r="L5" s="447">
        <f ca="1">tertiair!L16</f>
        <v>0</v>
      </c>
      <c r="M5" s="447">
        <f>tertiair!M16</f>
        <v>0</v>
      </c>
      <c r="N5" s="447">
        <f ca="1">tertiair!N16</f>
        <v>3280.075584291701</v>
      </c>
      <c r="O5" s="447">
        <f>tertiair!O16</f>
        <v>0</v>
      </c>
      <c r="P5" s="448">
        <f>tertiair!P16</f>
        <v>0</v>
      </c>
      <c r="Q5" s="446">
        <f t="shared" ref="Q5:Q14" ca="1" si="0">SUM(B5:P5)</f>
        <v>98175.072709299406</v>
      </c>
    </row>
    <row r="6" spans="1:17">
      <c r="A6" s="446" t="s">
        <v>187</v>
      </c>
      <c r="B6" s="447">
        <f>'openbare verlichting'!B8</f>
        <v>2117.1610000000001</v>
      </c>
      <c r="C6" s="447"/>
      <c r="D6" s="447"/>
      <c r="E6" s="447"/>
      <c r="F6" s="447"/>
      <c r="G6" s="447"/>
      <c r="H6" s="447"/>
      <c r="I6" s="447"/>
      <c r="J6" s="447"/>
      <c r="K6" s="447"/>
      <c r="L6" s="447"/>
      <c r="M6" s="447"/>
      <c r="N6" s="447"/>
      <c r="O6" s="447"/>
      <c r="P6" s="448"/>
      <c r="Q6" s="446">
        <f t="shared" si="0"/>
        <v>2117.1610000000001</v>
      </c>
    </row>
    <row r="7" spans="1:17">
      <c r="A7" s="446" t="s">
        <v>105</v>
      </c>
      <c r="B7" s="447">
        <f>landbouw!B8</f>
        <v>2280.9540000000002</v>
      </c>
      <c r="C7" s="447">
        <f>landbouw!C8</f>
        <v>5.1964285714285703</v>
      </c>
      <c r="D7" s="447">
        <f>landbouw!D8</f>
        <v>1462.8203040000001</v>
      </c>
      <c r="E7" s="447">
        <f>landbouw!E8</f>
        <v>22.524835902802369</v>
      </c>
      <c r="F7" s="447">
        <f>landbouw!F8</f>
        <v>7609.8660797959174</v>
      </c>
      <c r="G7" s="447">
        <f>landbouw!G8</f>
        <v>0</v>
      </c>
      <c r="H7" s="447">
        <f>landbouw!H8</f>
        <v>0</v>
      </c>
      <c r="I7" s="447">
        <f>landbouw!I8</f>
        <v>0</v>
      </c>
      <c r="J7" s="447">
        <f>landbouw!J8</f>
        <v>227.56997733401775</v>
      </c>
      <c r="K7" s="447">
        <f>landbouw!K8</f>
        <v>0</v>
      </c>
      <c r="L7" s="447">
        <f>landbouw!L8</f>
        <v>0</v>
      </c>
      <c r="M7" s="447">
        <f>landbouw!M8</f>
        <v>0</v>
      </c>
      <c r="N7" s="447">
        <f>landbouw!N8</f>
        <v>0</v>
      </c>
      <c r="O7" s="447">
        <f>landbouw!O8</f>
        <v>0</v>
      </c>
      <c r="P7" s="448">
        <f>landbouw!P8</f>
        <v>0</v>
      </c>
      <c r="Q7" s="446">
        <f t="shared" si="0"/>
        <v>11608.931625604167</v>
      </c>
    </row>
    <row r="8" spans="1:17">
      <c r="A8" s="446" t="s">
        <v>640</v>
      </c>
      <c r="B8" s="447">
        <f>industrie!B18</f>
        <v>62288.539000000004</v>
      </c>
      <c r="C8" s="447">
        <f>industrie!C18</f>
        <v>0</v>
      </c>
      <c r="D8" s="447">
        <f>industrie!D18</f>
        <v>133540.95568000001</v>
      </c>
      <c r="E8" s="447">
        <f>industrie!E18</f>
        <v>563.2316162674307</v>
      </c>
      <c r="F8" s="447">
        <f>industrie!F18</f>
        <v>21288.953467728545</v>
      </c>
      <c r="G8" s="447">
        <f>industrie!G18</f>
        <v>0</v>
      </c>
      <c r="H8" s="447">
        <f>industrie!H18</f>
        <v>0</v>
      </c>
      <c r="I8" s="447">
        <f>industrie!I18</f>
        <v>0</v>
      </c>
      <c r="J8" s="447">
        <f>industrie!J18</f>
        <v>476.37849072530236</v>
      </c>
      <c r="K8" s="447">
        <f>industrie!K18</f>
        <v>0</v>
      </c>
      <c r="L8" s="447">
        <f>industrie!L18</f>
        <v>0</v>
      </c>
      <c r="M8" s="447">
        <f>industrie!M18</f>
        <v>0</v>
      </c>
      <c r="N8" s="447">
        <f>industrie!N18</f>
        <v>3478.8320236993177</v>
      </c>
      <c r="O8" s="447">
        <f>industrie!O18</f>
        <v>0</v>
      </c>
      <c r="P8" s="448">
        <f>industrie!P18</f>
        <v>0</v>
      </c>
      <c r="Q8" s="446">
        <f t="shared" si="0"/>
        <v>221636.89027842061</v>
      </c>
    </row>
    <row r="9" spans="1:17" s="452" customFormat="1">
      <c r="A9" s="450" t="s">
        <v>560</v>
      </c>
      <c r="B9" s="451">
        <f>transport!B14</f>
        <v>6.8551487645049232</v>
      </c>
      <c r="C9" s="451">
        <f>transport!C14</f>
        <v>0</v>
      </c>
      <c r="D9" s="451">
        <f>transport!D14</f>
        <v>9.0415849609975432</v>
      </c>
      <c r="E9" s="451">
        <f>transport!E14</f>
        <v>572.87368930526259</v>
      </c>
      <c r="F9" s="451">
        <f>transport!F14</f>
        <v>0</v>
      </c>
      <c r="G9" s="451">
        <f>transport!G14</f>
        <v>125375.82997132212</v>
      </c>
      <c r="H9" s="451">
        <f>transport!H14</f>
        <v>22901.364120609662</v>
      </c>
      <c r="I9" s="451">
        <f>transport!I14</f>
        <v>0</v>
      </c>
      <c r="J9" s="451">
        <f>transport!J14</f>
        <v>0</v>
      </c>
      <c r="K9" s="451">
        <f>transport!K14</f>
        <v>0</v>
      </c>
      <c r="L9" s="451">
        <f>transport!L14</f>
        <v>0</v>
      </c>
      <c r="M9" s="451">
        <f>transport!M14</f>
        <v>6627.68846649836</v>
      </c>
      <c r="N9" s="451">
        <f>transport!N14</f>
        <v>0</v>
      </c>
      <c r="O9" s="451">
        <f>transport!O14</f>
        <v>0</v>
      </c>
      <c r="P9" s="451">
        <f>transport!P14</f>
        <v>0</v>
      </c>
      <c r="Q9" s="450">
        <f>SUM(B9:P9)</f>
        <v>155493.65298146091</v>
      </c>
    </row>
    <row r="10" spans="1:17">
      <c r="A10" s="446" t="s">
        <v>550</v>
      </c>
      <c r="B10" s="447">
        <f>transport!B54</f>
        <v>20.113632651711608</v>
      </c>
      <c r="C10" s="447">
        <f>transport!C54</f>
        <v>0</v>
      </c>
      <c r="D10" s="447">
        <f>transport!D54</f>
        <v>0</v>
      </c>
      <c r="E10" s="447">
        <f>transport!E54</f>
        <v>0</v>
      </c>
      <c r="F10" s="447">
        <f>transport!F54</f>
        <v>0</v>
      </c>
      <c r="G10" s="447">
        <f>transport!G54</f>
        <v>4011.7037988409743</v>
      </c>
      <c r="H10" s="447">
        <f>transport!H54</f>
        <v>0</v>
      </c>
      <c r="I10" s="447">
        <f>transport!I54</f>
        <v>0</v>
      </c>
      <c r="J10" s="447">
        <f>transport!J54</f>
        <v>0</v>
      </c>
      <c r="K10" s="447">
        <f>transport!K54</f>
        <v>0</v>
      </c>
      <c r="L10" s="447">
        <f>transport!L54</f>
        <v>0</v>
      </c>
      <c r="M10" s="447">
        <f>transport!M54</f>
        <v>177.31303527202084</v>
      </c>
      <c r="N10" s="447">
        <f>transport!N54</f>
        <v>0</v>
      </c>
      <c r="O10" s="447">
        <f>transport!O54</f>
        <v>0</v>
      </c>
      <c r="P10" s="448">
        <f>transport!P54</f>
        <v>0</v>
      </c>
      <c r="Q10" s="446">
        <f t="shared" si="0"/>
        <v>4209.1304667647064</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900.81700000000001</v>
      </c>
      <c r="C14" s="454"/>
      <c r="D14" s="454">
        <f>'SEAP template'!E25</f>
        <v>4902.8869999999997</v>
      </c>
      <c r="E14" s="454"/>
      <c r="F14" s="454"/>
      <c r="G14" s="454"/>
      <c r="H14" s="454"/>
      <c r="I14" s="454"/>
      <c r="J14" s="454"/>
      <c r="K14" s="454"/>
      <c r="L14" s="454"/>
      <c r="M14" s="454"/>
      <c r="N14" s="454"/>
      <c r="O14" s="454"/>
      <c r="P14" s="455"/>
      <c r="Q14" s="446">
        <f t="shared" si="0"/>
        <v>5803.7039999999997</v>
      </c>
    </row>
    <row r="15" spans="1:17" s="459" customFormat="1">
      <c r="A15" s="456" t="s">
        <v>554</v>
      </c>
      <c r="B15" s="457">
        <f ca="1">SUM(B4:B14)</f>
        <v>173391.36030173209</v>
      </c>
      <c r="C15" s="457">
        <f t="shared" ref="C15:Q15" ca="1" si="1">SUM(C4:C14)</f>
        <v>5.1964285714285703</v>
      </c>
      <c r="D15" s="457">
        <f t="shared" ca="1" si="1"/>
        <v>299943.29943896102</v>
      </c>
      <c r="E15" s="457">
        <f t="shared" si="1"/>
        <v>4139.7769273356207</v>
      </c>
      <c r="F15" s="457">
        <f t="shared" ca="1" si="1"/>
        <v>120209.06178408074</v>
      </c>
      <c r="G15" s="457">
        <f t="shared" si="1"/>
        <v>129387.53377016309</v>
      </c>
      <c r="H15" s="457">
        <f t="shared" si="1"/>
        <v>22901.364120609662</v>
      </c>
      <c r="I15" s="457">
        <f t="shared" si="1"/>
        <v>0</v>
      </c>
      <c r="J15" s="457">
        <f t="shared" si="1"/>
        <v>2182.8987741277683</v>
      </c>
      <c r="K15" s="457">
        <f t="shared" si="1"/>
        <v>0</v>
      </c>
      <c r="L15" s="457">
        <f t="shared" ca="1" si="1"/>
        <v>0</v>
      </c>
      <c r="M15" s="457">
        <f t="shared" si="1"/>
        <v>6805.0015017703809</v>
      </c>
      <c r="N15" s="457">
        <f t="shared" ca="1" si="1"/>
        <v>24786.487652233525</v>
      </c>
      <c r="O15" s="457">
        <f t="shared" si="1"/>
        <v>298.59666666666669</v>
      </c>
      <c r="P15" s="457">
        <f t="shared" si="1"/>
        <v>514.79999999999995</v>
      </c>
      <c r="Q15" s="457">
        <f t="shared" ca="1" si="1"/>
        <v>784565.37736625201</v>
      </c>
    </row>
    <row r="17" spans="1:17">
      <c r="A17" s="460" t="s">
        <v>555</v>
      </c>
      <c r="B17" s="729">
        <f ca="1">huishoudens!B10</f>
        <v>0.19434198579122977</v>
      </c>
      <c r="C17" s="729">
        <f ca="1">huishoudens!C10</f>
        <v>0</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12156.702906589926</v>
      </c>
      <c r="C22" s="447">
        <f t="shared" ref="C22:C32" ca="1" si="3">C4*$C$17</f>
        <v>0</v>
      </c>
      <c r="D22" s="447">
        <f t="shared" ref="D22:D32" si="4">D4*$D$17</f>
        <v>23929.995014508004</v>
      </c>
      <c r="E22" s="447">
        <f t="shared" ref="E22:E32" si="5">E4*$E$17</f>
        <v>606.89664677252438</v>
      </c>
      <c r="F22" s="447">
        <f t="shared" ref="F22:F32" si="6">F4*$F$17</f>
        <v>21762.872135707155</v>
      </c>
      <c r="G22" s="447">
        <f t="shared" ref="G22:G32" si="7">G4*$G$17</f>
        <v>0</v>
      </c>
      <c r="H22" s="447">
        <f t="shared" ref="H22:H32" si="8">H4*$H$17</f>
        <v>0</v>
      </c>
      <c r="I22" s="447">
        <f t="shared" ref="I22:I32" si="9">I4*$I$17</f>
        <v>0</v>
      </c>
      <c r="J22" s="447">
        <f t="shared" ref="J22:J32" si="10">J4*$J$17</f>
        <v>523.54840834823062</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58980.015111925844</v>
      </c>
    </row>
    <row r="23" spans="1:17">
      <c r="A23" s="446" t="s">
        <v>149</v>
      </c>
      <c r="B23" s="447">
        <f t="shared" ca="1" si="2"/>
        <v>8400.1938782093421</v>
      </c>
      <c r="C23" s="447">
        <f t="shared" ca="1" si="3"/>
        <v>0</v>
      </c>
      <c r="D23" s="447">
        <f t="shared" ca="1" si="4"/>
        <v>8395.5791492320022</v>
      </c>
      <c r="E23" s="447">
        <f t="shared" si="5"/>
        <v>69.823673617724069</v>
      </c>
      <c r="F23" s="447">
        <f t="shared" ca="1" si="6"/>
        <v>2616.9625414533725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19482.559242512441</v>
      </c>
    </row>
    <row r="24" spans="1:17">
      <c r="A24" s="446" t="s">
        <v>187</v>
      </c>
      <c r="B24" s="447">
        <f t="shared" ca="1" si="2"/>
        <v>411.4532729797458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411.4532729797458</v>
      </c>
    </row>
    <row r="25" spans="1:17">
      <c r="A25" s="446" t="s">
        <v>105</v>
      </c>
      <c r="B25" s="447">
        <f t="shared" ca="1" si="2"/>
        <v>443.28512985844873</v>
      </c>
      <c r="C25" s="447">
        <f t="shared" ca="1" si="3"/>
        <v>0</v>
      </c>
      <c r="D25" s="447">
        <f t="shared" si="4"/>
        <v>295.48970140800003</v>
      </c>
      <c r="E25" s="447">
        <f t="shared" si="5"/>
        <v>5.1131377499361381</v>
      </c>
      <c r="F25" s="447">
        <f t="shared" si="6"/>
        <v>2031.83424330551</v>
      </c>
      <c r="G25" s="447">
        <f t="shared" si="7"/>
        <v>0</v>
      </c>
      <c r="H25" s="447">
        <f t="shared" si="8"/>
        <v>0</v>
      </c>
      <c r="I25" s="447">
        <f t="shared" si="9"/>
        <v>0</v>
      </c>
      <c r="J25" s="447">
        <f t="shared" si="10"/>
        <v>80.559771976242274</v>
      </c>
      <c r="K25" s="447">
        <f t="shared" si="11"/>
        <v>0</v>
      </c>
      <c r="L25" s="447">
        <f t="shared" si="12"/>
        <v>0</v>
      </c>
      <c r="M25" s="447">
        <f t="shared" si="13"/>
        <v>0</v>
      </c>
      <c r="N25" s="447">
        <f t="shared" si="14"/>
        <v>0</v>
      </c>
      <c r="O25" s="447">
        <f t="shared" si="15"/>
        <v>0</v>
      </c>
      <c r="P25" s="448">
        <f t="shared" si="16"/>
        <v>0</v>
      </c>
      <c r="Q25" s="446">
        <f t="shared" ca="1" si="17"/>
        <v>2856.2819842981371</v>
      </c>
    </row>
    <row r="26" spans="1:17">
      <c r="A26" s="446" t="s">
        <v>640</v>
      </c>
      <c r="B26" s="447">
        <f t="shared" ca="1" si="2"/>
        <v>12105.278361294462</v>
      </c>
      <c r="C26" s="447">
        <f t="shared" ca="1" si="3"/>
        <v>0</v>
      </c>
      <c r="D26" s="447">
        <f t="shared" si="4"/>
        <v>26975.273047360006</v>
      </c>
      <c r="E26" s="447">
        <f t="shared" si="5"/>
        <v>127.85357689270677</v>
      </c>
      <c r="F26" s="447">
        <f t="shared" si="6"/>
        <v>5684.1505758835219</v>
      </c>
      <c r="G26" s="447">
        <f t="shared" si="7"/>
        <v>0</v>
      </c>
      <c r="H26" s="447">
        <f t="shared" si="8"/>
        <v>0</v>
      </c>
      <c r="I26" s="447">
        <f t="shared" si="9"/>
        <v>0</v>
      </c>
      <c r="J26" s="447">
        <f t="shared" si="10"/>
        <v>168.63798571675702</v>
      </c>
      <c r="K26" s="447">
        <f t="shared" si="11"/>
        <v>0</v>
      </c>
      <c r="L26" s="447">
        <f t="shared" si="12"/>
        <v>0</v>
      </c>
      <c r="M26" s="447">
        <f t="shared" si="13"/>
        <v>0</v>
      </c>
      <c r="N26" s="447">
        <f t="shared" si="14"/>
        <v>0</v>
      </c>
      <c r="O26" s="447">
        <f t="shared" si="15"/>
        <v>0</v>
      </c>
      <c r="P26" s="448">
        <f t="shared" si="16"/>
        <v>0</v>
      </c>
      <c r="Q26" s="446">
        <f t="shared" ca="1" si="17"/>
        <v>45061.193547147457</v>
      </c>
    </row>
    <row r="27" spans="1:17" s="452" customFormat="1">
      <c r="A27" s="450" t="s">
        <v>560</v>
      </c>
      <c r="B27" s="723">
        <f t="shared" ca="1" si="2"/>
        <v>1.3322432237881821</v>
      </c>
      <c r="C27" s="451">
        <f t="shared" ca="1" si="3"/>
        <v>0</v>
      </c>
      <c r="D27" s="451">
        <f t="shared" si="4"/>
        <v>1.8264001621215038</v>
      </c>
      <c r="E27" s="451">
        <f t="shared" si="5"/>
        <v>130.0423274722946</v>
      </c>
      <c r="F27" s="451">
        <f t="shared" si="6"/>
        <v>0</v>
      </c>
      <c r="G27" s="451">
        <f t="shared" si="7"/>
        <v>33475.346602343008</v>
      </c>
      <c r="H27" s="451">
        <f t="shared" si="8"/>
        <v>5702.4396660318062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39310.987239233022</v>
      </c>
    </row>
    <row r="28" spans="1:17">
      <c r="A28" s="446" t="s">
        <v>550</v>
      </c>
      <c r="B28" s="447">
        <f t="shared" ca="1" si="2"/>
        <v>3.9089233110089525</v>
      </c>
      <c r="C28" s="447">
        <f t="shared" ca="1" si="3"/>
        <v>0</v>
      </c>
      <c r="D28" s="447">
        <f t="shared" si="4"/>
        <v>0</v>
      </c>
      <c r="E28" s="447">
        <f t="shared" si="5"/>
        <v>0</v>
      </c>
      <c r="F28" s="447">
        <f t="shared" si="6"/>
        <v>0</v>
      </c>
      <c r="G28" s="447">
        <f t="shared" si="7"/>
        <v>1071.1249142905401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1075.0338376015491</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175.06656461449822</v>
      </c>
      <c r="C32" s="447">
        <f t="shared" ca="1" si="3"/>
        <v>0</v>
      </c>
      <c r="D32" s="447">
        <f t="shared" si="4"/>
        <v>990.38317400000005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1165.4497386144983</v>
      </c>
    </row>
    <row r="33" spans="1:17" s="459" customFormat="1">
      <c r="A33" s="456" t="s">
        <v>554</v>
      </c>
      <c r="B33" s="457">
        <f ca="1">SUM(B22:B32)</f>
        <v>33697.221280081227</v>
      </c>
      <c r="C33" s="457">
        <f t="shared" ref="C33:Q33" ca="1" si="18">SUM(C22:C32)</f>
        <v>0</v>
      </c>
      <c r="D33" s="457">
        <f t="shared" ca="1" si="18"/>
        <v>60588.546486670137</v>
      </c>
      <c r="E33" s="457">
        <f t="shared" si="18"/>
        <v>939.72936250518592</v>
      </c>
      <c r="F33" s="457">
        <f t="shared" ca="1" si="18"/>
        <v>32095.819496349563</v>
      </c>
      <c r="G33" s="457">
        <f t="shared" si="18"/>
        <v>34546.471516633552</v>
      </c>
      <c r="H33" s="457">
        <f t="shared" si="18"/>
        <v>5702.4396660318062</v>
      </c>
      <c r="I33" s="457">
        <f t="shared" si="18"/>
        <v>0</v>
      </c>
      <c r="J33" s="457">
        <f t="shared" si="18"/>
        <v>772.74616604122991</v>
      </c>
      <c r="K33" s="457">
        <f t="shared" si="18"/>
        <v>0</v>
      </c>
      <c r="L33" s="457">
        <f t="shared" ca="1" si="18"/>
        <v>0</v>
      </c>
      <c r="M33" s="457">
        <f t="shared" si="18"/>
        <v>0</v>
      </c>
      <c r="N33" s="457">
        <f t="shared" ca="1" si="18"/>
        <v>0</v>
      </c>
      <c r="O33" s="457">
        <f t="shared" si="18"/>
        <v>0</v>
      </c>
      <c r="P33" s="457">
        <f t="shared" si="18"/>
        <v>0</v>
      </c>
      <c r="Q33" s="457">
        <f t="shared" ca="1" si="18"/>
        <v>168342.97397431268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0</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20911.608412224305</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3.6374999999999993</v>
      </c>
      <c r="C8" s="977">
        <f>'SEAP template'!C76</f>
        <v>0</v>
      </c>
      <c r="D8" s="977">
        <f>'SEAP template'!D76</f>
        <v>0</v>
      </c>
      <c r="E8" s="977">
        <f>'SEAP template'!E76</f>
        <v>0</v>
      </c>
      <c r="F8" s="977">
        <f>'SEAP template'!F76</f>
        <v>0</v>
      </c>
      <c r="G8" s="977">
        <f>'SEAP template'!G76</f>
        <v>0</v>
      </c>
      <c r="H8" s="977">
        <f>'SEAP template'!H76</f>
        <v>0</v>
      </c>
      <c r="I8" s="977">
        <f>'SEAP template'!I76</f>
        <v>0</v>
      </c>
      <c r="J8" s="977">
        <f>'SEAP template'!J76</f>
        <v>4.2794117647058822</v>
      </c>
      <c r="K8" s="977">
        <f>'SEAP template'!K76</f>
        <v>0</v>
      </c>
      <c r="L8" s="977">
        <f>'SEAP template'!L76</f>
        <v>0</v>
      </c>
      <c r="M8" s="977">
        <f>'SEAP template'!M76</f>
        <v>0</v>
      </c>
      <c r="N8" s="977">
        <f>'SEAP template'!N76</f>
        <v>0</v>
      </c>
      <c r="O8" s="977">
        <f>'SEAP template'!O76</f>
        <v>0</v>
      </c>
      <c r="P8" s="978">
        <f>'SEAP template'!Q76</f>
        <v>0</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20915.245912224305</v>
      </c>
      <c r="C10" s="981">
        <f>SUM(C4:C9)</f>
        <v>0</v>
      </c>
      <c r="D10" s="981">
        <f t="shared" ref="D10:H10" si="0">SUM(D8:D9)</f>
        <v>0</v>
      </c>
      <c r="E10" s="981">
        <f t="shared" si="0"/>
        <v>0</v>
      </c>
      <c r="F10" s="981">
        <f t="shared" si="0"/>
        <v>0</v>
      </c>
      <c r="G10" s="981">
        <f t="shared" si="0"/>
        <v>0</v>
      </c>
      <c r="H10" s="981">
        <f t="shared" si="0"/>
        <v>0</v>
      </c>
      <c r="I10" s="981">
        <f>SUM(I8:I9)</f>
        <v>0</v>
      </c>
      <c r="J10" s="981">
        <f>SUM(J8:J9)</f>
        <v>4.2794117647058822</v>
      </c>
      <c r="K10" s="981">
        <f t="shared" ref="K10:L10" si="1">SUM(K8:K9)</f>
        <v>0</v>
      </c>
      <c r="L10" s="981">
        <f t="shared" si="1"/>
        <v>0</v>
      </c>
      <c r="M10" s="981">
        <f>SUM(M8:M9)</f>
        <v>0</v>
      </c>
      <c r="N10" s="981">
        <f>SUM(N8:N9)</f>
        <v>0</v>
      </c>
      <c r="O10" s="981">
        <f>SUM(O8:O9)</f>
        <v>0</v>
      </c>
      <c r="P10" s="981">
        <f>SUM(P8:P9)</f>
        <v>0</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0.19434198579122977</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5.1964285714285703</v>
      </c>
      <c r="C17" s="984">
        <f>'SEAP template'!C87</f>
        <v>0</v>
      </c>
      <c r="D17" s="978">
        <f>'SEAP template'!D87</f>
        <v>0</v>
      </c>
      <c r="E17" s="978">
        <f>'SEAP template'!E87</f>
        <v>0</v>
      </c>
      <c r="F17" s="978">
        <f>'SEAP template'!F87</f>
        <v>0</v>
      </c>
      <c r="G17" s="978">
        <f>'SEAP template'!G87</f>
        <v>0</v>
      </c>
      <c r="H17" s="978">
        <f>'SEAP template'!H87</f>
        <v>0</v>
      </c>
      <c r="I17" s="978">
        <f>'SEAP template'!I87</f>
        <v>0</v>
      </c>
      <c r="J17" s="978">
        <f>'SEAP template'!J87</f>
        <v>6.1134453781512601</v>
      </c>
      <c r="K17" s="978">
        <f>'SEAP template'!K87</f>
        <v>0</v>
      </c>
      <c r="L17" s="978">
        <f>'SEAP template'!L87</f>
        <v>0</v>
      </c>
      <c r="M17" s="978">
        <f>'SEAP template'!M87</f>
        <v>0</v>
      </c>
      <c r="N17" s="978">
        <f>'SEAP template'!N87</f>
        <v>0</v>
      </c>
      <c r="O17" s="978">
        <f>'SEAP template'!O87</f>
        <v>0</v>
      </c>
      <c r="P17" s="978">
        <f>'SEAP template'!Q87</f>
        <v>0</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5.1964285714285703</v>
      </c>
      <c r="C20" s="981">
        <f>SUM(C17:C19)</f>
        <v>0</v>
      </c>
      <c r="D20" s="981">
        <f t="shared" ref="D20:H20" si="2">SUM(D17:D19)</f>
        <v>0</v>
      </c>
      <c r="E20" s="981">
        <f t="shared" si="2"/>
        <v>0</v>
      </c>
      <c r="F20" s="981">
        <f t="shared" si="2"/>
        <v>0</v>
      </c>
      <c r="G20" s="981">
        <f t="shared" si="2"/>
        <v>0</v>
      </c>
      <c r="H20" s="981">
        <f t="shared" si="2"/>
        <v>0</v>
      </c>
      <c r="I20" s="981">
        <f>SUM(I17:I19)</f>
        <v>0</v>
      </c>
      <c r="J20" s="981">
        <f>SUM(J17:J19)</f>
        <v>6.1134453781512601</v>
      </c>
      <c r="K20" s="981">
        <f t="shared" ref="K20:L20" si="3">SUM(K17:K19)</f>
        <v>0</v>
      </c>
      <c r="L20" s="981">
        <f t="shared" si="3"/>
        <v>0</v>
      </c>
      <c r="M20" s="981">
        <f>SUM(M17:M19)</f>
        <v>0</v>
      </c>
      <c r="N20" s="981">
        <f>SUM(N17:N19)</f>
        <v>0</v>
      </c>
      <c r="O20" s="981">
        <f>SUM(O17:O19)</f>
        <v>0</v>
      </c>
      <c r="P20" s="981">
        <f>SUM(P17:P19)</f>
        <v>0</v>
      </c>
    </row>
    <row r="22" spans="1:16">
      <c r="A22" s="460" t="s">
        <v>867</v>
      </c>
      <c r="B22" s="729" t="s">
        <v>861</v>
      </c>
      <c r="C22" s="729">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0.19434198579122977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0</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0.19434198579122977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0.19434198579122977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12544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2853</v>
      </c>
      <c r="C14" s="327"/>
      <c r="D14" s="327"/>
      <c r="E14" s="327"/>
      <c r="F14" s="327"/>
    </row>
    <row r="15" spans="1:6">
      <c r="A15" s="1258" t="s">
        <v>177</v>
      </c>
      <c r="B15" s="1259">
        <v>3056</v>
      </c>
      <c r="C15" s="327"/>
      <c r="D15" s="327"/>
      <c r="E15" s="327"/>
      <c r="F15" s="327"/>
    </row>
    <row r="16" spans="1:6">
      <c r="A16" s="1258" t="s">
        <v>6</v>
      </c>
      <c r="B16" s="1259">
        <v>2259</v>
      </c>
      <c r="C16" s="327"/>
      <c r="D16" s="327"/>
      <c r="E16" s="327"/>
      <c r="F16" s="327"/>
    </row>
    <row r="17" spans="1:6">
      <c r="A17" s="1258" t="s">
        <v>7</v>
      </c>
      <c r="B17" s="1259">
        <v>269</v>
      </c>
      <c r="C17" s="327"/>
      <c r="D17" s="327"/>
      <c r="E17" s="327"/>
      <c r="F17" s="327"/>
    </row>
    <row r="18" spans="1:6">
      <c r="A18" s="1258" t="s">
        <v>8</v>
      </c>
      <c r="B18" s="1259">
        <v>1304</v>
      </c>
      <c r="C18" s="327"/>
      <c r="D18" s="327"/>
      <c r="E18" s="327"/>
      <c r="F18" s="327"/>
    </row>
    <row r="19" spans="1:6">
      <c r="A19" s="1258" t="s">
        <v>9</v>
      </c>
      <c r="B19" s="1259">
        <v>1211</v>
      </c>
      <c r="C19" s="327"/>
      <c r="D19" s="327"/>
      <c r="E19" s="327"/>
      <c r="F19" s="327"/>
    </row>
    <row r="20" spans="1:6">
      <c r="A20" s="1258" t="s">
        <v>10</v>
      </c>
      <c r="B20" s="1259">
        <v>728</v>
      </c>
      <c r="C20" s="327"/>
      <c r="D20" s="327"/>
      <c r="E20" s="327"/>
      <c r="F20" s="327"/>
    </row>
    <row r="21" spans="1:6">
      <c r="A21" s="1258" t="s">
        <v>11</v>
      </c>
      <c r="B21" s="1259">
        <v>6462</v>
      </c>
      <c r="C21" s="327"/>
      <c r="D21" s="327"/>
      <c r="E21" s="327"/>
      <c r="F21" s="327"/>
    </row>
    <row r="22" spans="1:6">
      <c r="A22" s="1258" t="s">
        <v>12</v>
      </c>
      <c r="B22" s="1259">
        <v>12063</v>
      </c>
      <c r="C22" s="327"/>
      <c r="D22" s="327"/>
      <c r="E22" s="327"/>
      <c r="F22" s="327"/>
    </row>
    <row r="23" spans="1:6">
      <c r="A23" s="1258" t="s">
        <v>13</v>
      </c>
      <c r="B23" s="1259">
        <v>326</v>
      </c>
      <c r="C23" s="327"/>
      <c r="D23" s="327"/>
      <c r="E23" s="327"/>
      <c r="F23" s="327"/>
    </row>
    <row r="24" spans="1:6">
      <c r="A24" s="1258" t="s">
        <v>14</v>
      </c>
      <c r="B24" s="1259">
        <v>18</v>
      </c>
      <c r="C24" s="327"/>
      <c r="D24" s="327"/>
      <c r="E24" s="327"/>
      <c r="F24" s="327"/>
    </row>
    <row r="25" spans="1:6">
      <c r="A25" s="1258" t="s">
        <v>15</v>
      </c>
      <c r="B25" s="1259">
        <v>1504</v>
      </c>
      <c r="C25" s="327"/>
      <c r="D25" s="327"/>
      <c r="E25" s="327"/>
      <c r="F25" s="327"/>
    </row>
    <row r="26" spans="1:6">
      <c r="A26" s="1258" t="s">
        <v>16</v>
      </c>
      <c r="B26" s="1259">
        <v>199</v>
      </c>
      <c r="C26" s="327"/>
      <c r="D26" s="327"/>
      <c r="E26" s="327"/>
      <c r="F26" s="327"/>
    </row>
    <row r="27" spans="1:6">
      <c r="A27" s="1258" t="s">
        <v>17</v>
      </c>
      <c r="B27" s="1259">
        <v>2</v>
      </c>
      <c r="C27" s="327"/>
      <c r="D27" s="327"/>
      <c r="E27" s="327"/>
      <c r="F27" s="327"/>
    </row>
    <row r="28" spans="1:6">
      <c r="A28" s="1258" t="s">
        <v>18</v>
      </c>
      <c r="B28" s="1260">
        <v>180752</v>
      </c>
      <c r="C28" s="327"/>
      <c r="D28" s="327"/>
      <c r="E28" s="327"/>
      <c r="F28" s="327"/>
    </row>
    <row r="29" spans="1:6">
      <c r="A29" s="1258" t="s">
        <v>939</v>
      </c>
      <c r="B29" s="1260">
        <v>122</v>
      </c>
      <c r="C29" s="327"/>
      <c r="D29" s="327"/>
      <c r="E29" s="327"/>
      <c r="F29" s="327"/>
    </row>
    <row r="30" spans="1:6">
      <c r="A30" s="1253" t="s">
        <v>940</v>
      </c>
      <c r="B30" s="1261">
        <v>36</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5</v>
      </c>
      <c r="F36" s="1259">
        <v>41771</v>
      </c>
    </row>
    <row r="37" spans="1:6">
      <c r="A37" s="1258" t="s">
        <v>24</v>
      </c>
      <c r="B37" s="1258" t="s">
        <v>27</v>
      </c>
      <c r="C37" s="1259">
        <v>0</v>
      </c>
      <c r="D37" s="1259">
        <v>0</v>
      </c>
      <c r="E37" s="1259">
        <v>0</v>
      </c>
      <c r="F37" s="1259">
        <v>0</v>
      </c>
    </row>
    <row r="38" spans="1:6">
      <c r="A38" s="1258" t="s">
        <v>24</v>
      </c>
      <c r="B38" s="1258" t="s">
        <v>28</v>
      </c>
      <c r="C38" s="1259">
        <v>1</v>
      </c>
      <c r="D38" s="1259">
        <v>273303</v>
      </c>
      <c r="E38" s="1259">
        <v>1</v>
      </c>
      <c r="F38" s="1259">
        <v>4220</v>
      </c>
    </row>
    <row r="39" spans="1:6">
      <c r="A39" s="1258" t="s">
        <v>29</v>
      </c>
      <c r="B39" s="1258" t="s">
        <v>30</v>
      </c>
      <c r="C39" s="1259">
        <v>7765</v>
      </c>
      <c r="D39" s="1259">
        <v>131336277</v>
      </c>
      <c r="E39" s="1259">
        <v>12904</v>
      </c>
      <c r="F39" s="1259">
        <v>54003170</v>
      </c>
    </row>
    <row r="40" spans="1:6">
      <c r="A40" s="1258" t="s">
        <v>29</v>
      </c>
      <c r="B40" s="1258" t="s">
        <v>28</v>
      </c>
      <c r="C40" s="1259">
        <v>0</v>
      </c>
      <c r="D40" s="1259">
        <v>0</v>
      </c>
      <c r="E40" s="1259">
        <v>0</v>
      </c>
      <c r="F40" s="1259">
        <v>0</v>
      </c>
    </row>
    <row r="41" spans="1:6">
      <c r="A41" s="1258" t="s">
        <v>31</v>
      </c>
      <c r="B41" s="1258" t="s">
        <v>32</v>
      </c>
      <c r="C41" s="1259">
        <v>89</v>
      </c>
      <c r="D41" s="1259">
        <v>14968842</v>
      </c>
      <c r="E41" s="1259">
        <v>230</v>
      </c>
      <c r="F41" s="1259">
        <v>20769139</v>
      </c>
    </row>
    <row r="42" spans="1:6">
      <c r="A42" s="1258" t="s">
        <v>31</v>
      </c>
      <c r="B42" s="1258" t="s">
        <v>33</v>
      </c>
      <c r="C42" s="1259">
        <v>3</v>
      </c>
      <c r="D42" s="1259">
        <v>878278</v>
      </c>
      <c r="E42" s="1259">
        <v>3</v>
      </c>
      <c r="F42" s="1259">
        <v>615540</v>
      </c>
    </row>
    <row r="43" spans="1:6">
      <c r="A43" s="1258" t="s">
        <v>31</v>
      </c>
      <c r="B43" s="1258" t="s">
        <v>34</v>
      </c>
      <c r="C43" s="1259">
        <v>0</v>
      </c>
      <c r="D43" s="1259">
        <v>0</v>
      </c>
      <c r="E43" s="1259">
        <v>3</v>
      </c>
      <c r="F43" s="1259">
        <v>4833720</v>
      </c>
    </row>
    <row r="44" spans="1:6">
      <c r="A44" s="1258" t="s">
        <v>31</v>
      </c>
      <c r="B44" s="1258" t="s">
        <v>35</v>
      </c>
      <c r="C44" s="1259">
        <v>37</v>
      </c>
      <c r="D44" s="1259">
        <v>63997584</v>
      </c>
      <c r="E44" s="1259">
        <v>59</v>
      </c>
      <c r="F44" s="1259">
        <v>28896769</v>
      </c>
    </row>
    <row r="45" spans="1:6">
      <c r="A45" s="1258" t="s">
        <v>31</v>
      </c>
      <c r="B45" s="1258" t="s">
        <v>36</v>
      </c>
      <c r="C45" s="1259">
        <v>3</v>
      </c>
      <c r="D45" s="1259">
        <v>63401</v>
      </c>
      <c r="E45" s="1259">
        <v>3</v>
      </c>
      <c r="F45" s="1259">
        <v>35321</v>
      </c>
    </row>
    <row r="46" spans="1:6">
      <c r="A46" s="1258" t="s">
        <v>31</v>
      </c>
      <c r="B46" s="1258" t="s">
        <v>37</v>
      </c>
      <c r="C46" s="1259">
        <v>0</v>
      </c>
      <c r="D46" s="1259">
        <v>0</v>
      </c>
      <c r="E46" s="1259">
        <v>0</v>
      </c>
      <c r="F46" s="1259">
        <v>0</v>
      </c>
    </row>
    <row r="47" spans="1:6">
      <c r="A47" s="1258" t="s">
        <v>31</v>
      </c>
      <c r="B47" s="1258" t="s">
        <v>38</v>
      </c>
      <c r="C47" s="1259">
        <v>6</v>
      </c>
      <c r="D47" s="1259">
        <v>2346776</v>
      </c>
      <c r="E47" s="1259">
        <v>7</v>
      </c>
      <c r="F47" s="1259">
        <v>4831256</v>
      </c>
    </row>
    <row r="48" spans="1:6">
      <c r="A48" s="1258" t="s">
        <v>31</v>
      </c>
      <c r="B48" s="1258" t="s">
        <v>28</v>
      </c>
      <c r="C48" s="1259">
        <v>7</v>
      </c>
      <c r="D48" s="1259">
        <v>60751452</v>
      </c>
      <c r="E48" s="1259">
        <v>5</v>
      </c>
      <c r="F48" s="1259">
        <v>62271</v>
      </c>
    </row>
    <row r="49" spans="1:6">
      <c r="A49" s="1258" t="s">
        <v>31</v>
      </c>
      <c r="B49" s="1258" t="s">
        <v>39</v>
      </c>
      <c r="C49" s="1259">
        <v>3</v>
      </c>
      <c r="D49" s="1259">
        <v>3900370</v>
      </c>
      <c r="E49" s="1259">
        <v>4</v>
      </c>
      <c r="F49" s="1259">
        <v>1612186</v>
      </c>
    </row>
    <row r="50" spans="1:6">
      <c r="A50" s="1258" t="s">
        <v>31</v>
      </c>
      <c r="B50" s="1258" t="s">
        <v>40</v>
      </c>
      <c r="C50" s="1259">
        <v>11</v>
      </c>
      <c r="D50" s="1259">
        <v>1143137</v>
      </c>
      <c r="E50" s="1259">
        <v>23</v>
      </c>
      <c r="F50" s="1259">
        <v>632337</v>
      </c>
    </row>
    <row r="51" spans="1:6">
      <c r="A51" s="1258" t="s">
        <v>41</v>
      </c>
      <c r="B51" s="1258" t="s">
        <v>42</v>
      </c>
      <c r="C51" s="1259">
        <v>24</v>
      </c>
      <c r="D51" s="1259">
        <v>1621752</v>
      </c>
      <c r="E51" s="1259">
        <v>96</v>
      </c>
      <c r="F51" s="1259">
        <v>2280954</v>
      </c>
    </row>
    <row r="52" spans="1:6">
      <c r="A52" s="1258" t="s">
        <v>41</v>
      </c>
      <c r="B52" s="1258" t="s">
        <v>28</v>
      </c>
      <c r="C52" s="1259">
        <v>0</v>
      </c>
      <c r="D52" s="1259">
        <v>0</v>
      </c>
      <c r="E52" s="1259">
        <v>0</v>
      </c>
      <c r="F52" s="1259">
        <v>0</v>
      </c>
    </row>
    <row r="53" spans="1:6">
      <c r="A53" s="1258" t="s">
        <v>43</v>
      </c>
      <c r="B53" s="1258" t="s">
        <v>44</v>
      </c>
      <c r="C53" s="1259">
        <v>0</v>
      </c>
      <c r="D53" s="1259">
        <v>0</v>
      </c>
      <c r="E53" s="1259">
        <v>0</v>
      </c>
      <c r="F53" s="1259">
        <v>0</v>
      </c>
    </row>
    <row r="54" spans="1:6">
      <c r="A54" s="1258" t="s">
        <v>45</v>
      </c>
      <c r="B54" s="1258" t="s">
        <v>46</v>
      </c>
      <c r="C54" s="1259">
        <v>0</v>
      </c>
      <c r="D54" s="1259">
        <v>0</v>
      </c>
      <c r="E54" s="1259">
        <v>150</v>
      </c>
      <c r="F54" s="1259">
        <v>2117161</v>
      </c>
    </row>
    <row r="55" spans="1:6">
      <c r="A55" s="1258" t="s">
        <v>45</v>
      </c>
      <c r="B55" s="1258" t="s">
        <v>28</v>
      </c>
      <c r="C55" s="1259">
        <v>0</v>
      </c>
      <c r="D55" s="1259">
        <v>0</v>
      </c>
      <c r="E55" s="1259">
        <v>0</v>
      </c>
      <c r="F55" s="1259">
        <v>0</v>
      </c>
    </row>
    <row r="56" spans="1:6">
      <c r="A56" s="1258" t="s">
        <v>47</v>
      </c>
      <c r="B56" s="1258" t="s">
        <v>28</v>
      </c>
      <c r="C56" s="1259">
        <v>92</v>
      </c>
      <c r="D56" s="1259">
        <v>4902887</v>
      </c>
      <c r="E56" s="1259">
        <v>163</v>
      </c>
      <c r="F56" s="1259">
        <v>900817</v>
      </c>
    </row>
    <row r="57" spans="1:6">
      <c r="A57" s="1258" t="s">
        <v>48</v>
      </c>
      <c r="B57" s="1258" t="s">
        <v>49</v>
      </c>
      <c r="C57" s="1259">
        <v>68</v>
      </c>
      <c r="D57" s="1259">
        <v>3969906</v>
      </c>
      <c r="E57" s="1259">
        <v>159</v>
      </c>
      <c r="F57" s="1259">
        <v>6452318</v>
      </c>
    </row>
    <row r="58" spans="1:6">
      <c r="A58" s="1258" t="s">
        <v>48</v>
      </c>
      <c r="B58" s="1258" t="s">
        <v>50</v>
      </c>
      <c r="C58" s="1259">
        <v>55</v>
      </c>
      <c r="D58" s="1259">
        <v>14276490</v>
      </c>
      <c r="E58" s="1259">
        <v>88</v>
      </c>
      <c r="F58" s="1259">
        <v>8518176</v>
      </c>
    </row>
    <row r="59" spans="1:6">
      <c r="A59" s="1258" t="s">
        <v>48</v>
      </c>
      <c r="B59" s="1258" t="s">
        <v>51</v>
      </c>
      <c r="C59" s="1259">
        <v>161</v>
      </c>
      <c r="D59" s="1259">
        <v>7887707</v>
      </c>
      <c r="E59" s="1259">
        <v>318</v>
      </c>
      <c r="F59" s="1259">
        <v>11947819</v>
      </c>
    </row>
    <row r="60" spans="1:6">
      <c r="A60" s="1258" t="s">
        <v>48</v>
      </c>
      <c r="B60" s="1258" t="s">
        <v>52</v>
      </c>
      <c r="C60" s="1259">
        <v>68</v>
      </c>
      <c r="D60" s="1259">
        <v>3652625</v>
      </c>
      <c r="E60" s="1259">
        <v>115</v>
      </c>
      <c r="F60" s="1259">
        <v>3183322</v>
      </c>
    </row>
    <row r="61" spans="1:6">
      <c r="A61" s="1258" t="s">
        <v>48</v>
      </c>
      <c r="B61" s="1258" t="s">
        <v>53</v>
      </c>
      <c r="C61" s="1259">
        <v>180</v>
      </c>
      <c r="D61" s="1259">
        <v>10903871</v>
      </c>
      <c r="E61" s="1259">
        <v>491</v>
      </c>
      <c r="F61" s="1259">
        <v>11262656</v>
      </c>
    </row>
    <row r="62" spans="1:6">
      <c r="A62" s="1258" t="s">
        <v>48</v>
      </c>
      <c r="B62" s="1258" t="s">
        <v>54</v>
      </c>
      <c r="C62" s="1259">
        <v>35</v>
      </c>
      <c r="D62" s="1259">
        <v>5387309</v>
      </c>
      <c r="E62" s="1259">
        <v>47</v>
      </c>
      <c r="F62" s="1259">
        <v>1859482</v>
      </c>
    </row>
    <row r="63" spans="1:6">
      <c r="A63" s="1258" t="s">
        <v>48</v>
      </c>
      <c r="B63" s="1258" t="s">
        <v>28</v>
      </c>
      <c r="C63" s="1259">
        <v>0</v>
      </c>
      <c r="D63" s="1259">
        <v>0</v>
      </c>
      <c r="E63" s="1259">
        <v>0</v>
      </c>
      <c r="F63" s="1259">
        <v>0</v>
      </c>
    </row>
    <row r="64" spans="1:6">
      <c r="A64" s="1258" t="s">
        <v>55</v>
      </c>
      <c r="B64" s="1258" t="s">
        <v>56</v>
      </c>
      <c r="C64" s="1259">
        <v>0</v>
      </c>
      <c r="D64" s="1259">
        <v>0</v>
      </c>
      <c r="E64" s="1259">
        <v>0</v>
      </c>
      <c r="F64" s="1259">
        <v>0</v>
      </c>
    </row>
    <row r="65" spans="1:6">
      <c r="A65" s="1258" t="s">
        <v>55</v>
      </c>
      <c r="B65" s="1258" t="s">
        <v>28</v>
      </c>
      <c r="C65" s="1259">
        <v>2</v>
      </c>
      <c r="D65" s="1259">
        <v>551920</v>
      </c>
      <c r="E65" s="1259">
        <v>1</v>
      </c>
      <c r="F65" s="1259">
        <v>0</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0</v>
      </c>
      <c r="D68" s="1261">
        <v>0</v>
      </c>
      <c r="E68" s="1261">
        <v>13</v>
      </c>
      <c r="F68" s="1261">
        <v>5106592</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123057844</v>
      </c>
      <c r="E73" s="445"/>
      <c r="F73" s="327"/>
    </row>
    <row r="74" spans="1:6">
      <c r="A74" s="1258" t="s">
        <v>63</v>
      </c>
      <c r="B74" s="1258" t="s">
        <v>724</v>
      </c>
      <c r="C74" s="1271" t="s">
        <v>718</v>
      </c>
      <c r="D74" s="1259">
        <v>12145297.743224634</v>
      </c>
      <c r="E74" s="445"/>
      <c r="F74" s="327"/>
    </row>
    <row r="75" spans="1:6">
      <c r="A75" s="1258" t="s">
        <v>64</v>
      </c>
      <c r="B75" s="1258" t="s">
        <v>723</v>
      </c>
      <c r="C75" s="1271" t="s">
        <v>719</v>
      </c>
      <c r="D75" s="1259">
        <v>45148193</v>
      </c>
      <c r="E75" s="445"/>
      <c r="F75" s="327"/>
    </row>
    <row r="76" spans="1:6">
      <c r="A76" s="1258" t="s">
        <v>64</v>
      </c>
      <c r="B76" s="1258" t="s">
        <v>724</v>
      </c>
      <c r="C76" s="1271" t="s">
        <v>720</v>
      </c>
      <c r="D76" s="1259">
        <v>1220070.7432246343</v>
      </c>
      <c r="E76" s="445"/>
      <c r="F76" s="327"/>
    </row>
    <row r="77" spans="1:6">
      <c r="A77" s="1258" t="s">
        <v>65</v>
      </c>
      <c r="B77" s="1258" t="s">
        <v>723</v>
      </c>
      <c r="C77" s="1271" t="s">
        <v>721</v>
      </c>
      <c r="D77" s="1259">
        <v>0</v>
      </c>
      <c r="E77" s="445"/>
      <c r="F77" s="327"/>
    </row>
    <row r="78" spans="1:6">
      <c r="A78" s="1253" t="s">
        <v>65</v>
      </c>
      <c r="B78" s="1253" t="s">
        <v>724</v>
      </c>
      <c r="C78" s="1253" t="s">
        <v>722</v>
      </c>
      <c r="D78" s="1261">
        <v>0</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1108120.5135507311</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0</v>
      </c>
      <c r="C90" s="327"/>
      <c r="D90" s="327"/>
      <c r="E90" s="327"/>
      <c r="F90" s="327"/>
    </row>
    <row r="91" spans="1:6">
      <c r="A91" s="1258" t="s">
        <v>67</v>
      </c>
      <c r="B91" s="1259">
        <v>8549.9775203158697</v>
      </c>
      <c r="C91" s="327"/>
      <c r="D91" s="327"/>
      <c r="E91" s="327"/>
      <c r="F91" s="327"/>
    </row>
    <row r="92" spans="1:6">
      <c r="A92" s="1253" t="s">
        <v>68</v>
      </c>
      <c r="B92" s="1254">
        <v>12361.630891908437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3344</v>
      </c>
      <c r="C97" s="327"/>
      <c r="D97" s="327"/>
      <c r="E97" s="327"/>
      <c r="F97" s="327"/>
    </row>
    <row r="98" spans="1:6">
      <c r="A98" s="1258" t="s">
        <v>71</v>
      </c>
      <c r="B98" s="1259">
        <v>4</v>
      </c>
      <c r="C98" s="327"/>
      <c r="D98" s="327"/>
      <c r="E98" s="327"/>
      <c r="F98" s="327"/>
    </row>
    <row r="99" spans="1:6">
      <c r="A99" s="1258" t="s">
        <v>72</v>
      </c>
      <c r="B99" s="1259">
        <v>160</v>
      </c>
      <c r="C99" s="327"/>
      <c r="D99" s="327"/>
      <c r="E99" s="327"/>
      <c r="F99" s="327"/>
    </row>
    <row r="100" spans="1:6">
      <c r="A100" s="1258" t="s">
        <v>73</v>
      </c>
      <c r="B100" s="1259">
        <v>517</v>
      </c>
      <c r="C100" s="327"/>
      <c r="D100" s="327"/>
      <c r="E100" s="327"/>
      <c r="F100" s="327"/>
    </row>
    <row r="101" spans="1:6">
      <c r="A101" s="1258" t="s">
        <v>74</v>
      </c>
      <c r="B101" s="1259">
        <v>132</v>
      </c>
      <c r="C101" s="327"/>
      <c r="D101" s="327"/>
      <c r="E101" s="327"/>
      <c r="F101" s="327"/>
    </row>
    <row r="102" spans="1:6">
      <c r="A102" s="1258" t="s">
        <v>75</v>
      </c>
      <c r="B102" s="1259">
        <v>110</v>
      </c>
      <c r="C102" s="327"/>
      <c r="D102" s="327"/>
      <c r="E102" s="327"/>
      <c r="F102" s="327"/>
    </row>
    <row r="103" spans="1:6">
      <c r="A103" s="1258" t="s">
        <v>76</v>
      </c>
      <c r="B103" s="1259">
        <v>145</v>
      </c>
      <c r="C103" s="327"/>
      <c r="D103" s="327"/>
      <c r="E103" s="327"/>
      <c r="F103" s="327"/>
    </row>
    <row r="104" spans="1:6">
      <c r="A104" s="1258" t="s">
        <v>77</v>
      </c>
      <c r="B104" s="1259">
        <v>6042</v>
      </c>
      <c r="C104" s="327"/>
      <c r="D104" s="327"/>
      <c r="E104" s="327"/>
      <c r="F104" s="327"/>
    </row>
    <row r="105" spans="1:6">
      <c r="A105" s="1253" t="s">
        <v>78</v>
      </c>
      <c r="B105" s="1261">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0</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10</v>
      </c>
      <c r="C123" s="1259">
        <v>20</v>
      </c>
      <c r="D123" s="327"/>
      <c r="E123" s="327"/>
      <c r="F123" s="327"/>
    </row>
    <row r="124" spans="1:6">
      <c r="A124" s="1258" t="s">
        <v>88</v>
      </c>
      <c r="B124" s="1259">
        <v>2</v>
      </c>
      <c r="C124" s="1259">
        <v>1</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170</v>
      </c>
      <c r="C129" s="327"/>
      <c r="D129" s="327"/>
      <c r="E129" s="327"/>
      <c r="F129" s="327"/>
    </row>
    <row r="130" spans="1:6">
      <c r="A130" s="1258" t="s">
        <v>284</v>
      </c>
      <c r="B130" s="1259">
        <v>0</v>
      </c>
      <c r="C130" s="327"/>
      <c r="D130" s="327"/>
      <c r="E130" s="327"/>
      <c r="F130" s="327"/>
    </row>
    <row r="131" spans="1:6">
      <c r="A131" s="1258" t="s">
        <v>285</v>
      </c>
      <c r="B131" s="1259">
        <v>0</v>
      </c>
      <c r="C131" s="327"/>
      <c r="D131" s="327"/>
      <c r="E131" s="327"/>
      <c r="F131" s="327"/>
    </row>
    <row r="132" spans="1:6">
      <c r="A132" s="1253" t="s">
        <v>286</v>
      </c>
      <c r="B132" s="1254">
        <v>15</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173391.36030173211</v>
      </c>
      <c r="C3" s="44" t="s">
        <v>163</v>
      </c>
      <c r="D3" s="44"/>
      <c r="E3" s="157"/>
      <c r="F3" s="44"/>
      <c r="G3" s="44"/>
      <c r="H3" s="44"/>
      <c r="I3" s="44"/>
      <c r="J3" s="44"/>
      <c r="K3" s="97"/>
    </row>
    <row r="4" spans="1:11">
      <c r="A4" s="352" t="s">
        <v>164</v>
      </c>
      <c r="B4" s="50">
        <f>IF(ISERROR('SEAP template'!B78+'SEAP template'!C78),0,'SEAP template'!B78+'SEAP template'!C78)</f>
        <v>20915.245912224305</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0</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0.19434198579122977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5.1964285714285703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2117.1610000000001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2117.1610000000001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0.19434198579122977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411.4532729797458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54003.17</v>
      </c>
      <c r="C5" s="18">
        <f>IF(ISERROR('Eigen informatie GS &amp; warmtenet'!B57),0,'Eigen informatie GS &amp; warmtenet'!B57)</f>
        <v>0</v>
      </c>
      <c r="D5" s="31">
        <f>(SUM(HH_hh_gas_kWh,HH_rest_gas_kWh)/1000)*0.902</f>
        <v>118465.32185400001</v>
      </c>
      <c r="E5" s="18">
        <f>B32*B41</f>
        <v>2673.5535100111206</v>
      </c>
      <c r="F5" s="18">
        <f>B36*B45</f>
        <v>81508.884403397577</v>
      </c>
      <c r="G5" s="19"/>
      <c r="H5" s="18"/>
      <c r="I5" s="18"/>
      <c r="J5" s="18">
        <f>B35*B44+C35*C44</f>
        <v>1478.9503060684481</v>
      </c>
      <c r="K5" s="18"/>
      <c r="L5" s="18"/>
      <c r="M5" s="18"/>
      <c r="N5" s="18">
        <f>B34*B43+C34*C43</f>
        <v>18027.580044242506</v>
      </c>
      <c r="O5" s="18">
        <f>B52*B53*B54</f>
        <v>298.59666666666669</v>
      </c>
      <c r="P5" s="18">
        <f>B60*B61*B62/1000-B60*B61*B62/1000/B63</f>
        <v>514.79999999999995</v>
      </c>
    </row>
    <row r="6" spans="1:16">
      <c r="A6" s="17" t="s">
        <v>597</v>
      </c>
      <c r="B6" s="731">
        <f>kWh_PV_kleiner_dan_10kW</f>
        <v>8549.9775203158697</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62553.14752031587</v>
      </c>
      <c r="C8" s="22">
        <f>C5</f>
        <v>0</v>
      </c>
      <c r="D8" s="22">
        <f>D5</f>
        <v>118465.32185400001</v>
      </c>
      <c r="E8" s="22">
        <f>E5</f>
        <v>2673.5535100111206</v>
      </c>
      <c r="F8" s="22">
        <f>F5</f>
        <v>81508.884403397577</v>
      </c>
      <c r="G8" s="22"/>
      <c r="H8" s="22"/>
      <c r="I8" s="22"/>
      <c r="J8" s="22">
        <f>J5</f>
        <v>1478.9503060684481</v>
      </c>
      <c r="K8" s="22"/>
      <c r="L8" s="22">
        <f>L5</f>
        <v>0</v>
      </c>
      <c r="M8" s="22">
        <f>M5</f>
        <v>0</v>
      </c>
      <c r="N8" s="22">
        <f>N5</f>
        <v>18027.580044242506</v>
      </c>
      <c r="O8" s="22">
        <f>O5</f>
        <v>298.59666666666669</v>
      </c>
      <c r="P8" s="22">
        <f>P5</f>
        <v>514.79999999999995</v>
      </c>
    </row>
    <row r="9" spans="1:16">
      <c r="B9" s="20"/>
      <c r="C9" s="20"/>
      <c r="D9" s="258"/>
      <c r="E9" s="20"/>
      <c r="F9" s="20"/>
      <c r="G9" s="20"/>
      <c r="H9" s="20"/>
      <c r="I9" s="20"/>
      <c r="J9" s="20"/>
      <c r="K9" s="20"/>
      <c r="L9" s="20"/>
      <c r="M9" s="20"/>
      <c r="N9" s="20"/>
      <c r="O9" s="20"/>
      <c r="P9" s="20"/>
    </row>
    <row r="10" spans="1:16">
      <c r="A10" s="25" t="s">
        <v>207</v>
      </c>
      <c r="B10" s="26">
        <f ca="1">'EF ele_warmte'!B12</f>
        <v>0.19434198579122977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12156.702906589926</v>
      </c>
      <c r="C12" s="24">
        <f ca="1">C10*C8</f>
        <v>0</v>
      </c>
      <c r="D12" s="24">
        <f>D8*D10</f>
        <v>23929.995014508004</v>
      </c>
      <c r="E12" s="24">
        <f>E10*E8</f>
        <v>606.89664677252438</v>
      </c>
      <c r="F12" s="24">
        <f>F10*F8</f>
        <v>21762.872135707155</v>
      </c>
      <c r="G12" s="24"/>
      <c r="H12" s="24"/>
      <c r="I12" s="24"/>
      <c r="J12" s="24">
        <f>J10*J8</f>
        <v>523.54840834823062</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12544</v>
      </c>
      <c r="C26" s="37"/>
      <c r="D26" s="228"/>
    </row>
    <row r="27" spans="1:5" s="16" customFormat="1">
      <c r="A27" s="230" t="s">
        <v>623</v>
      </c>
      <c r="B27" s="38">
        <f>SUM(HH_hh_gas_aantal,HH_rest_gas_aantal)</f>
        <v>7765</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7376.75</v>
      </c>
      <c r="C31" s="35" t="s">
        <v>104</v>
      </c>
      <c r="D31" s="174"/>
    </row>
    <row r="32" spans="1:5">
      <c r="A32" s="171" t="s">
        <v>72</v>
      </c>
      <c r="B32" s="34">
        <f>IF((B21*($B$26-($B$27-0.05*$B$27)-$B$60))&lt;0,0,B21*($B$26-($B$27-0.05*$B$27)-$B$60))</f>
        <v>126.32334295405747</v>
      </c>
      <c r="C32" s="35" t="s">
        <v>104</v>
      </c>
      <c r="D32" s="174"/>
    </row>
    <row r="33" spans="1:6">
      <c r="A33" s="171" t="s">
        <v>73</v>
      </c>
      <c r="B33" s="34">
        <f>IF((B22*($B$26-($B$27-0.05*$B$27)-$B$60))&lt;0,0,B22*($B$26-($B$27-0.05*$B$27)-$B$60))</f>
        <v>850.30425508797521</v>
      </c>
      <c r="C33" s="35" t="s">
        <v>104</v>
      </c>
      <c r="D33" s="174"/>
    </row>
    <row r="34" spans="1:6">
      <c r="A34" s="171" t="s">
        <v>74</v>
      </c>
      <c r="B34" s="34">
        <f>IF((B24*($B$26-($B$27-0.05*$B$27)-$B$60))&lt;0,0,B24*($B$26-($B$27-0.05*$B$27)-$B$60))</f>
        <v>215.65508188001681</v>
      </c>
      <c r="C34" s="34">
        <f>B26*C24</f>
        <v>2565.2771982808422</v>
      </c>
      <c r="D34" s="233"/>
    </row>
    <row r="35" spans="1:6">
      <c r="A35" s="171" t="s">
        <v>76</v>
      </c>
      <c r="B35" s="34">
        <f>IF((B19*($B$26-($B$27-0.05*$B$27)-$B$60))&lt;0,0,B19*($B$26-($B$27-0.05*$B$27)-$B$60))</f>
        <v>80.173734843989777</v>
      </c>
      <c r="C35" s="34">
        <f>B35/2</f>
        <v>40.086867421994889</v>
      </c>
      <c r="D35" s="233"/>
    </row>
    <row r="36" spans="1:6">
      <c r="A36" s="171" t="s">
        <v>77</v>
      </c>
      <c r="B36" s="34">
        <f>IF((B18*($B$26-($B$27-0.05*$B$27)-$B$60))&lt;0,0,B18*($B$26-($B$27-0.05*$B$27)-$B$60))</f>
        <v>3867.7935852339592</v>
      </c>
      <c r="C36" s="35" t="s">
        <v>104</v>
      </c>
      <c r="D36" s="174"/>
    </row>
    <row r="37" spans="1:6">
      <c r="A37" s="171" t="s">
        <v>78</v>
      </c>
      <c r="B37" s="34">
        <f>B60</f>
        <v>27</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191</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27</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43223.773000000001</v>
      </c>
      <c r="C5" s="18">
        <f>IF(ISERROR('Eigen informatie GS &amp; warmtenet'!B58),0,'Eigen informatie GS &amp; warmtenet'!B58)</f>
        <v>0</v>
      </c>
      <c r="D5" s="31">
        <f>SUM(D6:D12)</f>
        <v>41562.273016000006</v>
      </c>
      <c r="E5" s="18">
        <f>SUM(E6:E12)</f>
        <v>307.59327584900467</v>
      </c>
      <c r="F5" s="18">
        <f>SUM(F6:F12)</f>
        <v>9801.3578331586978</v>
      </c>
      <c r="G5" s="19"/>
      <c r="H5" s="18"/>
      <c r="I5" s="18"/>
      <c r="J5" s="18">
        <f>SUM(J6:J12)</f>
        <v>0</v>
      </c>
      <c r="K5" s="18"/>
      <c r="L5" s="18"/>
      <c r="M5" s="18"/>
      <c r="N5" s="18">
        <f>SUM(N6:N12)</f>
        <v>3280.075584291701</v>
      </c>
      <c r="O5" s="18">
        <f>B38*B39*B40</f>
        <v>0</v>
      </c>
      <c r="P5" s="18">
        <f>B46*B47*B48/1000-B46*B47*B48/1000/B49</f>
        <v>0</v>
      </c>
      <c r="R5" s="33"/>
    </row>
    <row r="6" spans="1:18">
      <c r="A6" s="33" t="s">
        <v>53</v>
      </c>
      <c r="B6" s="38">
        <f>B26</f>
        <v>11262.656000000001</v>
      </c>
      <c r="C6" s="34"/>
      <c r="D6" s="38">
        <f>IF(ISERROR(TER_kantoor_gas_kWh/1000),0,TER_kantoor_gas_kWh/1000)*0.902</f>
        <v>9835.2916420000001</v>
      </c>
      <c r="E6" s="34">
        <f>$C$26*'E Balans VL '!I12/100/3.6*1000000</f>
        <v>18.397887256980635</v>
      </c>
      <c r="F6" s="34">
        <f>$C$26*('E Balans VL '!L12+'E Balans VL '!N12)/100/3.6*1000000</f>
        <v>1323.1596853751737</v>
      </c>
      <c r="G6" s="35"/>
      <c r="H6" s="34"/>
      <c r="I6" s="34"/>
      <c r="J6" s="34">
        <f>$C$26*('E Balans VL '!D12+'E Balans VL '!E12)/100/3.6*1000000</f>
        <v>0</v>
      </c>
      <c r="K6" s="34"/>
      <c r="L6" s="34"/>
      <c r="M6" s="34"/>
      <c r="N6" s="34">
        <f>$C$26*'E Balans VL '!Y12/100/3.6*1000000</f>
        <v>82.006540719375579</v>
      </c>
      <c r="O6" s="34"/>
      <c r="P6" s="34"/>
      <c r="R6" s="33"/>
    </row>
    <row r="7" spans="1:18">
      <c r="A7" s="33" t="s">
        <v>52</v>
      </c>
      <c r="B7" s="38">
        <f t="shared" ref="B7:B12" si="0">B27</f>
        <v>3183.3220000000001</v>
      </c>
      <c r="C7" s="34"/>
      <c r="D7" s="38">
        <f>IF(ISERROR(TER_horeca_gas_kWh/1000),0,TER_horeca_gas_kWh/1000)*0.902</f>
        <v>3294.6677500000001</v>
      </c>
      <c r="E7" s="34">
        <f>$C$27*'E Balans VL '!I9/100/3.6*1000000</f>
        <v>164.69535977157634</v>
      </c>
      <c r="F7" s="34">
        <f>$C$27*('E Balans VL '!L9+'E Balans VL '!N9)/100/3.6*1000000</f>
        <v>724.25513344343096</v>
      </c>
      <c r="G7" s="35"/>
      <c r="H7" s="34"/>
      <c r="I7" s="34"/>
      <c r="J7" s="34">
        <f>$C$27*('E Balans VL '!D9+'E Balans VL '!E9)/100/3.6*1000000</f>
        <v>0</v>
      </c>
      <c r="K7" s="34"/>
      <c r="L7" s="34"/>
      <c r="M7" s="34"/>
      <c r="N7" s="34">
        <f>$C$27*'E Balans VL '!Y9/100/3.6*1000000</f>
        <v>0.33514816806870779</v>
      </c>
      <c r="O7" s="34"/>
      <c r="P7" s="34"/>
      <c r="R7" s="33"/>
    </row>
    <row r="8" spans="1:18">
      <c r="A8" s="6" t="s">
        <v>51</v>
      </c>
      <c r="B8" s="38">
        <f t="shared" si="0"/>
        <v>11947.819</v>
      </c>
      <c r="C8" s="34"/>
      <c r="D8" s="38">
        <f>IF(ISERROR(TER_handel_gas_kWh/1000),0,TER_handel_gas_kWh/1000)*0.902</f>
        <v>7114.7117140000009</v>
      </c>
      <c r="E8" s="34">
        <f>$C$28*'E Balans VL '!I13/100/3.6*1000000</f>
        <v>62.758858578831358</v>
      </c>
      <c r="F8" s="34">
        <f>$C$28*('E Balans VL '!L13+'E Balans VL '!N13)/100/3.6*1000000</f>
        <v>2252.5640185275388</v>
      </c>
      <c r="G8" s="35"/>
      <c r="H8" s="34"/>
      <c r="I8" s="34"/>
      <c r="J8" s="34">
        <f>$C$28*('E Balans VL '!D13+'E Balans VL '!E13)/100/3.6*1000000</f>
        <v>0</v>
      </c>
      <c r="K8" s="34"/>
      <c r="L8" s="34"/>
      <c r="M8" s="34"/>
      <c r="N8" s="34">
        <f>$C$28*'E Balans VL '!Y13/100/3.6*1000000</f>
        <v>59.231839372052768</v>
      </c>
      <c r="O8" s="34"/>
      <c r="P8" s="34"/>
      <c r="R8" s="33"/>
    </row>
    <row r="9" spans="1:18">
      <c r="A9" s="33" t="s">
        <v>50</v>
      </c>
      <c r="B9" s="38">
        <f t="shared" si="0"/>
        <v>8518.1759999999995</v>
      </c>
      <c r="C9" s="34"/>
      <c r="D9" s="38">
        <f>IF(ISERROR(TER_gezond_gas_kWh/1000),0,TER_gezond_gas_kWh/1000)*0.902</f>
        <v>12877.393980000001</v>
      </c>
      <c r="E9" s="34">
        <f>$C$29*'E Balans VL '!I10/100/3.6*1000000</f>
        <v>7.5619553015089407</v>
      </c>
      <c r="F9" s="34">
        <f>$C$29*('E Balans VL '!L10+'E Balans VL '!N10)/100/3.6*1000000</f>
        <v>2647.5786241015298</v>
      </c>
      <c r="G9" s="35"/>
      <c r="H9" s="34"/>
      <c r="I9" s="34"/>
      <c r="J9" s="34">
        <f>$C$29*('E Balans VL '!D10+'E Balans VL '!E10)/100/3.6*1000000</f>
        <v>0</v>
      </c>
      <c r="K9" s="34"/>
      <c r="L9" s="34"/>
      <c r="M9" s="34"/>
      <c r="N9" s="34">
        <f>$C$29*'E Balans VL '!Y10/100/3.6*1000000</f>
        <v>65.751731602884192</v>
      </c>
      <c r="O9" s="34"/>
      <c r="P9" s="34"/>
      <c r="R9" s="33"/>
    </row>
    <row r="10" spans="1:18">
      <c r="A10" s="33" t="s">
        <v>49</v>
      </c>
      <c r="B10" s="38">
        <f t="shared" si="0"/>
        <v>6452.3180000000002</v>
      </c>
      <c r="C10" s="34"/>
      <c r="D10" s="38">
        <f>IF(ISERROR(TER_ander_gas_kWh/1000),0,TER_ander_gas_kWh/1000)*0.902</f>
        <v>3580.8552119999999</v>
      </c>
      <c r="E10" s="34">
        <f>$C$30*'E Balans VL '!I14/100/3.6*1000000</f>
        <v>52.627911680567017</v>
      </c>
      <c r="F10" s="34">
        <f>$C$30*('E Balans VL '!L14+'E Balans VL '!N14)/100/3.6*1000000</f>
        <v>1880.7309024397227</v>
      </c>
      <c r="G10" s="35"/>
      <c r="H10" s="34"/>
      <c r="I10" s="34"/>
      <c r="J10" s="34">
        <f>$C$30*('E Balans VL '!D14+'E Balans VL '!E14)/100/3.6*1000000</f>
        <v>0</v>
      </c>
      <c r="K10" s="34"/>
      <c r="L10" s="34"/>
      <c r="M10" s="34"/>
      <c r="N10" s="34">
        <f>$C$30*'E Balans VL '!Y14/100/3.6*1000000</f>
        <v>3064.5634287357448</v>
      </c>
      <c r="O10" s="34"/>
      <c r="P10" s="34"/>
      <c r="R10" s="33"/>
    </row>
    <row r="11" spans="1:18">
      <c r="A11" s="33" t="s">
        <v>54</v>
      </c>
      <c r="B11" s="38">
        <f t="shared" si="0"/>
        <v>1859.482</v>
      </c>
      <c r="C11" s="34"/>
      <c r="D11" s="38">
        <f>IF(ISERROR(TER_onderwijs_gas_kWh/1000),0,TER_onderwijs_gas_kWh/1000)*0.902</f>
        <v>4859.3527180000001</v>
      </c>
      <c r="E11" s="34">
        <f>$C$31*'E Balans VL '!I11/100/3.6*1000000</f>
        <v>1.5513032595404177</v>
      </c>
      <c r="F11" s="34">
        <f>$C$31*('E Balans VL '!L11+'E Balans VL '!N11)/100/3.6*1000000</f>
        <v>973.06946927130093</v>
      </c>
      <c r="G11" s="35"/>
      <c r="H11" s="34"/>
      <c r="I11" s="34"/>
      <c r="J11" s="34">
        <f>$C$31*('E Balans VL '!D11+'E Balans VL '!E11)/100/3.6*1000000</f>
        <v>0</v>
      </c>
      <c r="K11" s="34"/>
      <c r="L11" s="34"/>
      <c r="M11" s="34"/>
      <c r="N11" s="34">
        <f>$C$31*'E Balans VL '!Y11/100/3.6*1000000</f>
        <v>8.1868956935750141</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488</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43223.773000000001</v>
      </c>
      <c r="C16" s="22">
        <f t="shared" ca="1" si="1"/>
        <v>0</v>
      </c>
      <c r="D16" s="22">
        <f t="shared" ca="1" si="1"/>
        <v>41562.273016000006</v>
      </c>
      <c r="E16" s="22">
        <f t="shared" si="1"/>
        <v>307.59327584900467</v>
      </c>
      <c r="F16" s="22">
        <f t="shared" ca="1" si="1"/>
        <v>9801.3578331586978</v>
      </c>
      <c r="G16" s="22">
        <f t="shared" si="1"/>
        <v>0</v>
      </c>
      <c r="H16" s="22">
        <f t="shared" si="1"/>
        <v>0</v>
      </c>
      <c r="I16" s="22">
        <f t="shared" si="1"/>
        <v>0</v>
      </c>
      <c r="J16" s="22">
        <f t="shared" si="1"/>
        <v>0</v>
      </c>
      <c r="K16" s="22">
        <f t="shared" si="1"/>
        <v>0</v>
      </c>
      <c r="L16" s="22">
        <f t="shared" ca="1" si="1"/>
        <v>0</v>
      </c>
      <c r="M16" s="22">
        <f t="shared" si="1"/>
        <v>0</v>
      </c>
      <c r="N16" s="22">
        <f t="shared" ca="1" si="1"/>
        <v>3280.075584291701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0.19434198579122977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8400.1938782093421</v>
      </c>
      <c r="C20" s="24">
        <f t="shared" ref="C20:P20" ca="1" si="2">C16*C18</f>
        <v>0</v>
      </c>
      <c r="D20" s="24">
        <f t="shared" ca="1" si="2"/>
        <v>8395.5791492320022</v>
      </c>
      <c r="E20" s="24">
        <f t="shared" si="2"/>
        <v>69.823673617724069</v>
      </c>
      <c r="F20" s="24">
        <f t="shared" ca="1" si="2"/>
        <v>2616.9625414533725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11262.656000000001</v>
      </c>
      <c r="C26" s="40">
        <f>IF(ISERROR(B26*3.6/1000000/'E Balans VL '!Z12*100),0,B26*3.6/1000000/'E Balans VL '!Z12*100)</f>
        <v>0.2387126285967793</v>
      </c>
      <c r="D26" s="236" t="s">
        <v>660</v>
      </c>
      <c r="F26" s="6"/>
    </row>
    <row r="27" spans="1:18">
      <c r="A27" s="231" t="s">
        <v>52</v>
      </c>
      <c r="B27" s="34">
        <f>IF(ISERROR(TER_horeca_ele_kWh/1000),0,TER_horeca_ele_kWh/1000)</f>
        <v>3183.3220000000001</v>
      </c>
      <c r="C27" s="40">
        <f>IF(ISERROR(B27*3.6/1000000/'E Balans VL '!Z9*100),0,B27*3.6/1000000/'E Balans VL '!Z9*100)</f>
        <v>0.24979987682139712</v>
      </c>
      <c r="D27" s="236" t="s">
        <v>660</v>
      </c>
      <c r="F27" s="6"/>
    </row>
    <row r="28" spans="1:18">
      <c r="A28" s="171" t="s">
        <v>51</v>
      </c>
      <c r="B28" s="34">
        <f>IF(ISERROR(TER_handel_ele_kWh/1000),0,TER_handel_ele_kWh/1000)</f>
        <v>11947.819</v>
      </c>
      <c r="C28" s="40">
        <f>IF(ISERROR(B28*3.6/1000000/'E Balans VL '!Z13*100),0,B28*3.6/1000000/'E Balans VL '!Z13*100)</f>
        <v>0.33366010884684555</v>
      </c>
      <c r="D28" s="236" t="s">
        <v>660</v>
      </c>
      <c r="F28" s="6"/>
    </row>
    <row r="29" spans="1:18">
      <c r="A29" s="231" t="s">
        <v>50</v>
      </c>
      <c r="B29" s="34">
        <f>IF(ISERROR(TER_gezond_ele_kWh/1000),0,TER_gezond_ele_kWh/1000)</f>
        <v>8518.1759999999995</v>
      </c>
      <c r="C29" s="40">
        <f>IF(ISERROR(B29*3.6/1000000/'E Balans VL '!Z10*100),0,B29*3.6/1000000/'E Balans VL '!Z10*100)</f>
        <v>0.976177241513973</v>
      </c>
      <c r="D29" s="236" t="s">
        <v>660</v>
      </c>
      <c r="F29" s="6"/>
    </row>
    <row r="30" spans="1:18">
      <c r="A30" s="231" t="s">
        <v>49</v>
      </c>
      <c r="B30" s="34">
        <f>IF(ISERROR(TER_ander_ele_kWh/1000),0,TER_ander_ele_kWh/1000)</f>
        <v>6452.3180000000002</v>
      </c>
      <c r="C30" s="40">
        <f>IF(ISERROR(B30*3.6/1000000/'E Balans VL '!Z14*100),0,B30*3.6/1000000/'E Balans VL '!Z14*100)</f>
        <v>0.48113027012150478</v>
      </c>
      <c r="D30" s="236" t="s">
        <v>660</v>
      </c>
      <c r="F30" s="6"/>
    </row>
    <row r="31" spans="1:18">
      <c r="A31" s="231" t="s">
        <v>54</v>
      </c>
      <c r="B31" s="34">
        <f>IF(ISERROR(TER_onderwijs_ele_kWh/1000),0,TER_onderwijs_ele_kWh/1000)</f>
        <v>1859.482</v>
      </c>
      <c r="C31" s="40">
        <f>IF(ISERROR(B31*3.6/1000000/'E Balans VL '!Z11*100),0,B31*3.6/1000000/'E Balans VL '!Z11*100)</f>
        <v>0.53144405670723882</v>
      </c>
      <c r="D31" s="236" t="s">
        <v>660</v>
      </c>
    </row>
    <row r="32" spans="1:18">
      <c r="A32" s="231" t="s">
        <v>249</v>
      </c>
      <c r="B32" s="34">
        <f>IF(ISERROR(TER_rest_ele_kWh/1000),0,TER_rest_ele_kWh/1000)</f>
        <v>0</v>
      </c>
      <c r="C32" s="40">
        <f>IF(ISERROR(B32*3.6/1000000/'E Balans VL '!Z8*100),0,B32*3.6/1000000/'E Balans VL '!Z8*100)</f>
        <v>0</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62288.539000000004</v>
      </c>
      <c r="C5" s="18">
        <f>IF(ISERROR('Eigen informatie GS &amp; warmtenet'!B59),0,'Eigen informatie GS &amp; warmtenet'!B59)</f>
        <v>0</v>
      </c>
      <c r="D5" s="31">
        <f>SUM(D6:D15)</f>
        <v>133540.95568000001</v>
      </c>
      <c r="E5" s="18">
        <f>SUM(E6:E15)</f>
        <v>563.2316162674307</v>
      </c>
      <c r="F5" s="18">
        <f>SUM(F6:F15)</f>
        <v>21288.953467728545</v>
      </c>
      <c r="G5" s="19"/>
      <c r="H5" s="18"/>
      <c r="I5" s="18"/>
      <c r="J5" s="18">
        <f>SUM(J6:J15)</f>
        <v>476.37849072530236</v>
      </c>
      <c r="K5" s="18"/>
      <c r="L5" s="18"/>
      <c r="M5" s="18"/>
      <c r="N5" s="18">
        <f>SUM(N6:N15)</f>
        <v>3478.8320236993177</v>
      </c>
      <c r="O5" s="18">
        <f>B43*B44*B45</f>
        <v>0</v>
      </c>
      <c r="P5" s="18">
        <f>B51*B52*B53/1000-B51*B52*B53/1000/B54</f>
        <v>0</v>
      </c>
      <c r="R5" s="33"/>
    </row>
    <row r="6" spans="1:18">
      <c r="A6" s="6" t="s">
        <v>34</v>
      </c>
      <c r="B6" s="38">
        <f>IF( ISERROR(IND_ijzer_ele_kWh/1000),0,IND_ijzer_ele_kWh/1000)</f>
        <v>4833.72</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28896.769</v>
      </c>
      <c r="C8" s="34"/>
      <c r="D8" s="38">
        <f>IF( ISERROR(IND_metaal_Gas_kWH/1000),0,IND_metaal_Gas_kWH/1000)*0.902</f>
        <v>57725.820768000005</v>
      </c>
      <c r="E8" s="34">
        <f>C30*'E Balans VL '!I18/100/3.6*1000000</f>
        <v>263.15766772822298</v>
      </c>
      <c r="F8" s="34">
        <f>C30*'E Balans VL '!L18/100/3.6*1000000+C30*'E Balans VL '!N18/100/3.6*1000000</f>
        <v>3811.2643852671135</v>
      </c>
      <c r="G8" s="35"/>
      <c r="H8" s="34"/>
      <c r="I8" s="34"/>
      <c r="J8" s="41">
        <f>C30*'E Balans VL '!D18/100/3.6*1000000+C30*'E Balans VL '!E18/100/3.6*1000000</f>
        <v>473.86505500222381</v>
      </c>
      <c r="K8" s="34"/>
      <c r="L8" s="34"/>
      <c r="M8" s="34"/>
      <c r="N8" s="34">
        <f>C30*'E Balans VL '!Y18/100/3.6*1000000</f>
        <v>99.306715840961147</v>
      </c>
      <c r="O8" s="34"/>
      <c r="P8" s="34"/>
      <c r="R8" s="33"/>
    </row>
    <row r="9" spans="1:18">
      <c r="A9" s="6" t="s">
        <v>32</v>
      </c>
      <c r="B9" s="38">
        <f t="shared" si="0"/>
        <v>20769.138999999999</v>
      </c>
      <c r="C9" s="34"/>
      <c r="D9" s="38">
        <f>IF( ISERROR(IND_andere_gas_kWh/1000),0,IND_andere_gas_kWh/1000)*0.902</f>
        <v>13501.895484000001</v>
      </c>
      <c r="E9" s="34">
        <f>C31*'E Balans VL '!I19/100/3.6*1000000</f>
        <v>120.04872711110804</v>
      </c>
      <c r="F9" s="34">
        <f>C31*'E Balans VL '!L19/100/3.6*1000000+C31*'E Balans VL '!N19/100/3.6*1000000</f>
        <v>16522.8494459221</v>
      </c>
      <c r="G9" s="35"/>
      <c r="H9" s="34"/>
      <c r="I9" s="34"/>
      <c r="J9" s="41">
        <f>C31*'E Balans VL '!D19/100/3.6*1000000+C31*'E Balans VL '!E19/100/3.6*1000000</f>
        <v>1.9645298523382049</v>
      </c>
      <c r="K9" s="34"/>
      <c r="L9" s="34"/>
      <c r="M9" s="34"/>
      <c r="N9" s="34">
        <f>C31*'E Balans VL '!Y19/100/3.6*1000000</f>
        <v>1573.5765850118153</v>
      </c>
      <c r="O9" s="34"/>
      <c r="P9" s="34"/>
      <c r="R9" s="33"/>
    </row>
    <row r="10" spans="1:18">
      <c r="A10" s="6" t="s">
        <v>40</v>
      </c>
      <c r="B10" s="38">
        <f t="shared" si="0"/>
        <v>632.33699999999999</v>
      </c>
      <c r="C10" s="34"/>
      <c r="D10" s="38">
        <f>IF( ISERROR(IND_voed_gas_kWh/1000),0,IND_voed_gas_kWh/1000)*0.902</f>
        <v>1031.1095740000001</v>
      </c>
      <c r="E10" s="34">
        <f>C32*'E Balans VL '!I20/100/3.6*1000000</f>
        <v>6.2175269992738889</v>
      </c>
      <c r="F10" s="34">
        <f>C32*'E Balans VL '!L20/100/3.6*1000000+C32*'E Balans VL '!N20/100/3.6*1000000</f>
        <v>70.229277519996643</v>
      </c>
      <c r="G10" s="35"/>
      <c r="H10" s="34"/>
      <c r="I10" s="34"/>
      <c r="J10" s="41">
        <f>C32*'E Balans VL '!D20/100/3.6*1000000+C32*'E Balans VL '!E20/100/3.6*1000000</f>
        <v>2.4923271807247146E-3</v>
      </c>
      <c r="K10" s="34"/>
      <c r="L10" s="34"/>
      <c r="M10" s="34"/>
      <c r="N10" s="34">
        <f>C32*'E Balans VL '!Y20/100/3.6*1000000</f>
        <v>9.3634235565911332</v>
      </c>
      <c r="O10" s="34"/>
      <c r="P10" s="34"/>
      <c r="R10" s="33"/>
    </row>
    <row r="11" spans="1:18">
      <c r="A11" s="6" t="s">
        <v>39</v>
      </c>
      <c r="B11" s="38">
        <f t="shared" si="0"/>
        <v>1612.1859999999999</v>
      </c>
      <c r="C11" s="34"/>
      <c r="D11" s="38">
        <f>IF( ISERROR(IND_textiel_gas_kWh/1000),0,IND_textiel_gas_kWh/1000)*0.902</f>
        <v>3518.1337400000002</v>
      </c>
      <c r="E11" s="34">
        <f>C33*'E Balans VL '!I21/100/3.6*1000000</f>
        <v>3.1393005026262824</v>
      </c>
      <c r="F11" s="34">
        <f>C33*'E Balans VL '!L21/100/3.6*1000000+C33*'E Balans VL '!N21/100/3.6*1000000</f>
        <v>53.175184674134364</v>
      </c>
      <c r="G11" s="35"/>
      <c r="H11" s="34"/>
      <c r="I11" s="34"/>
      <c r="J11" s="41">
        <f>C33*'E Balans VL '!D21/100/3.6*1000000+C33*'E Balans VL '!E21/100/3.6*1000000</f>
        <v>0</v>
      </c>
      <c r="K11" s="34"/>
      <c r="L11" s="34"/>
      <c r="M11" s="34"/>
      <c r="N11" s="34">
        <f>C33*'E Balans VL '!Y21/100/3.6*1000000</f>
        <v>16.722609155010481</v>
      </c>
      <c r="O11" s="34"/>
      <c r="P11" s="34"/>
      <c r="R11" s="33"/>
    </row>
    <row r="12" spans="1:18">
      <c r="A12" s="6" t="s">
        <v>36</v>
      </c>
      <c r="B12" s="38">
        <f t="shared" si="0"/>
        <v>35.320999999999998</v>
      </c>
      <c r="C12" s="34"/>
      <c r="D12" s="38">
        <f>IF( ISERROR(IND_min_gas_kWh/1000),0,IND_min_gas_kWh/1000)*0.902</f>
        <v>57.187702000000002</v>
      </c>
      <c r="E12" s="34">
        <f>C34*'E Balans VL '!I22/100/3.6*1000000</f>
        <v>0.89545020354564553</v>
      </c>
      <c r="F12" s="34">
        <f>C34*'E Balans VL '!L22/100/3.6*1000000+C34*'E Balans VL '!N22/100/3.6*1000000</f>
        <v>9.7734438145341631</v>
      </c>
      <c r="G12" s="35"/>
      <c r="H12" s="34"/>
      <c r="I12" s="34"/>
      <c r="J12" s="41">
        <f>C34*'E Balans VL '!D22/100/3.6*1000000+C34*'E Balans VL '!E22/100/3.6*1000000</f>
        <v>0.23326698178772198</v>
      </c>
      <c r="K12" s="34"/>
      <c r="L12" s="34"/>
      <c r="M12" s="34"/>
      <c r="N12" s="34">
        <f>C34*'E Balans VL '!Y22/100/3.6*1000000</f>
        <v>0</v>
      </c>
      <c r="O12" s="34"/>
      <c r="P12" s="34"/>
      <c r="R12" s="33"/>
    </row>
    <row r="13" spans="1:18">
      <c r="A13" s="6" t="s">
        <v>38</v>
      </c>
      <c r="B13" s="38">
        <f t="shared" si="0"/>
        <v>4831.2560000000003</v>
      </c>
      <c r="C13" s="34"/>
      <c r="D13" s="38">
        <f>IF( ISERROR(IND_papier_gas_kWh/1000),0,IND_papier_gas_kWh/1000)*0.902</f>
        <v>2116.791952</v>
      </c>
      <c r="E13" s="34">
        <f>C35*'E Balans VL '!I23/100/3.6*1000000</f>
        <v>164.55958422831768</v>
      </c>
      <c r="F13" s="34">
        <f>C35*'E Balans VL '!L23/100/3.6*1000000+C35*'E Balans VL '!N23/100/3.6*1000000</f>
        <v>798.01010406240243</v>
      </c>
      <c r="G13" s="35"/>
      <c r="H13" s="34"/>
      <c r="I13" s="34"/>
      <c r="J13" s="41">
        <f>C35*'E Balans VL '!D23/100/3.6*1000000+C35*'E Balans VL '!E23/100/3.6*1000000</f>
        <v>0</v>
      </c>
      <c r="K13" s="34"/>
      <c r="L13" s="34"/>
      <c r="M13" s="34"/>
      <c r="N13" s="34">
        <f>C35*'E Balans VL '!Y23/100/3.6*1000000</f>
        <v>1777.7726437579065</v>
      </c>
      <c r="O13" s="34"/>
      <c r="P13" s="34"/>
      <c r="R13" s="33"/>
    </row>
    <row r="14" spans="1:18">
      <c r="A14" s="6" t="s">
        <v>33</v>
      </c>
      <c r="B14" s="38">
        <f t="shared" si="0"/>
        <v>615.54</v>
      </c>
      <c r="C14" s="34"/>
      <c r="D14" s="38">
        <f>IF( ISERROR(IND_chemie_gas_kWh/1000),0,IND_chemie_gas_kWh/1000)*0.902</f>
        <v>792.20675600000004</v>
      </c>
      <c r="E14" s="34">
        <f>C36*'E Balans VL '!I24/100/3.6*1000000</f>
        <v>4.6538115334527825</v>
      </c>
      <c r="F14" s="34">
        <f>C36*'E Balans VL '!L24/100/3.6*1000000+C36*'E Balans VL '!N24/100/3.6*1000000</f>
        <v>11.389191853456683</v>
      </c>
      <c r="G14" s="35"/>
      <c r="H14" s="34"/>
      <c r="I14" s="34"/>
      <c r="J14" s="41">
        <f>C36*'E Balans VL '!D24/100/3.6*1000000+C36*'E Balans VL '!E24/100/3.6*1000000</f>
        <v>0</v>
      </c>
      <c r="K14" s="34"/>
      <c r="L14" s="34"/>
      <c r="M14" s="34"/>
      <c r="N14" s="34">
        <f>C36*'E Balans VL '!Y24/100/3.6*1000000</f>
        <v>0.17849072760032828</v>
      </c>
      <c r="O14" s="34"/>
      <c r="P14" s="34"/>
      <c r="R14" s="33"/>
    </row>
    <row r="15" spans="1:18">
      <c r="A15" s="6" t="s">
        <v>259</v>
      </c>
      <c r="B15" s="38">
        <f t="shared" si="0"/>
        <v>62.271000000000001</v>
      </c>
      <c r="C15" s="34"/>
      <c r="D15" s="38">
        <f>IF( ISERROR(IND_rest_gas_kWh/1000),0,IND_rest_gas_kWh/1000)*0.902</f>
        <v>54797.809703999999</v>
      </c>
      <c r="E15" s="34">
        <f>C37*'E Balans VL '!I15/100/3.6*1000000</f>
        <v>0.55954796088348513</v>
      </c>
      <c r="F15" s="34">
        <f>C37*'E Balans VL '!L15/100/3.6*1000000+C37*'E Balans VL '!N15/100/3.6*1000000</f>
        <v>12.2624346148028</v>
      </c>
      <c r="G15" s="35"/>
      <c r="H15" s="34"/>
      <c r="I15" s="34"/>
      <c r="J15" s="41">
        <f>C37*'E Balans VL '!D15/100/3.6*1000000+C37*'E Balans VL '!E15/100/3.6*1000000</f>
        <v>0.31314656177185102</v>
      </c>
      <c r="K15" s="34"/>
      <c r="L15" s="34"/>
      <c r="M15" s="34"/>
      <c r="N15" s="34">
        <f>C37*'E Balans VL '!Y15/100/3.6*1000000</f>
        <v>1.9115556494323929</v>
      </c>
      <c r="O15" s="34"/>
      <c r="P15" s="34"/>
      <c r="R15" s="33"/>
    </row>
    <row r="16" spans="1:18">
      <c r="A16" s="17" t="s">
        <v>488</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62288.539000000004</v>
      </c>
      <c r="C18" s="22">
        <f>C5+C16</f>
        <v>0</v>
      </c>
      <c r="D18" s="22">
        <f>MAX((D5+D16),0)</f>
        <v>133540.95568000001</v>
      </c>
      <c r="E18" s="22">
        <f>MAX((E5+E16),0)</f>
        <v>563.2316162674307</v>
      </c>
      <c r="F18" s="22">
        <f>MAX((F5+F16),0)</f>
        <v>21288.953467728545</v>
      </c>
      <c r="G18" s="22"/>
      <c r="H18" s="22"/>
      <c r="I18" s="22"/>
      <c r="J18" s="22">
        <f>MAX((J5+J16),0)</f>
        <v>476.37849072530236</v>
      </c>
      <c r="K18" s="22"/>
      <c r="L18" s="22">
        <f>MAX((L5+L16),0)</f>
        <v>0</v>
      </c>
      <c r="M18" s="22"/>
      <c r="N18" s="22">
        <f>MAX((N5+N16),0)</f>
        <v>3478.8320236993177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0.19434198579122977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12105.278361294462</v>
      </c>
      <c r="C22" s="24">
        <f ca="1">C18*C20</f>
        <v>0</v>
      </c>
      <c r="D22" s="24">
        <f>D18*D20</f>
        <v>26975.273047360006</v>
      </c>
      <c r="E22" s="24">
        <f>E18*E20</f>
        <v>127.85357689270677</v>
      </c>
      <c r="F22" s="24">
        <f>F18*F20</f>
        <v>5684.1505758835219</v>
      </c>
      <c r="G22" s="24"/>
      <c r="H22" s="24"/>
      <c r="I22" s="24"/>
      <c r="J22" s="24">
        <f>J18*J20</f>
        <v>168.63798571675702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28896.769</v>
      </c>
      <c r="C30" s="40">
        <f>IF(ISERROR(B30*3.6/1000000/'E Balans VL '!Z18*100),0,B30*3.6/1000000/'E Balans VL '!Z18*100)</f>
        <v>1.607911963813569</v>
      </c>
      <c r="D30" s="236" t="s">
        <v>660</v>
      </c>
    </row>
    <row r="31" spans="1:18">
      <c r="A31" s="6" t="s">
        <v>32</v>
      </c>
      <c r="B31" s="38">
        <f>IF( ISERROR(IND_ander_ele_kWh/1000),0,IND_ander_ele_kWh/1000)</f>
        <v>20769.138999999999</v>
      </c>
      <c r="C31" s="40">
        <f>IF(ISERROR(B31*3.6/1000000/'E Balans VL '!Z19*100),0,B31*3.6/1000000/'E Balans VL '!Z19*100)</f>
        <v>0.96550272606382781</v>
      </c>
      <c r="D31" s="236" t="s">
        <v>660</v>
      </c>
    </row>
    <row r="32" spans="1:18">
      <c r="A32" s="171" t="s">
        <v>40</v>
      </c>
      <c r="B32" s="38">
        <f>IF( ISERROR(IND_voed_ele_kWh/1000),0,IND_voed_ele_kWh/1000)</f>
        <v>632.33699999999999</v>
      </c>
      <c r="C32" s="40">
        <f>IF(ISERROR(B32*3.6/1000000/'E Balans VL '!Z20*100),0,B32*3.6/1000000/'E Balans VL '!Z20*100)</f>
        <v>2.2351835891344506E-2</v>
      </c>
      <c r="D32" s="236" t="s">
        <v>660</v>
      </c>
    </row>
    <row r="33" spans="1:5">
      <c r="A33" s="171" t="s">
        <v>39</v>
      </c>
      <c r="B33" s="38">
        <f>IF( ISERROR(IND_textiel_ele_kWh/1000),0,IND_textiel_ele_kWh/1000)</f>
        <v>1612.1859999999999</v>
      </c>
      <c r="C33" s="40">
        <f>IF(ISERROR(B33*3.6/1000000/'E Balans VL '!Z21*100),0,B33*3.6/1000000/'E Balans VL '!Z21*100)</f>
        <v>0.21775018250818437</v>
      </c>
      <c r="D33" s="236" t="s">
        <v>660</v>
      </c>
    </row>
    <row r="34" spans="1:5">
      <c r="A34" s="171" t="s">
        <v>36</v>
      </c>
      <c r="B34" s="38">
        <f>IF( ISERROR(IND_min_ele_kWh/1000),0,IND_min_ele_kWh/1000)</f>
        <v>35.320999999999998</v>
      </c>
      <c r="C34" s="40">
        <f>IF(ISERROR(B34*3.6/1000000/'E Balans VL '!Z22*100),0,B34*3.6/1000000/'E Balans VL '!Z22*100)</f>
        <v>7.0985249814495902E-3</v>
      </c>
      <c r="D34" s="236" t="s">
        <v>660</v>
      </c>
    </row>
    <row r="35" spans="1:5">
      <c r="A35" s="171" t="s">
        <v>38</v>
      </c>
      <c r="B35" s="38">
        <f>IF( ISERROR(IND_papier_ele_kWh/1000),0,IND_papier_ele_kWh/1000)</f>
        <v>4831.2560000000003</v>
      </c>
      <c r="C35" s="40">
        <f>IF(ISERROR(B35*3.6/1000000/'E Balans VL '!Z22*100),0,B35*3.6/1000000/'E Balans VL '!Z22*100)</f>
        <v>0.97094621918343815</v>
      </c>
      <c r="D35" s="236" t="s">
        <v>660</v>
      </c>
    </row>
    <row r="36" spans="1:5">
      <c r="A36" s="171" t="s">
        <v>33</v>
      </c>
      <c r="B36" s="38">
        <f>IF( ISERROR(IND_chemie_ele_kWh/1000),0,IND_chemie_ele_kWh/1000)</f>
        <v>615.54</v>
      </c>
      <c r="C36" s="40">
        <f>IF(ISERROR(B36*3.6/1000000/'E Balans VL '!Z24*100),0,B36*3.6/1000000/'E Balans VL '!Z24*100)</f>
        <v>1.5157810281378616E-2</v>
      </c>
      <c r="D36" s="236" t="s">
        <v>660</v>
      </c>
    </row>
    <row r="37" spans="1:5">
      <c r="A37" s="171" t="s">
        <v>259</v>
      </c>
      <c r="B37" s="38">
        <f>IF( ISERROR(IND_rest_ele_kWh/1000),0,IND_rest_ele_kWh/1000)</f>
        <v>62.271000000000001</v>
      </c>
      <c r="C37" s="40">
        <f>IF(ISERROR(B37*3.6/1000000/'E Balans VL '!Z15*100),0,B37*3.6/1000000/'E Balans VL '!Z15*100)</f>
        <v>4.7023803817698918E-4</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2280.9540000000002</v>
      </c>
      <c r="C5" s="18">
        <f>'Eigen informatie GS &amp; warmtenet'!B60</f>
        <v>0</v>
      </c>
      <c r="D5" s="31">
        <f>IF(ISERROR(SUM(LB_lb_gas_kWh,LB_rest_gas_kWh)/1000),0,SUM(LB_lb_gas_kWh,LB_rest_gas_kWh)/1000)*0.902</f>
        <v>1462.8203040000001</v>
      </c>
      <c r="E5" s="18">
        <f>B17*'E Balans VL '!I25/3.6*1000000/100</f>
        <v>22.524835902802369</v>
      </c>
      <c r="F5" s="18">
        <f>B17*('E Balans VL '!L25/3.6*1000000+'E Balans VL '!N25/3.6*1000000)/100</f>
        <v>7609.8660797959174</v>
      </c>
      <c r="G5" s="19"/>
      <c r="H5" s="18"/>
      <c r="I5" s="18"/>
      <c r="J5" s="18">
        <f>('E Balans VL '!D25+'E Balans VL '!E25)/3.6*1000000*landbouw!B17/100</f>
        <v>227.56997733401775</v>
      </c>
      <c r="K5" s="18"/>
      <c r="L5" s="18">
        <f>L6*(-1)</f>
        <v>0</v>
      </c>
      <c r="M5" s="18"/>
      <c r="N5" s="18">
        <f>N6*(-1)</f>
        <v>10.392857142857142</v>
      </c>
      <c r="O5" s="18"/>
      <c r="P5" s="18"/>
      <c r="R5" s="33"/>
    </row>
    <row r="6" spans="1:18">
      <c r="A6" s="17" t="s">
        <v>488</v>
      </c>
      <c r="B6" s="18" t="s">
        <v>204</v>
      </c>
      <c r="C6" s="18">
        <f>'lokale energieproductie'!O39+'lokale energieproductie'!O32</f>
        <v>5.1964285714285703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2280.9540000000002</v>
      </c>
      <c r="C8" s="22">
        <f>C5+C6</f>
        <v>5.1964285714285703</v>
      </c>
      <c r="D8" s="22">
        <f>MAX((D5+D6),0)</f>
        <v>1462.8203040000001</v>
      </c>
      <c r="E8" s="22">
        <f>MAX((E5+E6),0)</f>
        <v>22.524835902802369</v>
      </c>
      <c r="F8" s="22">
        <f>MAX((F5+F6),0)</f>
        <v>7609.8660797959174</v>
      </c>
      <c r="G8" s="22"/>
      <c r="H8" s="22"/>
      <c r="I8" s="22"/>
      <c r="J8" s="22">
        <f>MAX((J5+J6),0)</f>
        <v>227.56997733401775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0.19434198579122977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443.28512985844873</v>
      </c>
      <c r="C12" s="24">
        <f ca="1">C8*C10</f>
        <v>0</v>
      </c>
      <c r="D12" s="24">
        <f>D8*D10</f>
        <v>295.48970140800003</v>
      </c>
      <c r="E12" s="24">
        <f>E8*E10</f>
        <v>5.1131377499361381</v>
      </c>
      <c r="F12" s="24">
        <f>F8*F10</f>
        <v>2031.83424330551</v>
      </c>
      <c r="G12" s="24"/>
      <c r="H12" s="24"/>
      <c r="I12" s="24"/>
      <c r="J12" s="24">
        <f>J8*J10</f>
        <v>80.559771976242274</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0.30880472312022744</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472.69974315023296</v>
      </c>
      <c r="C26" s="246">
        <f>B26*'GWP N2O_CH4'!B5</f>
        <v>9926.6946061548915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185.92976288562514</v>
      </c>
      <c r="C27" s="246">
        <f>B27*'GWP N2O_CH4'!B5</f>
        <v>3904.5250205981279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8.9460347733898331</v>
      </c>
      <c r="C28" s="246">
        <f>B28*'GWP N2O_CH4'!B4</f>
        <v>2773.2707797508483</v>
      </c>
      <c r="D28" s="51"/>
    </row>
    <row r="29" spans="1:4">
      <c r="A29" s="42" t="s">
        <v>266</v>
      </c>
      <c r="B29" s="246">
        <f>B34*'ha_N2O bodem landbouw'!B4</f>
        <v>15.735335928862751</v>
      </c>
      <c r="C29" s="246">
        <f>B29*'GWP N2O_CH4'!B4</f>
        <v>4877.9541379474531</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4.2480453482191113E-3</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2.4678535552217723E-5</v>
      </c>
      <c r="C5" s="433" t="s">
        <v>204</v>
      </c>
      <c r="D5" s="418">
        <f>SUM(D6:D11)</f>
        <v>3.2549705859591157E-5</v>
      </c>
      <c r="E5" s="418">
        <f>SUM(E6:E11)</f>
        <v>2.0623452814989454E-3</v>
      </c>
      <c r="F5" s="431" t="s">
        <v>204</v>
      </c>
      <c r="G5" s="418">
        <f>SUM(G6:G11)</f>
        <v>0.45135298789675965</v>
      </c>
      <c r="H5" s="418">
        <f>SUM(H6:H11)</f>
        <v>8.2444910834194779E-2</v>
      </c>
      <c r="I5" s="433" t="s">
        <v>204</v>
      </c>
      <c r="J5" s="433" t="s">
        <v>204</v>
      </c>
      <c r="K5" s="433" t="s">
        <v>204</v>
      </c>
      <c r="L5" s="433" t="s">
        <v>204</v>
      </c>
      <c r="M5" s="418">
        <f>SUM(M6:M11)</f>
        <v>2.3859678479394096E-2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1.7277727511892001E-5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2.0039020730552124E-5</v>
      </c>
      <c r="E6" s="421">
        <f>vkm_GW_PW*SUMIFS(TableVerdeelsleutelVkm[LPG],TableVerdeelsleutelVkm[Voertuigtype],"Lichte voertuigen")*SUMIFS(TableECFTransport[EnergieConsumptieFactor (PJ per km)],TableECFTransport[Index],CONCATENATE($A6,"_LPG_LPG"))</f>
        <v>1.2970521670509832E-3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0.20450847846281228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5.1712687997337373E-2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1.1468476538660857E-2</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7.1092164059099848E-7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0.11760131632715326</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3.6650412126563011E-6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5.2328982721958307E-3</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6.618469896595124E-6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1.2510685129039031E-5</v>
      </c>
      <c r="E8" s="421">
        <f>vkm_NGW_PW*SUMIFS(TableVerdeelsleutelVkm[LPG],TableVerdeelsleutelVkm[Voertuigtype],"Lichte voertuigen")*SUMIFS(TableECFTransport[EnergieConsumptieFactor (PJ per km)],TableECFTransport[Index],CONCATENATE($A8,"_LPG_LPG"))</f>
        <v>7.6529311444796218E-4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0.11409384117644344</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3.072811339758328E-2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6.4842051921476891E-3</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7.1416503139596463E-8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1.5149351930350649E-2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4.4439806145541689E-7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6.7409847638971732E-4</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6.8551487645049232</v>
      </c>
      <c r="C14" s="22"/>
      <c r="D14" s="22">
        <f t="shared" ref="D14:M14" si="0">((D5)*10^9/3600)+D12</f>
        <v>9.0415849609975432</v>
      </c>
      <c r="E14" s="22">
        <f t="shared" si="0"/>
        <v>572.87368930526259</v>
      </c>
      <c r="F14" s="22"/>
      <c r="G14" s="22">
        <f t="shared" si="0"/>
        <v>125375.82997132212</v>
      </c>
      <c r="H14" s="22">
        <f t="shared" si="0"/>
        <v>22901.364120609662</v>
      </c>
      <c r="I14" s="22"/>
      <c r="J14" s="22"/>
      <c r="K14" s="22"/>
      <c r="L14" s="22"/>
      <c r="M14" s="22">
        <f t="shared" si="0"/>
        <v>6627.68846649836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0.19434198579122977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1.3322432237881821</v>
      </c>
      <c r="C18" s="24"/>
      <c r="D18" s="24">
        <f t="shared" ref="D18:M18" si="1">D14*D16</f>
        <v>1.8264001621215038</v>
      </c>
      <c r="E18" s="24">
        <f t="shared" si="1"/>
        <v>130.0423274722946</v>
      </c>
      <c r="F18" s="24"/>
      <c r="G18" s="24">
        <f t="shared" si="1"/>
        <v>33475.346602343008</v>
      </c>
      <c r="H18" s="24">
        <f t="shared" si="1"/>
        <v>5702.4396660318062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7.2409077546161784E-5</v>
      </c>
      <c r="C50" s="316">
        <f t="shared" ref="C50:P50" si="2">SUM(C51:C52)</f>
        <v>0</v>
      </c>
      <c r="D50" s="316">
        <f t="shared" si="2"/>
        <v>0</v>
      </c>
      <c r="E50" s="316">
        <f t="shared" si="2"/>
        <v>0</v>
      </c>
      <c r="F50" s="316">
        <f t="shared" si="2"/>
        <v>0</v>
      </c>
      <c r="G50" s="316">
        <f t="shared" si="2"/>
        <v>1.4442133675827506E-2</v>
      </c>
      <c r="H50" s="316">
        <f t="shared" si="2"/>
        <v>0</v>
      </c>
      <c r="I50" s="316">
        <f t="shared" si="2"/>
        <v>0</v>
      </c>
      <c r="J50" s="316">
        <f t="shared" si="2"/>
        <v>0</v>
      </c>
      <c r="K50" s="316">
        <f t="shared" si="2"/>
        <v>0</v>
      </c>
      <c r="L50" s="316">
        <f t="shared" si="2"/>
        <v>0</v>
      </c>
      <c r="M50" s="316">
        <f t="shared" si="2"/>
        <v>6.3832692697927506E-4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7.2409077546161784E-5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1.4442133675827506E-2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6.3832692697927506E-4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20.113632651711608</v>
      </c>
      <c r="C54" s="22">
        <f t="shared" ref="C54:P54" si="3">(C50)*10^9/3600</f>
        <v>0</v>
      </c>
      <c r="D54" s="22">
        <f t="shared" si="3"/>
        <v>0</v>
      </c>
      <c r="E54" s="22">
        <f t="shared" si="3"/>
        <v>0</v>
      </c>
      <c r="F54" s="22">
        <f t="shared" si="3"/>
        <v>0</v>
      </c>
      <c r="G54" s="22">
        <f t="shared" si="3"/>
        <v>4011.7037988409743</v>
      </c>
      <c r="H54" s="22">
        <f t="shared" si="3"/>
        <v>0</v>
      </c>
      <c r="I54" s="22">
        <f t="shared" si="3"/>
        <v>0</v>
      </c>
      <c r="J54" s="22">
        <f t="shared" si="3"/>
        <v>0</v>
      </c>
      <c r="K54" s="22">
        <f t="shared" si="3"/>
        <v>0</v>
      </c>
      <c r="L54" s="22">
        <f t="shared" si="3"/>
        <v>0</v>
      </c>
      <c r="M54" s="22">
        <f t="shared" si="3"/>
        <v>177.31303527202084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0.19434198579122977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3.9089233110089525</v>
      </c>
      <c r="C58" s="24">
        <f t="shared" ref="C58:P58" ca="1" si="4">C54*C56</f>
        <v>0</v>
      </c>
      <c r="D58" s="24">
        <f t="shared" si="4"/>
        <v>0</v>
      </c>
      <c r="E58" s="24">
        <f t="shared" si="4"/>
        <v>0</v>
      </c>
      <c r="F58" s="24">
        <f t="shared" si="4"/>
        <v>0</v>
      </c>
      <c r="G58" s="24">
        <f t="shared" si="4"/>
        <v>1071.1249142905401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1"/>
  <sheetViews>
    <sheetView showGridLines="0" topLeftCell="F1"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0</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20911.608412224305</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N29</f>
        <v>3.6374999999999993</v>
      </c>
      <c r="C8" s="544">
        <f>B48</f>
        <v>0</v>
      </c>
      <c r="D8" s="931"/>
      <c r="E8" s="931">
        <f>E48</f>
        <v>0</v>
      </c>
      <c r="F8" s="932"/>
      <c r="G8" s="545"/>
      <c r="H8" s="931">
        <f>I48</f>
        <v>0</v>
      </c>
      <c r="I8" s="931">
        <f>G48+F48</f>
        <v>0</v>
      </c>
      <c r="J8" s="931">
        <f>H48+D48+C48</f>
        <v>4.2794117647058822</v>
      </c>
      <c r="K8" s="931"/>
      <c r="L8" s="931"/>
      <c r="M8" s="931"/>
      <c r="N8" s="546"/>
      <c r="O8" s="547">
        <f>C8*$C$12+D8*$D$12+E8*$E$12+F8*$F$12+G8*$G$12+H8*$H$12+I8*$I$12+J8*$J$12</f>
        <v>0</v>
      </c>
      <c r="P8" s="1206"/>
      <c r="Q8" s="1207"/>
      <c r="S8" s="968"/>
      <c r="T8" s="1227"/>
      <c r="U8" s="1227"/>
    </row>
    <row r="9" spans="1:21" s="532" customFormat="1" ht="17.45" customHeight="1" thickBot="1">
      <c r="A9" s="548" t="s">
        <v>237</v>
      </c>
      <c r="B9" s="933">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20915.245912224305</v>
      </c>
      <c r="C10" s="556">
        <f t="shared" ref="C10:L10" si="0">SUM(C8:C9)</f>
        <v>0</v>
      </c>
      <c r="D10" s="556">
        <f t="shared" si="0"/>
        <v>0</v>
      </c>
      <c r="E10" s="556">
        <f t="shared" si="0"/>
        <v>0</v>
      </c>
      <c r="F10" s="556">
        <f t="shared" si="0"/>
        <v>0</v>
      </c>
      <c r="G10" s="556">
        <f t="shared" si="0"/>
        <v>0</v>
      </c>
      <c r="H10" s="556">
        <f t="shared" si="0"/>
        <v>0</v>
      </c>
      <c r="I10" s="556">
        <f t="shared" si="0"/>
        <v>0</v>
      </c>
      <c r="J10" s="556">
        <f t="shared" si="0"/>
        <v>4.2794117647058822</v>
      </c>
      <c r="K10" s="556">
        <f t="shared" si="0"/>
        <v>0</v>
      </c>
      <c r="L10" s="556">
        <f t="shared" si="0"/>
        <v>0</v>
      </c>
      <c r="M10" s="935"/>
      <c r="N10" s="935"/>
      <c r="O10" s="557">
        <f>SUM(O4:O9)</f>
        <v>0</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O29</f>
        <v>5.1964285714285703</v>
      </c>
      <c r="C17" s="568">
        <f>B49</f>
        <v>0</v>
      </c>
      <c r="D17" s="569"/>
      <c r="E17" s="569">
        <f>E49</f>
        <v>0</v>
      </c>
      <c r="F17" s="570"/>
      <c r="G17" s="571"/>
      <c r="H17" s="568">
        <f>I49</f>
        <v>0</v>
      </c>
      <c r="I17" s="569">
        <f>G49+F49</f>
        <v>0</v>
      </c>
      <c r="J17" s="569">
        <f>H49+D49+C49</f>
        <v>6.1134453781512601</v>
      </c>
      <c r="K17" s="569"/>
      <c r="L17" s="569"/>
      <c r="M17" s="569"/>
      <c r="N17" s="938"/>
      <c r="O17" s="572">
        <f>C17*$C$22+E17*$E$22+H17*$H$22+I17*$I$22+J17*$J$22+D17*$D$22+F17*$F$22+G17*$G$22+K17*$K$22+L17*$L$22</f>
        <v>0</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5.1964285714285703</v>
      </c>
      <c r="C20" s="555">
        <f>SUM(C17:C19)</f>
        <v>0</v>
      </c>
      <c r="D20" s="555">
        <f t="shared" ref="D20:L20" si="1">SUM(D17:D19)</f>
        <v>0</v>
      </c>
      <c r="E20" s="555">
        <f t="shared" si="1"/>
        <v>0</v>
      </c>
      <c r="F20" s="555">
        <f t="shared" si="1"/>
        <v>0</v>
      </c>
      <c r="G20" s="555">
        <f t="shared" si="1"/>
        <v>0</v>
      </c>
      <c r="H20" s="555">
        <f t="shared" si="1"/>
        <v>0</v>
      </c>
      <c r="I20" s="555">
        <f t="shared" si="1"/>
        <v>0</v>
      </c>
      <c r="J20" s="555">
        <f t="shared" si="1"/>
        <v>6.1134453781512601</v>
      </c>
      <c r="K20" s="555">
        <f t="shared" si="1"/>
        <v>0</v>
      </c>
      <c r="L20" s="555">
        <f t="shared" si="1"/>
        <v>0</v>
      </c>
      <c r="M20" s="555"/>
      <c r="N20" s="555"/>
      <c r="O20" s="576">
        <f>SUM(O17:O19)</f>
        <v>0</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25.5" hidden="1">
      <c r="A28" s="580"/>
      <c r="B28" s="740">
        <v>72029</v>
      </c>
      <c r="C28" s="740">
        <v>3900</v>
      </c>
      <c r="D28" s="628"/>
      <c r="E28" s="627"/>
      <c r="F28" s="627"/>
      <c r="G28" s="627" t="s">
        <v>942</v>
      </c>
      <c r="H28" s="627" t="s">
        <v>943</v>
      </c>
      <c r="I28" s="627"/>
      <c r="J28" s="739"/>
      <c r="K28" s="739"/>
      <c r="L28" s="627" t="s">
        <v>944</v>
      </c>
      <c r="M28" s="627">
        <v>9.6999999999999993</v>
      </c>
      <c r="N28" s="627">
        <v>3.6374999999999993</v>
      </c>
      <c r="O28" s="627">
        <v>5.1964285714285703</v>
      </c>
      <c r="P28" s="627">
        <v>0</v>
      </c>
      <c r="Q28" s="627">
        <v>10.392857142857142</v>
      </c>
      <c r="R28" s="627">
        <v>0</v>
      </c>
      <c r="S28" s="627">
        <v>0</v>
      </c>
      <c r="T28" s="627">
        <v>0</v>
      </c>
      <c r="U28" s="627">
        <v>0</v>
      </c>
      <c r="V28" s="627">
        <v>0</v>
      </c>
      <c r="W28" s="627"/>
      <c r="X28" s="627"/>
      <c r="Y28" s="627">
        <v>10</v>
      </c>
      <c r="Z28" s="627" t="s">
        <v>105</v>
      </c>
      <c r="AA28" s="629" t="s">
        <v>105</v>
      </c>
    </row>
    <row r="29" spans="1:27" s="563" customFormat="1" hidden="1">
      <c r="A29" s="583" t="s">
        <v>269</v>
      </c>
      <c r="B29" s="584"/>
      <c r="C29" s="584"/>
      <c r="D29" s="584"/>
      <c r="E29" s="584"/>
      <c r="F29" s="584"/>
      <c r="G29" s="584"/>
      <c r="H29" s="584"/>
      <c r="I29" s="584"/>
      <c r="J29" s="584"/>
      <c r="K29" s="584"/>
      <c r="L29" s="585"/>
      <c r="M29" s="585">
        <f>SUM(M28:M28)</f>
        <v>9.6999999999999993</v>
      </c>
      <c r="N29" s="585">
        <f>SUM(N28:N28)</f>
        <v>3.6374999999999993</v>
      </c>
      <c r="O29" s="585">
        <f>SUM(O28:O28)</f>
        <v>5.1964285714285703</v>
      </c>
      <c r="P29" s="585">
        <f>SUM(P28:P28)</f>
        <v>0</v>
      </c>
      <c r="Q29" s="585">
        <f>SUM(Q28:Q28)</f>
        <v>10.392857142857142</v>
      </c>
      <c r="R29" s="585">
        <f>SUM(R28:R28)</f>
        <v>0</v>
      </c>
      <c r="S29" s="585">
        <f>SUM(S28:S28)</f>
        <v>0</v>
      </c>
      <c r="T29" s="585">
        <f>SUM(T28:T28)</f>
        <v>0</v>
      </c>
      <c r="U29" s="585">
        <f>SUM(U28:U28)</f>
        <v>0</v>
      </c>
      <c r="V29" s="585">
        <f>SUM(V28:V28)</f>
        <v>0</v>
      </c>
      <c r="W29" s="585">
        <f>SUM(W28:W28)</f>
        <v>0</v>
      </c>
      <c r="X29" s="585"/>
      <c r="Y29" s="586"/>
      <c r="Z29" s="586"/>
      <c r="AA29" s="587"/>
    </row>
    <row r="30" spans="1:27" s="563" customFormat="1">
      <c r="A30" s="583" t="s">
        <v>276</v>
      </c>
      <c r="B30" s="584"/>
      <c r="C30" s="584"/>
      <c r="D30" s="584"/>
      <c r="E30" s="584"/>
      <c r="F30" s="584"/>
      <c r="G30" s="584"/>
      <c r="H30" s="584"/>
      <c r="I30" s="584"/>
      <c r="J30" s="584"/>
      <c r="K30" s="584"/>
      <c r="L30" s="585"/>
      <c r="M30" s="585">
        <f>SUMIF($AA$28:$AA$28,"industrie",M28:M28)</f>
        <v>0</v>
      </c>
      <c r="N30" s="585">
        <f>SUMIF($AA$28:$AA$28,"industrie",N28:N28)</f>
        <v>0</v>
      </c>
      <c r="O30" s="585">
        <f>SUMIF($AA$28:$AA$28,"industrie",O28:O28)</f>
        <v>0</v>
      </c>
      <c r="P30" s="585">
        <f>SUMIF($AA$28:$AA$28,"industrie",P28:P28)</f>
        <v>0</v>
      </c>
      <c r="Q30" s="585">
        <f>SUMIF($AA$28:$AA$28,"industrie",Q28:Q28)</f>
        <v>0</v>
      </c>
      <c r="R30" s="585">
        <f>SUMIF($AA$28:$AA$28,"industrie",R28:R28)</f>
        <v>0</v>
      </c>
      <c r="S30" s="585">
        <f>SUMIF($AA$28:$AA$28,"industrie",S28:S28)</f>
        <v>0</v>
      </c>
      <c r="T30" s="585">
        <f>SUMIF($AA$28:$AA$28,"industrie",T28:T28)</f>
        <v>0</v>
      </c>
      <c r="U30" s="585">
        <f>SUMIF($AA$28:$AA$28,"industrie",U28:U28)</f>
        <v>0</v>
      </c>
      <c r="V30" s="585">
        <f>SUMIF($AA$28:$AA$28,"industrie",V28:V28)</f>
        <v>0</v>
      </c>
      <c r="W30" s="585">
        <f>SUMIF($AA$28:$AA$28,"industrie",W28:W28)</f>
        <v>0</v>
      </c>
      <c r="X30" s="585"/>
      <c r="Y30" s="586"/>
      <c r="Z30" s="586"/>
      <c r="AA30" s="587"/>
    </row>
    <row r="31" spans="1:27" s="563" customFormat="1">
      <c r="A31" s="583" t="s">
        <v>277</v>
      </c>
      <c r="B31" s="584"/>
      <c r="C31" s="584"/>
      <c r="D31" s="584"/>
      <c r="E31" s="584"/>
      <c r="F31" s="584"/>
      <c r="G31" s="584"/>
      <c r="H31" s="584"/>
      <c r="I31" s="584"/>
      <c r="J31" s="584"/>
      <c r="K31" s="584"/>
      <c r="L31" s="585"/>
      <c r="M31" s="585">
        <f ca="1">SUMIF($AA$28:AD28,"tertiair",M28:M28)</f>
        <v>0</v>
      </c>
      <c r="N31" s="585">
        <f ca="1">SUMIF($AA$28:AE28,"tertiair",N28:N28)</f>
        <v>0</v>
      </c>
      <c r="O31" s="585">
        <f ca="1">SUMIF($AA$28:AF28,"tertiair",O28:O28)</f>
        <v>0</v>
      </c>
      <c r="P31" s="585">
        <f ca="1">SUMIF($AA$28:AG28,"tertiair",P28:P28)</f>
        <v>0</v>
      </c>
      <c r="Q31" s="585">
        <f ca="1">SUMIF($AA$28:AH28,"tertiair",Q28:Q28)</f>
        <v>0</v>
      </c>
      <c r="R31" s="585">
        <f ca="1">SUMIF($AA$28:AI28,"tertiair",R28:R28)</f>
        <v>0</v>
      </c>
      <c r="S31" s="585">
        <f ca="1">SUMIF($AA$28:AJ28,"tertiair",S28:S28)</f>
        <v>0</v>
      </c>
      <c r="T31" s="585">
        <f ca="1">SUMIF($AA$28:AK28,"tertiair",T28:T28)</f>
        <v>0</v>
      </c>
      <c r="U31" s="585">
        <f ca="1">SUMIF($AA$28:AL28,"tertiair",U28:U28)</f>
        <v>0</v>
      </c>
      <c r="V31" s="585">
        <f ca="1">SUMIF($AA$28:AM28,"tertiair",V28:V28)</f>
        <v>0</v>
      </c>
      <c r="W31" s="585">
        <f ca="1">SUMIF($AA$28:AN28,"tertiair",W28:W28)</f>
        <v>0</v>
      </c>
      <c r="X31" s="585"/>
      <c r="Y31" s="586"/>
      <c r="Z31" s="586"/>
      <c r="AA31" s="587"/>
    </row>
    <row r="32" spans="1:27" s="563" customFormat="1" ht="15.75" thickBot="1">
      <c r="A32" s="588" t="s">
        <v>278</v>
      </c>
      <c r="B32" s="589"/>
      <c r="C32" s="589"/>
      <c r="D32" s="589"/>
      <c r="E32" s="589"/>
      <c r="F32" s="589"/>
      <c r="G32" s="589"/>
      <c r="H32" s="589"/>
      <c r="I32" s="589"/>
      <c r="J32" s="589"/>
      <c r="K32" s="589"/>
      <c r="L32" s="590"/>
      <c r="M32" s="590">
        <f>SUMIF($AA$28:$AA$28,"landbouw",M28:M28)</f>
        <v>9.6999999999999993</v>
      </c>
      <c r="N32" s="590">
        <f>SUMIF($AA$28:$AA$28,"landbouw",N28:N28)</f>
        <v>3.6374999999999993</v>
      </c>
      <c r="O32" s="590">
        <f>SUMIF($AA$28:$AA$28,"landbouw",O28:O28)</f>
        <v>5.1964285714285703</v>
      </c>
      <c r="P32" s="590">
        <f>SUMIF($AA$28:$AA$28,"landbouw",P28:P28)</f>
        <v>0</v>
      </c>
      <c r="Q32" s="590">
        <f>SUMIF($AA$28:$AA$28,"landbouw",Q28:Q28)</f>
        <v>10.392857142857142</v>
      </c>
      <c r="R32" s="590">
        <f>SUMIF($AA$28:$AA$28,"landbouw",R28:R28)</f>
        <v>0</v>
      </c>
      <c r="S32" s="590">
        <f>SUMIF($AA$28:$AA$28,"landbouw",S28:S28)</f>
        <v>0</v>
      </c>
      <c r="T32" s="590">
        <f>SUMIF($AA$28:$AA$28,"landbouw",T28:T28)</f>
        <v>0</v>
      </c>
      <c r="U32" s="590">
        <f>SUMIF($AA$28:$AA$28,"landbouw",U28:U28)</f>
        <v>0</v>
      </c>
      <c r="V32" s="590">
        <f>SUMIF($AA$28:$AA$28,"landbouw",V28:V28)</f>
        <v>0</v>
      </c>
      <c r="W32" s="590">
        <f>SUMIF($AA$28:$AA$28,"landbouw",W28:W28)</f>
        <v>0</v>
      </c>
      <c r="X32" s="590"/>
      <c r="Y32" s="591"/>
      <c r="Z32" s="591"/>
      <c r="AA32" s="592"/>
    </row>
    <row r="33" spans="1:28" s="532" customFormat="1" ht="15.75" thickBot="1">
      <c r="A33" s="593"/>
      <c r="B33" s="594"/>
      <c r="C33" s="594"/>
      <c r="D33" s="594"/>
      <c r="E33" s="594"/>
      <c r="F33" s="594"/>
      <c r="G33" s="594"/>
      <c r="H33" s="594"/>
      <c r="I33" s="594"/>
      <c r="J33" s="594"/>
      <c r="K33" s="594"/>
      <c r="L33" s="577"/>
      <c r="M33" s="577"/>
      <c r="N33" s="577"/>
      <c r="O33" s="578"/>
      <c r="P33" s="578"/>
    </row>
    <row r="34" spans="1:28"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533</v>
      </c>
      <c r="Q34" s="625" t="s">
        <v>96</v>
      </c>
      <c r="R34" s="625" t="s">
        <v>97</v>
      </c>
      <c r="S34" s="625" t="s">
        <v>98</v>
      </c>
      <c r="T34" s="625" t="s">
        <v>99</v>
      </c>
      <c r="U34" s="625" t="s">
        <v>100</v>
      </c>
      <c r="V34" s="625" t="s">
        <v>101</v>
      </c>
      <c r="W34" s="624" t="s">
        <v>102</v>
      </c>
      <c r="X34" s="624" t="s">
        <v>941</v>
      </c>
      <c r="Y34" s="624" t="s">
        <v>288</v>
      </c>
      <c r="Z34" s="624" t="s">
        <v>103</v>
      </c>
      <c r="AA34" s="626" t="s">
        <v>289</v>
      </c>
    </row>
    <row r="35" spans="1:28" s="596" customFormat="1" ht="12.75" hidden="1">
      <c r="A35" s="582"/>
      <c r="B35" s="740"/>
      <c r="C35" s="740"/>
      <c r="D35" s="630"/>
      <c r="E35" s="630"/>
      <c r="F35" s="630"/>
      <c r="G35" s="630"/>
      <c r="H35" s="630"/>
      <c r="I35" s="630"/>
      <c r="J35" s="739"/>
      <c r="K35" s="739"/>
      <c r="L35" s="630"/>
      <c r="M35" s="630"/>
      <c r="N35" s="630"/>
      <c r="O35" s="630"/>
      <c r="P35" s="630"/>
      <c r="Q35" s="630"/>
      <c r="R35" s="630"/>
      <c r="S35" s="630"/>
      <c r="T35" s="630"/>
      <c r="U35" s="630"/>
      <c r="V35" s="630"/>
      <c r="W35" s="630"/>
      <c r="X35" s="630"/>
      <c r="Y35" s="630"/>
      <c r="Z35" s="630"/>
      <c r="AA35" s="631"/>
    </row>
    <row r="36" spans="1:28"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5"/>
      <c r="Y36" s="586"/>
      <c r="Z36" s="586"/>
      <c r="AA36" s="587"/>
    </row>
    <row r="37" spans="1:28" s="563" customFormat="1">
      <c r="A37" s="583" t="s">
        <v>276</v>
      </c>
      <c r="B37" s="584"/>
      <c r="C37" s="584"/>
      <c r="D37" s="584"/>
      <c r="E37" s="584"/>
      <c r="F37" s="584"/>
      <c r="G37" s="584"/>
      <c r="H37" s="584"/>
      <c r="I37" s="584"/>
      <c r="J37" s="584"/>
      <c r="K37" s="584"/>
      <c r="L37" s="585"/>
      <c r="M37" s="585">
        <f>SUMIF($AA$35:$AA$35,"industrie",M35:M35)</f>
        <v>0</v>
      </c>
      <c r="N37" s="585">
        <f>SUMIF($AA$35:$AA$35,"industrie",N35:N35)</f>
        <v>0</v>
      </c>
      <c r="O37" s="585">
        <f>SUMIF($AA$35:$AA$35,"industrie",O35:O35)</f>
        <v>0</v>
      </c>
      <c r="P37" s="585">
        <f>SUMIF($AA$35:$AA$35,"industrie",P35:P35)</f>
        <v>0</v>
      </c>
      <c r="Q37" s="585">
        <f>SUMIF($AA$35:$AA$35,"industrie",Q35:Q35)</f>
        <v>0</v>
      </c>
      <c r="R37" s="585">
        <f>SUMIF($AA$35:$AA$35,"industrie",R35:R35)</f>
        <v>0</v>
      </c>
      <c r="S37" s="585">
        <f>SUMIF($AA$35:$AA$35,"industrie",S35:S35)</f>
        <v>0</v>
      </c>
      <c r="T37" s="585">
        <f>SUMIF($AA$35:$AA$35,"industrie",T35:T35)</f>
        <v>0</v>
      </c>
      <c r="U37" s="585">
        <f>SUMIF($AA$35:$AA$35,"industrie",U35:U35)</f>
        <v>0</v>
      </c>
      <c r="V37" s="585">
        <f>SUMIF($AA$35:$AA$35,"industrie",V35:V35)</f>
        <v>0</v>
      </c>
      <c r="W37" s="585">
        <f>SUMIF($AA$35:$AA$35,"industrie",W35:W35)</f>
        <v>0</v>
      </c>
      <c r="X37" s="585"/>
      <c r="Y37" s="586"/>
      <c r="Z37" s="586"/>
      <c r="AA37" s="587"/>
    </row>
    <row r="38" spans="1:28" s="563" customFormat="1">
      <c r="A38" s="583" t="s">
        <v>277</v>
      </c>
      <c r="B38" s="584"/>
      <c r="C38" s="584"/>
      <c r="D38" s="584"/>
      <c r="E38" s="584"/>
      <c r="F38" s="584"/>
      <c r="G38" s="584"/>
      <c r="H38" s="584"/>
      <c r="I38" s="584"/>
      <c r="J38" s="584"/>
      <c r="K38" s="584"/>
      <c r="L38" s="585"/>
      <c r="M38" s="585">
        <f>SUMIF($AA$35:$AA$36,"tertiair",M35:M36)</f>
        <v>0</v>
      </c>
      <c r="N38" s="585">
        <f>SUMIF($AA$35:$AA$36,"tertiair",N35:N36)</f>
        <v>0</v>
      </c>
      <c r="O38" s="585">
        <f>SUMIF($AA$35:$AA$36,"tertiair",O35:O36)</f>
        <v>0</v>
      </c>
      <c r="P38" s="585">
        <f>SUMIF($AA$35:$AA$36,"tertiair",P35:P36)</f>
        <v>0</v>
      </c>
      <c r="Q38" s="585">
        <f>SUMIF($AA$35:$AA$36,"tertiair",Q35:Q36)</f>
        <v>0</v>
      </c>
      <c r="R38" s="585">
        <f>SUMIF($AA$35:$AA$36,"tertiair",R35:R36)</f>
        <v>0</v>
      </c>
      <c r="S38" s="585">
        <f>SUMIF($AA$35:$AA$36,"tertiair",S35:S36)</f>
        <v>0</v>
      </c>
      <c r="T38" s="585">
        <f>SUMIF($AA$35:$AA$36,"tertiair",T35:T36)</f>
        <v>0</v>
      </c>
      <c r="U38" s="585">
        <f>SUMIF($AA$35:$AA$36,"tertiair",U35:U36)</f>
        <v>0</v>
      </c>
      <c r="V38" s="585">
        <f>SUMIF($AA$35:$AA$36,"tertiair",V35:V36)</f>
        <v>0</v>
      </c>
      <c r="W38" s="585">
        <f>SUMIF($AA$35:$AA$36,"tertiair",W35:W36)</f>
        <v>0</v>
      </c>
      <c r="X38" s="585"/>
      <c r="Y38" s="586"/>
      <c r="Z38" s="586"/>
      <c r="AA38" s="587"/>
    </row>
    <row r="39" spans="1:28" s="563" customFormat="1" ht="15.75" thickBot="1">
      <c r="A39" s="588" t="s">
        <v>278</v>
      </c>
      <c r="B39" s="589"/>
      <c r="C39" s="589"/>
      <c r="D39" s="589"/>
      <c r="E39" s="589"/>
      <c r="F39" s="589"/>
      <c r="G39" s="589"/>
      <c r="H39" s="589"/>
      <c r="I39" s="589"/>
      <c r="J39" s="589"/>
      <c r="K39" s="589"/>
      <c r="L39" s="590"/>
      <c r="M39" s="590">
        <f>SUMIF($AA$35:$AA$37,"landbouw",M35:M37)</f>
        <v>0</v>
      </c>
      <c r="N39" s="590">
        <f>SUMIF($AA$35:$AA$37,"landbouw",N35:N37)</f>
        <v>0</v>
      </c>
      <c r="O39" s="590">
        <f>SUMIF($AA$35:$AA$37,"landbouw",O35:O37)</f>
        <v>0</v>
      </c>
      <c r="P39" s="590">
        <f>SUMIF($AA$35:$AA$37,"landbouw",P35:P37)</f>
        <v>0</v>
      </c>
      <c r="Q39" s="590">
        <f>SUMIF($AA$35:$AA$37,"landbouw",Q35:Q37)</f>
        <v>0</v>
      </c>
      <c r="R39" s="590">
        <f>SUMIF($AA$35:$AA$37,"landbouw",R35:R37)</f>
        <v>0</v>
      </c>
      <c r="S39" s="590">
        <f>SUMIF($AA$35:$AA$37,"landbouw",S35:S37)</f>
        <v>0</v>
      </c>
      <c r="T39" s="590">
        <f>SUMIF($AA$35:$AA$37,"landbouw",T35:T37)</f>
        <v>0</v>
      </c>
      <c r="U39" s="590">
        <f>SUMIF($AA$35:$AA$37,"landbouw",U35:U37)</f>
        <v>0</v>
      </c>
      <c r="V39" s="590">
        <f>SUMIF($AA$35:$AA$37,"landbouw",V35:V37)</f>
        <v>0</v>
      </c>
      <c r="W39" s="590">
        <f>SUMIF($AA$35:$AA$37,"landbouw",W35:W37)</f>
        <v>0</v>
      </c>
      <c r="X39" s="590"/>
      <c r="Y39" s="591"/>
      <c r="Z39" s="591"/>
      <c r="AA39" s="592"/>
    </row>
    <row r="40" spans="1:28"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row>
    <row r="41" spans="1:28"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row>
    <row r="42" spans="1:28">
      <c r="A42" s="598" t="s">
        <v>271</v>
      </c>
      <c r="B42" s="599"/>
      <c r="C42" s="599"/>
      <c r="D42" s="599"/>
      <c r="E42" s="599"/>
      <c r="F42" s="599"/>
      <c r="G42" s="599"/>
      <c r="H42" s="599"/>
      <c r="I42" s="600"/>
      <c r="J42" s="601"/>
      <c r="K42" s="601"/>
      <c r="L42" s="602"/>
      <c r="M42" s="602"/>
      <c r="N42" s="602"/>
      <c r="O42" s="602"/>
      <c r="P42" s="602"/>
    </row>
    <row r="43" spans="1:28">
      <c r="A43" s="604"/>
      <c r="B43" s="594"/>
      <c r="C43" s="594"/>
      <c r="D43" s="594"/>
      <c r="E43" s="594"/>
      <c r="F43" s="594"/>
      <c r="G43" s="594"/>
      <c r="H43" s="594"/>
      <c r="I43" s="605"/>
      <c r="J43" s="594"/>
      <c r="K43" s="594"/>
      <c r="L43" s="602"/>
      <c r="M43" s="602"/>
      <c r="N43" s="602"/>
      <c r="O43" s="602"/>
      <c r="P43" s="602"/>
    </row>
    <row r="44" spans="1:28">
      <c r="A44" s="606"/>
      <c r="B44" s="607" t="s">
        <v>272</v>
      </c>
      <c r="C44" s="607" t="s">
        <v>273</v>
      </c>
      <c r="D44" s="607"/>
      <c r="E44" s="607"/>
      <c r="F44" s="607"/>
      <c r="G44" s="607"/>
      <c r="H44" s="607"/>
      <c r="I44" s="608"/>
      <c r="J44" s="607"/>
      <c r="K44" s="607"/>
      <c r="L44" s="607"/>
      <c r="M44" s="607"/>
      <c r="N44" s="607"/>
      <c r="O44" s="607"/>
      <c r="P44" s="602"/>
    </row>
    <row r="45" spans="1:28">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8">
      <c r="A46" s="604"/>
      <c r="B46" s="613"/>
      <c r="C46" s="613"/>
      <c r="D46" s="613"/>
      <c r="E46" s="613"/>
      <c r="F46" s="613"/>
      <c r="G46" s="613"/>
      <c r="H46" s="613"/>
      <c r="I46" s="614"/>
      <c r="J46" s="613"/>
      <c r="K46" s="613"/>
      <c r="L46" s="615"/>
      <c r="M46" s="615"/>
      <c r="N46" s="615"/>
      <c r="O46" s="615"/>
      <c r="P46" s="602"/>
    </row>
    <row r="47" spans="1:28" ht="30">
      <c r="A47" s="616"/>
      <c r="B47" s="617" t="s">
        <v>533</v>
      </c>
      <c r="C47" s="617" t="s">
        <v>96</v>
      </c>
      <c r="D47" s="617" t="s">
        <v>97</v>
      </c>
      <c r="E47" s="617" t="s">
        <v>98</v>
      </c>
      <c r="F47" s="617" t="s">
        <v>99</v>
      </c>
      <c r="G47" s="617" t="s">
        <v>100</v>
      </c>
      <c r="H47" s="617" t="s">
        <v>101</v>
      </c>
      <c r="I47" s="618" t="s">
        <v>102</v>
      </c>
      <c r="J47" s="607"/>
      <c r="K47" s="607"/>
      <c r="L47" s="615"/>
      <c r="M47" s="615"/>
      <c r="N47" s="615"/>
      <c r="O47" s="602"/>
      <c r="P47" s="602"/>
    </row>
    <row r="48" spans="1:28">
      <c r="A48" s="606" t="s">
        <v>274</v>
      </c>
      <c r="B48" s="619">
        <f t="shared" ref="B48:I48" si="2">$C$45*P29</f>
        <v>0</v>
      </c>
      <c r="C48" s="619">
        <f t="shared" si="2"/>
        <v>4.2794117647058822</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6.1134453781512601</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2022-07-26T12:41:37Z</dcterms:modified>
</cp:coreProperties>
</file>