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08A607D-DF58-4247-8563-0D07B64A5FE1}"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<sst xmlns="http://schemas.openxmlformats.org/spreadsheetml/2006/main" count="2492" uniqueCount="942">
  <si>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</si>
  <si>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</si>
  <si>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</si>
  <si>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</si>
  <si>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</si>
  <si>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</si>
  <si>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</si>
  <si>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</si>
  <si>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</si>
  <si>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</si>
  <si>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</si>
  <si>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</si>
  <si>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</si>
  <si>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</si>
  <si>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</si>
  <si>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</si>
  <si>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</si>
  <si>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</si>
  <si>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</si>
  <si>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</si>
  <si>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</si>
  <si>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</si>
  <si>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</si>
  <si>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</si>
  <si>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</si>
  <si>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</si>
  <si>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</si>
  <si>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</si>
  <si>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</si>
  <si>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</si>
  <si>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</si>
  <si>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</si>
  <si>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</si>
  <si>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</si>
  <si>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</si>
  <si>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</si>
  <si>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</si>
  <si>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</si>
  <si>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</si>
  <si>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</si>
  <si>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</si>
  <si>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</si>
  <si>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</si>
  <si>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</si>
  <si>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</si>
  <si>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</si>
  <si>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</si>
  <si>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</si>
  <si>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</si>
  <si>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</si>
  <si>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</si>
  <si>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</si>
  <si>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</si>
  <si>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</si>
  <si>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</si>
  <si>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</si>
  <si>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</si>
  <si>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</si>
  <si>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</si>
  <si>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</si>
  <si>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</si>
  <si>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</si>
  <si>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</si>
  <si>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</si>
  <si>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</si>
  <si>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</si>
  <si>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</si>
  <si>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</si>
  <si>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</si>
  <si>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</si>
  <si>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</si>
  <si>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</si>
  <si>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</si>
  <si>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</si>
  <si>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</si>
  <si>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</si>
  <si>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</si>
  <si>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</si>
  <si>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</si>
  <si>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</si>
  <si>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</si>
  <si>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</si>
  <si>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</si>
  <si>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</si>
  <si>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</si>
  <si>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</si>
  <si>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</si>
  <si>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</si>
  <si>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</si>
  <si>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</si>
  <si>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</si>
  <si>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</si>
  <si>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</si>
  <si>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</si>
  <si>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</si>
  <si>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</si>
  <si>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</si>
  <si>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</si>
  <si>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</si>
  <si>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</si>
  <si>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</si>
  <si>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</si>
  <si>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</si>
  <si>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</si>
  <si>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</si>
  <si>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</si>
  <si>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</si>
  <si>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</si>
  <si>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</si>
  <si>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</si>
  <si>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</si>
  <si>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</si>
  <si>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</si>
  <si>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</si>
  <si>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</si>
  <si>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</si>
  <si>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</si>
  <si>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</si>
  <si>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</si>
  <si>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</si>
  <si>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</si>
  <si>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</si>
  <si>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</si>
  <si>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</si>
  <si>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</si>
  <si>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</si>
  <si>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</si>
  <si>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</si>
  <si>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</si>
  <si>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</si>
  <si>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</si>
  <si>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</si>
  <si>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</si>
  <si>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</si>
  <si>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</si>
  <si>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</si>
  <si>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</si>
  <si>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</si>
  <si>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</si>
  <si>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</si>
  <si>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</si>
  <si>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</si>
  <si>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</si>
  <si>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</si>
  <si>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</si>
  <si>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</si>
  <si>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</si>
  <si>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</si>
  <si>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</si>
  <si>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</si>
  <si>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</si>
  <si>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</si>
  <si>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</si>
  <si>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</si>
  <si>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</si>
  <si>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</si>
  <si>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</si>
  <si>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</si>
  <si>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</si>
  <si>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</si>
  <si>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</si>
  <si>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</si>
  <si>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</si>
  <si>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</si>
  <si>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</si>
  <si>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</si>
  <si>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</si>
  <si>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</si>
  <si>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</si>
  <si>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</si>
  <si>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</si>
  <si>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</si>
  <si>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</si>
  <si>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</si>
  <si>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</si>
  <si>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</si>
  <si>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</si>
  <si>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</si>
  <si>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</si>
  <si>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</si>
  <si>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</si>
  <si>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</si>
  <si>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</si>
  <si>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</si>
  <si>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</si>
  <si>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</si>
  <si>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</si>
  <si>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</si>
  <si>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</si>
  <si>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</si>
  <si>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</si>
  <si>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</si>
  <si>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</si>
  <si>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</si>
  <si>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</si>
  <si>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</si>
  <si>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</si>
  <si>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</si>
  <si>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</si>
  <si>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</si>
  <si>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</si>
  <si>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</si>
  <si>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</si>
  <si>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</si>
  <si>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</si>
  <si>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</si>
  <si>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</si>
  <si>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</si>
  <si>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</si>
  <si>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</si>
  <si>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</si>
  <si>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</si>
  <si>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</si>
  <si>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</si>
  <si>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</si>
  <si>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</si>
  <si>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</si>
  <si>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</si>
  <si>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</si>
  <si>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</si>
  <si>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</si>
  <si>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</si>
  <si>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</si>
  <si>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</si>
  <si>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</si>
  <si>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</si>
  <si>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</si>
  <si>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</si>
  <si>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</si>
  <si>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</si>
  <si>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</si>
  <si>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</si>
  <si>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</si>
  <si>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</si>
  <si>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</si>
  <si>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</si>
  <si>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</si>
  <si>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</si>
  <si>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</si>
  <si>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</si>
  <si>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</si>
  <si>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</si>
  <si>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</si>
  <si>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</si>
  <si>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</si>
  <si>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</si>
  <si>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</si>
  <si>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</si>
  <si>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</si>
  <si>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</si>
  <si>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</si>
  <si>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</si>
  <si>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</si>
  <si>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</si>
  <si>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</si>
  <si>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</si>
  <si>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</si>
  <si>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</si>
  <si>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</si>
  <si>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</si>
  <si>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</si>
  <si>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</si>
  <si>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</si>
  <si>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</si>
  <si>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</si>
  <si>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</si>
  <si>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</si>
  <si>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</si>
  <si>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</si>
  <si>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</si>
  <si>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</si>
  <si>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</si>
  <si>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</si>
  <si>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</si>
  <si>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</si>
  <si>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</si>
  <si>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</si>
  <si>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</si>
  <si>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</si>
  <si>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</si>
  <si>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</si>
  <si>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</si>
  <si>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</si>
  <si>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</si>
  <si>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</si>
  <si>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</si>
  <si>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</si>
  <si>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</si>
  <si>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</si>
  <si>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</si>
  <si>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</si>
  <si>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</si>
  <si>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</si>
  <si>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</si>
  <si>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</si>
  <si>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</si>
  <si>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</si>
  <si>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</si>
  <si>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</si>
  <si>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</si>
  <si>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</si>
  <si>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</si>
  <si>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</si>
  <si>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</si>
  <si>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</si>
  <si>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</si>
  <si>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</si>
  <si>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</si>
  <si>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</si>
  <si>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</si>
  <si>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</si>
  <si>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</si>
  <si>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</si>
  <si>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</si>
  <si>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</si>
  <si>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</si>
  <si>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</si>
  <si>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</si>
  <si>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</si>
  <si>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</si>
  <si>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</si>
  <si>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</si>
  <si>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</si>
  <si>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</si>
  <si>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</si>
  <si>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</si>
  <si>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</si>
  <si>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</si>
  <si>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</si>
  <si>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</si>
  <si>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</si>
  <si>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</si>
  <si>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</si>
  <si>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</si>
  <si>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</si>
  <si>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</si>
  <si>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</si>
  <si>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</si>
  <si>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</si>
  <si>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</si>
  <si>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</si>
  <si>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</si>
  <si>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</si>
  <si>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</si>
  <si>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</si>
  <si>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</si>
  <si>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</si>
  <si>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</si>
  <si>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</si>
  <si>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</si>
  <si>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</si>
  <si>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</si>
  <si>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</si>
  <si>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</si>
  <si>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</si>
  <si>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</si>
  <si>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</si>
  <si>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</si>
  <si>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</si>
  <si>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</si>
  <si>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</si>
  <si>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</si>
  <si>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</si>
  <si>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</si>
  <si>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</si>
  <si>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</si>
  <si>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</si>
  <si>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</si>
  <si>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</si>
  <si>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</si>
  <si>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</si>
  <si>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</si>
  <si>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</si>
  <si>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</si>
  <si>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</si>
  <si>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</si>
  <si>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</si>
  <si>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</si>
  <si>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</si>
  <si>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</si>
  <si>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</si>
  <si>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</si>
  <si>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</si>
  <si>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</si>
  <si>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</si>
  <si>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</si>
  <si>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</si>
  <si>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</si>
  <si>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</si>
  <si>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</si>
  <si>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</si>
  <si>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</si>
  <si>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</si>
  <si>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</si>
  <si>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</si>
  <si>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</si>
  <si>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</si>
  <si>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</si>
  <si>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</si>
  <si>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</si>
  <si>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</si>
  <si>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</si>
  <si>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</si>
  <si>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</si>
  <si>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</si>
  <si>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</si>
  <si>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</si>
  <si>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</si>
  <si>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</si>
  <si>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</si>
  <si>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</si>
  <si>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</si>
  <si>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</si>
  <si>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</si>
  <si>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</si>
  <si>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</si>
  <si>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</si>
  <si>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</si>
  <si>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</si>
  <si>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</si>
  <si>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</si>
  <si>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</si>
  <si>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</si>
  <si>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</si>
  <si>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</si>
  <si>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</si>
  <si>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</si>
  <si>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</si>
  <si>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</si>
  <si>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</si>
  <si>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</si>
  <si>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</si>
  <si>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</si>
  <si>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</si>
  <si>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</si>
  <si>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</si>
  <si>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</si>
  <si>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</si>
  <si>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</si>
  <si>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</si>
  <si>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</si>
  <si>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</si>
  <si>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</si>
  <si>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</si>
  <si>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</si>
  <si>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</si>
  <si>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</si>
  <si>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</si>
  <si>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</si>
  <si>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</si>
  <si>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</si>
  <si>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</si>
  <si>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</si>
  <si>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</si>
  <si>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</si>
  <si>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</si>
  <si>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</si>
  <si>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</si>
  <si>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</si>
  <si>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</si>
  <si>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</si>
  <si>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</si>
  <si>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</si>
  <si>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</si>
  <si>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</si>
  <si>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</si>
  <si>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</si>
  <si>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</si>
  <si>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</si>
  <si>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</si>
  <si>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</si>
  <si>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</si>
  <si>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</si>
  <si>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</si>
  <si>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</si>
  <si>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</si>
  <si>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</si>
  <si>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</si>
  <si>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</si>
  <si>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</si>
  <si>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</si>
  <si>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</si>
  <si>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</si>
  <si>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</si>
  <si>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</si>
  <si>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</si>
  <si>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</si>
  <si>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</si>
  <si>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</si>
  <si>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</si>
  <si>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</si>
  <si>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</si>
  <si>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</si>
  <si>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</si>
  <si>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</si>
  <si>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</si>
  <si>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</si>
  <si>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</si>
  <si>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</si>
  <si>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</si>
  <si>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</si>
  <si>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</si>
  <si>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</si>
  <si>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</si>
  <si>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</si>
  <si>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</si>
  <si>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</si>
  <si>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</si>
  <si>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</si>
  <si>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</si>
  <si>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</si>
  <si>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</si>
  <si>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</si>
  <si>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</si>
  <si>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</si>
  <si>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</si>
  <si>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</si>
  <si>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</si>
  <si>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</si>
  <si>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</si>
  <si>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</si>
  <si>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</si>
  <si>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</si>
  <si>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</si>
  <si>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</si>
  <si>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</si>
  <si>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</si>
  <si>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</si>
  <si>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</si>
  <si>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</si>
  <si>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</si>
  <si>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</si>
  <si>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</si>
  <si>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</si>
  <si>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</si>
  <si>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</si>
  <si>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</si>
  <si>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</si>
  <si>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</si>
  <si>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</si>
  <si>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</si>
  <si>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</si>
  <si>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</si>
  <si>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</si>
  <si>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</si>
  <si>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</si>
  <si>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</si>
  <si>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</si>
  <si>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</si>
  <si>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</si>
  <si>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</si>
  <si>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</si>
  <si>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</si>
  <si>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</si>
  <si>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</si>
  <si>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</si>
  <si>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</si>
  <si>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</si>
  <si>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</si>
  <si>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</si>
  <si>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</si>
  <si>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</si>
  <si>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</si>
  <si>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</si>
  <si>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</si>
  <si>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</si>
  <si>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</si>
  <si>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</si>
  <si>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</si>
  <si>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</si>
  <si>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</si>
  <si>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</si>
  <si>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</si>
  <si>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</si>
  <si>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</si>
  <si>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</si>
  <si>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</si>
  <si>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</si>
  <si>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</si>
  <si>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</si>
  <si>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</si>
  <si>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</si>
  <si>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</si>
  <si>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</si>
  <si>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</si>
  <si>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</si>
  <si>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</si>
  <si>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</si>
  <si>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</si>
  <si>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</si>
  <si>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</si>
  <si>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</si>
  <si>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</si>
  <si>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</si>
  <si>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</si>
  <si>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</si>
  <si>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</si>
  <si>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</si>
  <si>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</si>
  <si>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</si>
  <si>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</si>
  <si>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</si>
  <si>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</si>
  <si>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</si>
  <si>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</si>
  <si>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</si>
  <si>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</si>
  <si>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</si>
  <si>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</si>
  <si>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</si>
  <si>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</si>
  <si>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</si>
  <si>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</si>
  <si>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</si>
  <si>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</si>
  <si>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</si>
  <si>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</si>
  <si>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</si>
  <si>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</si>
  <si>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</si>
  <si>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</si>
  <si>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</si>
  <si>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</si>
  <si>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</si>
  <si>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</si>
  <si>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</si>
  <si>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</si>
  <si>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</si>
  <si>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</si>
  <si>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</si>
  <si>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</si>
  <si>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</si>
  <si>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</si>
  <si>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</si>
  <si>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</si>
  <si>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</si>
  <si>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</si>
  <si>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</si>
  <si>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</si>
  <si>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</si>
  <si>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</si>
  <si>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</si>
  <si>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</si>
  <si>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</si>
  <si>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</si>
  <si>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</si>
  <si>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</si>
  <si>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</si>
  <si>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</si>
  <si>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</si>
  <si>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</si>
  <si>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</si>
  <si>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</si>
  <si>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</si>
  <si>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</si>
  <si>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</si>
  <si>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</si>
  <si>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</si>
  <si>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</si>
  <si>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</si>
  <si>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</si>
  <si>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</si>
  <si>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</si>
  <si>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</si>
  <si>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</si>
  <si>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</si>
  <si>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</si>
  <si>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</si>
  <si>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</si>
  <si>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</si>
  <si>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</si>
  <si>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</si>
  <si>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</si>
  <si>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</si>
  <si>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</si>
  <si>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</si>
  <si>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</si>
  <si>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</si>
  <si>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</si>
  <si>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</si>
  <si>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</si>
  <si>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</si>
  <si>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</si>
  <si>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</si>
  <si>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</si>
  <si>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</si>
  <si>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</si>
  <si>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</si>
  <si>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</si>
  <si>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</si>
  <si>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</si>
  <si>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</si>
  <si>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</si>
  <si>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</si>
  <si>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</si>
  <si>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</si>
  <si>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</si>
  <si>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</si>
  <si>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</si>
  <si>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</si>
  <si>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</si>
  <si>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</si>
  <si>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</si>
  <si>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</si>
  <si>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</si>
  <si>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</si>
  <si>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</si>
  <si>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</si>
  <si>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</si>
  <si>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</si>
  <si>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</si>
  <si>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</si>
  <si>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</si>
  <si>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</si>
  <si>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</si>
  <si>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</si>
  <si>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</si>
  <si>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</si>
  <si>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</si>
  <si>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</si>
  <si>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</si>
  <si>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</si>
  <si>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</si>
  <si>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</si>
  <si>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</si>
  <si>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</si>
  <si>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</si>
  <si>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</si>
  <si>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</si>
  <si>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</si>
  <si>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</si>
  <si>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</si>
  <si>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</si>
  <si>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</si>
  <si>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</si>
  <si>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</si>
  <si>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</si>
  <si>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</si>
  <si>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</si>
  <si>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</si>
  <si>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</si>
  <si>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</si>
  <si>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</si>
  <si>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</si>
  <si>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</si>
  <si>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</si>
  <si>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</si>
  <si>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</si>
  <si>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</si>
  <si>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</si>
  <si>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</si>
  <si>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</si>
  <si>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</si>
  <si>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</si>
  <si>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</si>
  <si>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</si>
  <si>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</si>
  <si>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</si>
  <si>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</si>
  <si>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</si>
  <si>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</si>
  <si>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</si>
  <si>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</si>
  <si>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</si>
  <si>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</si>
  <si>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</si>
  <si>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</si>
  <si>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</si>
  <si>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</si>
  <si>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</si>
  <si>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</si>
  <si>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</si>
  <si>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</si>
  <si>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</si>
  <si>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</si>
  <si>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</si>
  <si>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</si>
  <si>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</si>
  <si>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</si>
  <si>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</si>
  <si>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</si>
  <si>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</si>
  <si>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</si>
  <si>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</si>
  <si>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</si>
  <si>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</si>
  <si>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</si>
  <si>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</si>
  <si>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</si>
  <si>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</si>
  <si>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</si>
  <si>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</si>
  <si>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</si>
  <si>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</si>
  <si>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</si>
  <si>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</si>
  <si>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</si>
  <si>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</si>
  <si>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</si>
  <si>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</si>
  <si>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</si>
  <si>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</si>
  <si>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</si>
  <si>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</si>
  <si>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</si>
  <si>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</si>
  <si>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</si>
  <si>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</si>
  <si>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</si>
  <si>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</si>
  <si>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</si>
  <si>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</si>
  <si>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</si>
  <si>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</si>
  <si>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</si>
  <si>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</si>
  <si>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</si>
  <si>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</si>
  <si>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</si>
  <si>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</si>
  <si>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</si>
  <si>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</si>
  <si>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</si>
  <si>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</si>
  <si>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</si>
  <si>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</si>
  <si>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</si>
  <si>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</si>
  <si>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</si>
  <si>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</si>
  <si>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</si>
  <si>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</si>
  <si>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</si>
  <si>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</si>
  <si>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</si>
  <si>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</si>
  <si>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</si>
  <si>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</si>
  <si>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</si>
  <si>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</si>
  <si>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</si>
  <si>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</si>
  <si>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</si>
  <si>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</si>
  <si>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</si>
  <si>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</si>
  <si>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</si>
  <si>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</si>
  <si>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</si>
  <si>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</si>
  <si>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</si>
  <si>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</si>
  <si>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</si>
  <si>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</si>
  <si>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</si>
  <si>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</si>
  <si>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</si>
  <si>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</si>
  <si>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</si>
  <si>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</si>
  <si>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</si>
  <si>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</si>
  <si>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</si>
  <si>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</si>
  <si>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</si>
  <si>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</si>
  <si>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</si>
  <si>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</si>
  <si>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</si>
  <si>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</si>
  <si>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</si>
  <si>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</si>
  <si>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</si>
  <si>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</si>
  <si>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</si>
  <si>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</si>
  <si>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</si>
  <si>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</si>
  <si>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</si>
  <si>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</si>
  <si>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</si>
  <si>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</si>
  <si>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</si>
  <si>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</si>
  <si>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</si>
  <si>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</si>
  <si>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</si>
  <si>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</si>
  <si>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</si>
  <si>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</si>
  <si>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</si>
  <si>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</si>
  <si>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</si>
  <si>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</si>
  <si>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</si>
  <si>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</si>
  <si>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</si>
  <si>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</si>
  <si>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</si>
  <si>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</si>
  <si>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</si>
  <si>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</si>
  <si>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</si>
  <si>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</si>
  <si>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</si>
  <si>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</si>
  <si>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</si>
  <si>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</si>
  <si>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</si>
  <si>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</si>
  <si>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</si>
  <si>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</si>
  <si>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</si>
  <si>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</si>
  <si>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</si>
  <si>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</si>
  <si>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</si>
  <si>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</si>
  <si>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</si>
  <si>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</si>
  <si>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</si>
  <si>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</si>
  <si>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</si>
  <si>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</si>
  <si>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</si>
  <si>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</si>
  <si>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</si>
  <si>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</si>
  <si>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</si>
  <si>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</si>
  <si>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</si>
  <si>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</si>
  <si>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</si>
  <si>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</si>
  <si>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</si>
  <si>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</si>
  <si>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</si>
  <si>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71045</t>
  </si>
  <si>
    <t>NIEUWERKERKEN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</si>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</sst>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E44A150-0C2C-47C7-ACCF-82D19A8A3B5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71045</v>
      </c>
      <c r="B6" s="384"/>
      <c r="C6" s="385"/>
    </row>
    <row r="7" spans="1:7" s="382" customFormat="1" ht="15.75" customHeight="1">
      <c r="A7" s="386" t="str">
        <f>txtMunicipality</f>
        <v>NIEUWERKERKEN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0.18330428508630645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0.18330428508630645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2727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1290</v>
      </c>
      <c r="C14" s="327"/>
      <c r="D14" s="327"/>
      <c r="E14" s="327"/>
      <c r="F14" s="327"/>
    </row>
    <row r="15" spans="1:6">
      <c r="A15" s="1258" t="s">
        <v>177</v>
      </c>
      <c r="B15" s="1259">
        <v>2</v>
      </c>
      <c r="C15" s="327"/>
      <c r="D15" s="327"/>
      <c r="E15" s="327"/>
      <c r="F15" s="327"/>
    </row>
    <row r="16" spans="1:6">
      <c r="A16" s="1258" t="s">
        <v>6</v>
      </c>
      <c r="B16" s="1259">
        <v>101</v>
      </c>
      <c r="C16" s="327"/>
      <c r="D16" s="327"/>
      <c r="E16" s="327"/>
      <c r="F16" s="327"/>
    </row>
    <row r="17" spans="1:6">
      <c r="A17" s="1258" t="s">
        <v>7</v>
      </c>
      <c r="B17" s="1259">
        <v>158</v>
      </c>
      <c r="C17" s="327"/>
      <c r="D17" s="327"/>
      <c r="E17" s="327"/>
      <c r="F17" s="327"/>
    </row>
    <row r="18" spans="1:6">
      <c r="A18" s="1258" t="s">
        <v>8</v>
      </c>
      <c r="B18" s="1259">
        <v>246</v>
      </c>
      <c r="C18" s="327"/>
      <c r="D18" s="327"/>
      <c r="E18" s="327"/>
      <c r="F18" s="327"/>
    </row>
    <row r="19" spans="1:6">
      <c r="A19" s="1258" t="s">
        <v>9</v>
      </c>
      <c r="B19" s="1259">
        <v>279</v>
      </c>
      <c r="C19" s="327"/>
      <c r="D19" s="327"/>
      <c r="E19" s="327"/>
      <c r="F19" s="327"/>
    </row>
    <row r="20" spans="1:6">
      <c r="A20" s="1258" t="s">
        <v>10</v>
      </c>
      <c r="B20" s="1259">
        <v>274</v>
      </c>
      <c r="C20" s="327"/>
      <c r="D20" s="327"/>
      <c r="E20" s="327"/>
      <c r="F20" s="327"/>
    </row>
    <row r="21" spans="1:6">
      <c r="A21" s="1258" t="s">
        <v>11</v>
      </c>
      <c r="B21" s="1259">
        <v>1345</v>
      </c>
      <c r="C21" s="327"/>
      <c r="D21" s="327"/>
      <c r="E21" s="327"/>
      <c r="F21" s="327"/>
    </row>
    <row r="22" spans="1:6">
      <c r="A22" s="1258" t="s">
        <v>12</v>
      </c>
      <c r="B22" s="1259">
        <v>2326</v>
      </c>
      <c r="C22" s="327"/>
      <c r="D22" s="327"/>
      <c r="E22" s="327"/>
      <c r="F22" s="327"/>
    </row>
    <row r="23" spans="1:6">
      <c r="A23" s="1258" t="s">
        <v>13</v>
      </c>
      <c r="B23" s="1259">
        <v>24</v>
      </c>
      <c r="C23" s="327"/>
      <c r="D23" s="327"/>
      <c r="E23" s="327"/>
      <c r="F23" s="327"/>
    </row>
    <row r="24" spans="1:6">
      <c r="A24" s="1258" t="s">
        <v>14</v>
      </c>
      <c r="B24" s="1259">
        <v>2</v>
      </c>
      <c r="C24" s="327"/>
      <c r="D24" s="327"/>
      <c r="E24" s="327"/>
      <c r="F24" s="327"/>
    </row>
    <row r="25" spans="1:6">
      <c r="A25" s="1258" t="s">
        <v>15</v>
      </c>
      <c r="B25" s="1259">
        <v>328</v>
      </c>
      <c r="C25" s="327"/>
      <c r="D25" s="327"/>
      <c r="E25" s="327"/>
      <c r="F25" s="327"/>
    </row>
    <row r="26" spans="1:6">
      <c r="A26" s="1258" t="s">
        <v>16</v>
      </c>
      <c r="B26" s="1259">
        <v>28</v>
      </c>
      <c r="C26" s="327"/>
      <c r="D26" s="327"/>
      <c r="E26" s="327"/>
      <c r="F26" s="327"/>
    </row>
    <row r="27" spans="1:6">
      <c r="A27" s="1258" t="s">
        <v>17</v>
      </c>
      <c r="B27" s="1259">
        <v>2</v>
      </c>
      <c r="C27" s="327"/>
      <c r="D27" s="327"/>
      <c r="E27" s="327"/>
      <c r="F27" s="327"/>
    </row>
    <row r="28" spans="1:6">
      <c r="A28" s="1258" t="s">
        <v>18</v>
      </c>
      <c r="B28" s="1260">
        <v>34780</v>
      </c>
      <c r="C28" s="327"/>
      <c r="D28" s="327"/>
      <c r="E28" s="327"/>
      <c r="F28" s="327"/>
    </row>
    <row r="29" spans="1:6">
      <c r="A29" s="1258" t="s">
        <v>939</v>
      </c>
      <c r="B29" s="1260">
        <v>26</v>
      </c>
      <c r="C29" s="327"/>
      <c r="D29" s="327"/>
      <c r="E29" s="327"/>
      <c r="F29" s="327"/>
    </row>
    <row r="30" spans="1:6">
      <c r="A30" s="1253" t="s">
        <v>940</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752</v>
      </c>
      <c r="D39" s="1259">
        <v>14316709</v>
      </c>
      <c r="E39" s="1259">
        <v>2681</v>
      </c>
      <c r="F39" s="1259">
        <v>11335769</v>
      </c>
    </row>
    <row r="40" spans="1:6">
      <c r="A40" s="1258" t="s">
        <v>29</v>
      </c>
      <c r="B40" s="1258" t="s">
        <v>28</v>
      </c>
      <c r="C40" s="1259">
        <v>0</v>
      </c>
      <c r="D40" s="1259">
        <v>0</v>
      </c>
      <c r="E40" s="1259">
        <v>0</v>
      </c>
      <c r="F40" s="1259">
        <v>0</v>
      </c>
    </row>
    <row r="41" spans="1:6">
      <c r="A41" s="1258" t="s">
        <v>31</v>
      </c>
      <c r="B41" s="1258" t="s">
        <v>32</v>
      </c>
      <c r="C41" s="1259">
        <v>10</v>
      </c>
      <c r="D41" s="1259">
        <v>241469</v>
      </c>
      <c r="E41" s="1259">
        <v>44</v>
      </c>
      <c r="F41" s="1259">
        <v>486352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156884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v>
      </c>
      <c r="D48" s="1259">
        <v>49987</v>
      </c>
      <c r="E48" s="1259">
        <v>0</v>
      </c>
      <c r="F48" s="1259">
        <v>0</v>
      </c>
    </row>
    <row r="49" spans="1:6">
      <c r="A49" s="1258" t="s">
        <v>31</v>
      </c>
      <c r="B49" s="1258" t="s">
        <v>39</v>
      </c>
      <c r="C49" s="1259">
        <v>0</v>
      </c>
      <c r="D49" s="1259">
        <v>0</v>
      </c>
      <c r="E49" s="1259">
        <v>0</v>
      </c>
      <c r="F49" s="1259">
        <v>0</v>
      </c>
    </row>
    <row r="50" spans="1:6">
      <c r="A50" s="1258" t="s">
        <v>31</v>
      </c>
      <c r="B50" s="1258" t="s">
        <v>40</v>
      </c>
      <c r="C50" s="1259">
        <v>0</v>
      </c>
      <c r="D50" s="1259">
        <v>0</v>
      </c>
      <c r="E50" s="1259">
        <v>8</v>
      </c>
      <c r="F50" s="1259">
        <v>254256</v>
      </c>
    </row>
    <row r="51" spans="1:6">
      <c r="A51" s="1258" t="s">
        <v>41</v>
      </c>
      <c r="B51" s="1258" t="s">
        <v>42</v>
      </c>
      <c r="C51" s="1259">
        <v>4</v>
      </c>
      <c r="D51" s="1259">
        <v>68878</v>
      </c>
      <c r="E51" s="1259">
        <v>69</v>
      </c>
      <c r="F51" s="1259">
        <v>3664004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40</v>
      </c>
      <c r="F54" s="1259">
        <v>495261</v>
      </c>
    </row>
    <row r="55" spans="1:6">
      <c r="A55" s="1258" t="s">
        <v>45</v>
      </c>
      <c r="B55" s="1258" t="s">
        <v>28</v>
      </c>
      <c r="C55" s="1259">
        <v>0</v>
      </c>
      <c r="D55" s="1259">
        <v>0</v>
      </c>
      <c r="E55" s="1259">
        <v>0</v>
      </c>
      <c r="F55" s="1259">
        <v>0</v>
      </c>
    </row>
    <row r="56" spans="1:6">
      <c r="A56" s="1258" t="s">
        <v>47</v>
      </c>
      <c r="B56" s="1258" t="s">
        <v>28</v>
      </c>
      <c r="C56" s="1259">
        <v>21</v>
      </c>
      <c r="D56" s="1259">
        <v>1206032</v>
      </c>
      <c r="E56" s="1259">
        <v>21</v>
      </c>
      <c r="F56" s="1259">
        <v>153904</v>
      </c>
    </row>
    <row r="57" spans="1:6">
      <c r="A57" s="1258" t="s">
        <v>48</v>
      </c>
      <c r="B57" s="1258" t="s">
        <v>49</v>
      </c>
      <c r="C57" s="1259">
        <v>5</v>
      </c>
      <c r="D57" s="1259">
        <v>152762</v>
      </c>
      <c r="E57" s="1259">
        <v>31</v>
      </c>
      <c r="F57" s="1259">
        <v>943547</v>
      </c>
    </row>
    <row r="58" spans="1:6">
      <c r="A58" s="1258" t="s">
        <v>48</v>
      </c>
      <c r="B58" s="1258" t="s">
        <v>50</v>
      </c>
      <c r="C58" s="1259">
        <v>0</v>
      </c>
      <c r="D58" s="1259">
        <v>0</v>
      </c>
      <c r="E58" s="1259">
        <v>8</v>
      </c>
      <c r="F58" s="1259">
        <v>567239</v>
      </c>
    </row>
    <row r="59" spans="1:6">
      <c r="A59" s="1258" t="s">
        <v>48</v>
      </c>
      <c r="B59" s="1258" t="s">
        <v>51</v>
      </c>
      <c r="C59" s="1259">
        <v>10</v>
      </c>
      <c r="D59" s="1259">
        <v>375984</v>
      </c>
      <c r="E59" s="1259">
        <v>82</v>
      </c>
      <c r="F59" s="1259">
        <v>1854357</v>
      </c>
    </row>
    <row r="60" spans="1:6">
      <c r="A60" s="1258" t="s">
        <v>48</v>
      </c>
      <c r="B60" s="1258" t="s">
        <v>52</v>
      </c>
      <c r="C60" s="1259">
        <v>5</v>
      </c>
      <c r="D60" s="1259">
        <v>468451</v>
      </c>
      <c r="E60" s="1259">
        <v>17</v>
      </c>
      <c r="F60" s="1259">
        <v>507934</v>
      </c>
    </row>
    <row r="61" spans="1:6">
      <c r="A61" s="1258" t="s">
        <v>48</v>
      </c>
      <c r="B61" s="1258" t="s">
        <v>53</v>
      </c>
      <c r="C61" s="1259">
        <v>8</v>
      </c>
      <c r="D61" s="1259">
        <v>422129</v>
      </c>
      <c r="E61" s="1259">
        <v>83</v>
      </c>
      <c r="F61" s="1259">
        <v>882763</v>
      </c>
    </row>
    <row r="62" spans="1:6">
      <c r="A62" s="1258" t="s">
        <v>48</v>
      </c>
      <c r="B62" s="1258" t="s">
        <v>54</v>
      </c>
      <c r="C62" s="1259">
        <v>0</v>
      </c>
      <c r="D62" s="1259">
        <v>0</v>
      </c>
      <c r="E62" s="1259">
        <v>5</v>
      </c>
      <c r="F62" s="1259">
        <v>72121</v>
      </c>
    </row>
    <row r="63" spans="1:6">
      <c r="A63" s="1258" t="s">
        <v>48</v>
      </c>
      <c r="B63" s="1258" t="s">
        <v>28</v>
      </c>
      <c r="C63" s="1259">
        <v>2</v>
      </c>
      <c r="D63" s="1259">
        <v>254285</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1723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9406121</v>
      </c>
      <c r="E73" s="445"/>
      <c r="F73" s="327"/>
    </row>
    <row r="74" spans="1:6">
      <c r="A74" s="1258" t="s">
        <v>63</v>
      </c>
      <c r="B74" s="1258" t="s">
        <v>724</v>
      </c>
      <c r="C74" s="1271" t="s">
        <v>718</v>
      </c>
      <c r="D74" s="1259">
        <v>892577.76495974604</v>
      </c>
      <c r="E74" s="445"/>
      <c r="F74" s="327"/>
    </row>
    <row r="75" spans="1:6">
      <c r="A75" s="1258" t="s">
        <v>64</v>
      </c>
      <c r="B75" s="1258" t="s">
        <v>723</v>
      </c>
      <c r="C75" s="1271" t="s">
        <v>719</v>
      </c>
      <c r="D75" s="1259">
        <v>16397214</v>
      </c>
      <c r="E75" s="445"/>
      <c r="F75" s="327"/>
    </row>
    <row r="76" spans="1:6">
      <c r="A76" s="1258" t="s">
        <v>64</v>
      </c>
      <c r="B76" s="1258" t="s">
        <v>724</v>
      </c>
      <c r="C76" s="1271" t="s">
        <v>720</v>
      </c>
      <c r="D76" s="1259">
        <v>85318.76495974604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283742.47008050792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2121.7042653582703</v>
      </c>
      <c r="C91" s="327"/>
      <c r="D91" s="327"/>
      <c r="E91" s="327"/>
      <c r="F91" s="327"/>
    </row>
    <row r="92" spans="1:6">
      <c r="A92" s="1253" t="s">
        <v>68</v>
      </c>
      <c r="B92" s="1254">
        <v>1887.0552298228247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137</v>
      </c>
      <c r="C97" s="327"/>
      <c r="D97" s="327"/>
      <c r="E97" s="327"/>
      <c r="F97" s="327"/>
    </row>
    <row r="98" spans="1:6">
      <c r="A98" s="1258" t="s">
        <v>71</v>
      </c>
      <c r="B98" s="1259">
        <v>1</v>
      </c>
      <c r="C98" s="327"/>
      <c r="D98" s="327"/>
      <c r="E98" s="327"/>
      <c r="F98" s="327"/>
    </row>
    <row r="99" spans="1:6">
      <c r="A99" s="1258" t="s">
        <v>72</v>
      </c>
      <c r="B99" s="1259">
        <v>20</v>
      </c>
      <c r="C99" s="327"/>
      <c r="D99" s="327"/>
      <c r="E99" s="327"/>
      <c r="F99" s="327"/>
    </row>
    <row r="100" spans="1:6">
      <c r="A100" s="1258" t="s">
        <v>73</v>
      </c>
      <c r="B100" s="1259">
        <v>81</v>
      </c>
      <c r="C100" s="327"/>
      <c r="D100" s="327"/>
      <c r="E100" s="327"/>
      <c r="F100" s="327"/>
    </row>
    <row r="101" spans="1:6">
      <c r="A101" s="1258" t="s">
        <v>74</v>
      </c>
      <c r="B101" s="1259">
        <v>22</v>
      </c>
      <c r="C101" s="327"/>
      <c r="D101" s="327"/>
      <c r="E101" s="327"/>
      <c r="F101" s="327"/>
    </row>
    <row r="102" spans="1:6">
      <c r="A102" s="1258" t="s">
        <v>75</v>
      </c>
      <c r="B102" s="1259">
        <v>32</v>
      </c>
      <c r="C102" s="327"/>
      <c r="D102" s="327"/>
      <c r="E102" s="327"/>
      <c r="F102" s="327"/>
    </row>
    <row r="103" spans="1:6">
      <c r="A103" s="1258" t="s">
        <v>76</v>
      </c>
      <c r="B103" s="1259">
        <v>55</v>
      </c>
      <c r="C103" s="327"/>
      <c r="D103" s="327"/>
      <c r="E103" s="327"/>
      <c r="F103" s="327"/>
    </row>
    <row r="104" spans="1:6">
      <c r="A104" s="1258" t="s">
        <v>77</v>
      </c>
      <c r="B104" s="1259">
        <v>2087</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23502.295962907756</v>
      </c>
      <c r="C3" s="44" t="s">
        <v>163</v>
      </c>
      <c r="D3" s="44"/>
      <c r="E3" s="157"/>
      <c r="F3" s="44"/>
      <c r="G3" s="44"/>
      <c r="H3" s="44"/>
      <c r="I3" s="44"/>
      <c r="J3" s="44"/>
      <c r="K3" s="97"/>
    </row>
    <row r="4" spans="1:11">
      <c r="A4" s="352" t="s">
        <v>164</v>
      </c>
      <c r="B4" s="50">
        <f>IF(ISERROR('SEAP template'!B78+'SEAP template'!C78),0,'SEAP template'!B78+'SEAP template'!C78)</f>
        <v>4008.7594951810952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0.18330428508630645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495.26100000000002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495.26100000000002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0.18330428508630645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90.783463536129219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11335.769</v>
      </c>
      <c r="C5" s="18">
        <f>IF(ISERROR('Eigen informatie GS &amp; warmtenet'!B57),0,'Eigen informatie GS &amp; warmtenet'!B57)</f>
        <v>0</v>
      </c>
      <c r="D5" s="31">
        <f>(SUM(HH_hh_gas_kWh,HH_rest_gas_kWh)/1000)*0.902</f>
        <v>12913.671518000001</v>
      </c>
      <c r="E5" s="18">
        <f>B32*B41</f>
        <v>1040.0345505798819</v>
      </c>
      <c r="F5" s="18">
        <f>B36*B45</f>
        <v>31707.633919173932</v>
      </c>
      <c r="G5" s="19"/>
      <c r="H5" s="18"/>
      <c r="I5" s="18"/>
      <c r="J5" s="18">
        <f>B35*B44+C35*C44</f>
        <v>575.32396907046723</v>
      </c>
      <c r="K5" s="18"/>
      <c r="L5" s="18"/>
      <c r="M5" s="18"/>
      <c r="N5" s="18">
        <f>B34*B43+C34*C43</f>
        <v>4302.851470459017</v>
      </c>
      <c r="O5" s="18">
        <f>B52*B53*B54</f>
        <v>31.266666666666666</v>
      </c>
      <c r="P5" s="18">
        <f>B60*B61*B62/1000-B60*B61*B62/1000/B63</f>
        <v>247.86666666666667</v>
      </c>
    </row>
    <row r="6" spans="1:16">
      <c r="A6" s="17" t="s">
        <v>597</v>
      </c>
      <c r="B6" s="731">
        <f>kWh_PV_kleiner_dan_10kW</f>
        <v>2121.7042653582703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13457.473265358271</v>
      </c>
      <c r="C8" s="22">
        <f>C5</f>
        <v>0</v>
      </c>
      <c r="D8" s="22">
        <f>D5</f>
        <v>12913.671518000001</v>
      </c>
      <c r="E8" s="22">
        <f>E5</f>
        <v>1040.0345505798819</v>
      </c>
      <c r="F8" s="22">
        <f>F5</f>
        <v>31707.633919173932</v>
      </c>
      <c r="G8" s="22"/>
      <c r="H8" s="22"/>
      <c r="I8" s="22"/>
      <c r="J8" s="22">
        <f>J5</f>
        <v>575.32396907046723</v>
      </c>
      <c r="K8" s="22"/>
      <c r="L8" s="22">
        <f>L5</f>
        <v>0</v>
      </c>
      <c r="M8" s="22">
        <f>M5</f>
        <v>0</v>
      </c>
      <c r="N8" s="22">
        <f>N5</f>
        <v>4302.851470459017</v>
      </c>
      <c r="O8" s="22">
        <f>O5</f>
        <v>31.266666666666666</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0.18330428508630645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2466.8125159745796</v>
      </c>
      <c r="C12" s="24">
        <f ca="1">C10*C8</f>
        <v>0</v>
      </c>
      <c r="D12" s="24">
        <f>D8*D10</f>
        <v>2608.5616466360002</v>
      </c>
      <c r="E12" s="24">
        <f>E10*E8</f>
        <v>236.0878429816332</v>
      </c>
      <c r="F12" s="24">
        <f>F10*F8</f>
        <v>8465.9382564194402</v>
      </c>
      <c r="G12" s="24"/>
      <c r="H12" s="24"/>
      <c r="I12" s="24"/>
      <c r="J12" s="24">
        <f>J10*J8</f>
        <v>203.66468505094539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2727</v>
      </c>
      <c r="C26" s="37"/>
      <c r="D26" s="228"/>
    </row>
    <row r="27" spans="1:5" s="16" customFormat="1">
      <c r="A27" s="230" t="s">
        <v>623</v>
      </c>
      <c r="B27" s="38">
        <f>SUM(HH_hh_gas_aantal,HH_rest_gas_aantal)</f>
        <v>752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714.4</v>
      </c>
      <c r="C31" s="35" t="s">
        <v>104</v>
      </c>
      <c r="D31" s="174"/>
    </row>
    <row r="32" spans="1:5">
      <c r="A32" s="171" t="s">
        <v>72</v>
      </c>
      <c r="B32" s="34">
        <f>IF((B21*($B$26-($B$27-0.05*$B$27)-$B$60))&lt;0,0,B21*($B$26-($B$27-0.05*$B$27)-$B$60))</f>
        <v>49.140831004510154</v>
      </c>
      <c r="C32" s="35" t="s">
        <v>104</v>
      </c>
      <c r="D32" s="174"/>
    </row>
    <row r="33" spans="1:6">
      <c r="A33" s="171" t="s">
        <v>73</v>
      </c>
      <c r="B33" s="34">
        <f>IF((B22*($B$26-($B$27-0.05*$B$27)-$B$60))&lt;0,0,B22*($B$26-($B$27-0.05*$B$27)-$B$60))</f>
        <v>330.7754269683216</v>
      </c>
      <c r="C33" s="35" t="s">
        <v>104</v>
      </c>
      <c r="D33" s="174"/>
    </row>
    <row r="34" spans="1:6">
      <c r="A34" s="171" t="s">
        <v>74</v>
      </c>
      <c r="B34" s="34">
        <f>IF((B24*($B$26-($B$27-0.05*$B$27)-$B$60))&lt;0,0,B24*($B$26-($B$27-0.05*$B$27)-$B$60))</f>
        <v>83.891620393420865</v>
      </c>
      <c r="C34" s="34">
        <f>B26*C24</f>
        <v>557.67784755356001</v>
      </c>
      <c r="D34" s="233"/>
    </row>
    <row r="35" spans="1:6">
      <c r="A35" s="171" t="s">
        <v>76</v>
      </c>
      <c r="B35" s="34">
        <f>IF((B19*($B$26-($B$27-0.05*$B$27)-$B$60))&lt;0,0,B19*($B$26-($B$27-0.05*$B$27)-$B$60))</f>
        <v>31.188249636504441</v>
      </c>
      <c r="C35" s="34">
        <f>B35/2</f>
        <v>15.594124818252221</v>
      </c>
      <c r="D35" s="233"/>
    </row>
    <row r="36" spans="1:6">
      <c r="A36" s="171" t="s">
        <v>77</v>
      </c>
      <c r="B36" s="34">
        <f>IF((B18*($B$26-($B$27-0.05*$B$27)-$B$60))&lt;0,0,B18*($B$26-($B$27-0.05*$B$27)-$B$60))</f>
        <v>1504.6038719972423</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4827.9610000000002</v>
      </c>
      <c r="C5" s="18">
        <f>IF(ISERROR('Eigen informatie GS &amp; warmtenet'!B58),0,'Eigen informatie GS &amp; warmtenet'!B58)</f>
        <v>0</v>
      </c>
      <c r="D5" s="31">
        <f>SUM(D6:D12)</f>
        <v>1509.5971220000001</v>
      </c>
      <c r="E5" s="18">
        <f>SUM(E6:E12)</f>
        <v>45.721150913171677</v>
      </c>
      <c r="F5" s="18">
        <f>SUM(F6:F12)</f>
        <v>1057.9540069929781</v>
      </c>
      <c r="G5" s="19"/>
      <c r="H5" s="18"/>
      <c r="I5" s="18"/>
      <c r="J5" s="18">
        <f>SUM(J6:J12)</f>
        <v>0</v>
      </c>
      <c r="K5" s="18"/>
      <c r="L5" s="18"/>
      <c r="M5" s="18"/>
      <c r="N5" s="18">
        <f>SUM(N6:N12)</f>
        <v>468.51298825475106</v>
      </c>
      <c r="O5" s="18">
        <f>B38*B39*B40</f>
        <v>0</v>
      </c>
      <c r="P5" s="18">
        <f>B46*B47*B48/1000-B46*B47*B48/1000/B49</f>
        <v>0</v>
      </c>
      <c r="R5" s="33"/>
    </row>
    <row r="6" spans="1:18">
      <c r="A6" s="33" t="s">
        <v>53</v>
      </c>
      <c r="B6" s="38">
        <f>B26</f>
        <v>882.76300000000003</v>
      </c>
      <c r="C6" s="34"/>
      <c r="D6" s="38">
        <f>IF(ISERROR(TER_kantoor_gas_kWh/1000),0,TER_kantoor_gas_kWh/1000)*0.902</f>
        <v>380.76035800000005</v>
      </c>
      <c r="E6" s="34">
        <f>$C$26*'E Balans VL '!I12/100/3.6*1000000</f>
        <v>1.4420199061956609</v>
      </c>
      <c r="F6" s="34">
        <f>$C$26*('E Balans VL '!L12+'E Balans VL '!N12)/100/3.6*1000000</f>
        <v>103.70878888077951</v>
      </c>
      <c r="G6" s="35"/>
      <c r="H6" s="34"/>
      <c r="I6" s="34"/>
      <c r="J6" s="34">
        <f>$C$26*('E Balans VL '!D12+'E Balans VL '!E12)/100/3.6*1000000</f>
        <v>0</v>
      </c>
      <c r="K6" s="34"/>
      <c r="L6" s="34"/>
      <c r="M6" s="34"/>
      <c r="N6" s="34">
        <f>$C$26*'E Balans VL '!Y12/100/3.6*1000000</f>
        <v>6.4276437018992825</v>
      </c>
      <c r="O6" s="34"/>
      <c r="P6" s="34"/>
      <c r="R6" s="33"/>
    </row>
    <row r="7" spans="1:18">
      <c r="A7" s="33" t="s">
        <v>52</v>
      </c>
      <c r="B7" s="38">
        <f t="shared" ref="B7:B12" si="0">B27</f>
        <v>507.93400000000003</v>
      </c>
      <c r="C7" s="34"/>
      <c r="D7" s="38">
        <f>IF(ISERROR(TER_horeca_gas_kWh/1000),0,TER_horeca_gas_kWh/1000)*0.902</f>
        <v>422.54280200000005</v>
      </c>
      <c r="E7" s="34">
        <f>$C$27*'E Balans VL '!I9/100/3.6*1000000</f>
        <v>26.278954146082569</v>
      </c>
      <c r="F7" s="34">
        <f>$C$27*('E Balans VL '!L9+'E Balans VL '!N9)/100/3.6*1000000</f>
        <v>115.56286387316636</v>
      </c>
      <c r="G7" s="35"/>
      <c r="H7" s="34"/>
      <c r="I7" s="34"/>
      <c r="J7" s="34">
        <f>$C$27*('E Balans VL '!D9+'E Balans VL '!E9)/100/3.6*1000000</f>
        <v>0</v>
      </c>
      <c r="K7" s="34"/>
      <c r="L7" s="34"/>
      <c r="M7" s="34"/>
      <c r="N7" s="34">
        <f>$C$27*'E Balans VL '!Y9/100/3.6*1000000</f>
        <v>5.3476572461036306E-2</v>
      </c>
      <c r="O7" s="34"/>
      <c r="P7" s="34"/>
      <c r="R7" s="33"/>
    </row>
    <row r="8" spans="1:18">
      <c r="A8" s="6" t="s">
        <v>51</v>
      </c>
      <c r="B8" s="38">
        <f t="shared" si="0"/>
        <v>1854.357</v>
      </c>
      <c r="C8" s="34"/>
      <c r="D8" s="38">
        <f>IF(ISERROR(TER_handel_gas_kWh/1000),0,TER_handel_gas_kWh/1000)*0.902</f>
        <v>339.13756799999999</v>
      </c>
      <c r="E8" s="34">
        <f>$C$28*'E Balans VL '!I13/100/3.6*1000000</f>
        <v>9.7404663326140124</v>
      </c>
      <c r="F8" s="34">
        <f>$C$28*('E Balans VL '!L13+'E Balans VL '!N13)/100/3.6*1000000</f>
        <v>349.60839762509551</v>
      </c>
      <c r="G8" s="35"/>
      <c r="H8" s="34"/>
      <c r="I8" s="34"/>
      <c r="J8" s="34">
        <f>$C$28*('E Balans VL '!D13+'E Balans VL '!E13)/100/3.6*1000000</f>
        <v>0</v>
      </c>
      <c r="K8" s="34"/>
      <c r="L8" s="34"/>
      <c r="M8" s="34"/>
      <c r="N8" s="34">
        <f>$C$28*'E Balans VL '!Y13/100/3.6*1000000</f>
        <v>9.1930565706127343</v>
      </c>
      <c r="O8" s="34"/>
      <c r="P8" s="34"/>
      <c r="R8" s="33"/>
    </row>
    <row r="9" spans="1:18">
      <c r="A9" s="33" t="s">
        <v>50</v>
      </c>
      <c r="B9" s="38">
        <f t="shared" si="0"/>
        <v>567.23900000000003</v>
      </c>
      <c r="C9" s="34"/>
      <c r="D9" s="38">
        <f>IF(ISERROR(TER_gezond_gas_kWh/1000),0,TER_gezond_gas_kWh/1000)*0.902</f>
        <v>0</v>
      </c>
      <c r="E9" s="34">
        <f>$C$29*'E Balans VL '!I10/100/3.6*1000000</f>
        <v>0.50356273024561016</v>
      </c>
      <c r="F9" s="34">
        <f>$C$29*('E Balans VL '!L10+'E Balans VL '!N10)/100/3.6*1000000</f>
        <v>176.30650636435874</v>
      </c>
      <c r="G9" s="35"/>
      <c r="H9" s="34"/>
      <c r="I9" s="34"/>
      <c r="J9" s="34">
        <f>$C$29*('E Balans VL '!D10+'E Balans VL '!E10)/100/3.6*1000000</f>
        <v>0</v>
      </c>
      <c r="K9" s="34"/>
      <c r="L9" s="34"/>
      <c r="M9" s="34"/>
      <c r="N9" s="34">
        <f>$C$29*'E Balans VL '!Y10/100/3.6*1000000</f>
        <v>4.378513250100541</v>
      </c>
      <c r="O9" s="34"/>
      <c r="P9" s="34"/>
      <c r="R9" s="33"/>
    </row>
    <row r="10" spans="1:18">
      <c r="A10" s="33" t="s">
        <v>49</v>
      </c>
      <c r="B10" s="38">
        <f t="shared" si="0"/>
        <v>943.54700000000003</v>
      </c>
      <c r="C10" s="34"/>
      <c r="D10" s="38">
        <f>IF(ISERROR(TER_ander_gas_kWh/1000),0,TER_ander_gas_kWh/1000)*0.902</f>
        <v>137.791324</v>
      </c>
      <c r="E10" s="34">
        <f>$C$30*'E Balans VL '!I14/100/3.6*1000000</f>
        <v>7.6959796746632687</v>
      </c>
      <c r="F10" s="34">
        <f>$C$30*('E Balans VL '!L14+'E Balans VL '!N14)/100/3.6*1000000</f>
        <v>275.026432485859</v>
      </c>
      <c r="G10" s="35"/>
      <c r="H10" s="34"/>
      <c r="I10" s="34"/>
      <c r="J10" s="34">
        <f>$C$30*('E Balans VL '!D14+'E Balans VL '!E14)/100/3.6*1000000</f>
        <v>0</v>
      </c>
      <c r="K10" s="34"/>
      <c r="L10" s="34"/>
      <c r="M10" s="34"/>
      <c r="N10" s="34">
        <f>$C$30*'E Balans VL '!Y14/100/3.6*1000000</f>
        <v>448.14276504867325</v>
      </c>
      <c r="O10" s="34"/>
      <c r="P10" s="34"/>
      <c r="R10" s="33"/>
    </row>
    <row r="11" spans="1:18">
      <c r="A11" s="33" t="s">
        <v>54</v>
      </c>
      <c r="B11" s="38">
        <f t="shared" si="0"/>
        <v>72.120999999999995</v>
      </c>
      <c r="C11" s="34"/>
      <c r="D11" s="38">
        <f>IF(ISERROR(TER_onderwijs_gas_kWh/1000),0,TER_onderwijs_gas_kWh/1000)*0.902</f>
        <v>0</v>
      </c>
      <c r="E11" s="34">
        <f>$C$31*'E Balans VL '!I11/100/3.6*1000000</f>
        <v>6.0168123370548617E-2</v>
      </c>
      <c r="F11" s="34">
        <f>$C$31*('E Balans VL '!L11+'E Balans VL '!N11)/100/3.6*1000000</f>
        <v>37.74101776371888</v>
      </c>
      <c r="G11" s="35"/>
      <c r="H11" s="34"/>
      <c r="I11" s="34"/>
      <c r="J11" s="34">
        <f>$C$31*('E Balans VL '!D11+'E Balans VL '!E11)/100/3.6*1000000</f>
        <v>0</v>
      </c>
      <c r="K11" s="34"/>
      <c r="L11" s="34"/>
      <c r="M11" s="34"/>
      <c r="N11" s="34">
        <f>$C$31*'E Balans VL '!Y11/100/3.6*1000000</f>
        <v>0.31753311100420639</v>
      </c>
      <c r="O11" s="34"/>
      <c r="P11" s="34"/>
      <c r="R11" s="33"/>
    </row>
    <row r="12" spans="1:18">
      <c r="A12" s="33" t="s">
        <v>249</v>
      </c>
      <c r="B12" s="38">
        <f t="shared" si="0"/>
        <v>0</v>
      </c>
      <c r="C12" s="34"/>
      <c r="D12" s="38">
        <f>IF(ISERROR(TER_rest_gas_kWh/1000),0,TER_rest_gas_kWh/1000)*0.902</f>
        <v>229.36507</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4827.9610000000002</v>
      </c>
      <c r="C16" s="22">
        <f t="shared" ca="1" si="1"/>
        <v>0</v>
      </c>
      <c r="D16" s="22">
        <f t="shared" ca="1" si="1"/>
        <v>1509.5971220000001</v>
      </c>
      <c r="E16" s="22">
        <f t="shared" si="1"/>
        <v>45.721150913171677</v>
      </c>
      <c r="F16" s="22">
        <f t="shared" ca="1" si="1"/>
        <v>1057.9540069929781</v>
      </c>
      <c r="G16" s="22">
        <f t="shared" si="1"/>
        <v>0</v>
      </c>
      <c r="H16" s="22">
        <f t="shared" si="1"/>
        <v>0</v>
      </c>
      <c r="I16" s="22">
        <f t="shared" si="1"/>
        <v>0</v>
      </c>
      <c r="J16" s="22">
        <f t="shared" si="1"/>
        <v>0</v>
      </c>
      <c r="K16" s="22">
        <f t="shared" si="1"/>
        <v>0</v>
      </c>
      <c r="L16" s="22">
        <f t="shared" ca="1" si="1"/>
        <v>0</v>
      </c>
      <c r="M16" s="22">
        <f t="shared" si="1"/>
        <v>0</v>
      </c>
      <c r="N16" s="22">
        <f t="shared" ca="1" si="1"/>
        <v>468.51298825475106</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0.18330428508630645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884.98593952956924</v>
      </c>
      <c r="C20" s="24">
        <f t="shared" ref="C20:P20" ca="1" si="2">C16*C18</f>
        <v>0</v>
      </c>
      <c r="D20" s="24">
        <f t="shared" ca="1" si="2"/>
        <v>304.93861864400003</v>
      </c>
      <c r="E20" s="24">
        <f t="shared" si="2"/>
        <v>10.37870125728997</v>
      </c>
      <c r="F20" s="24">
        <f t="shared" ca="1" si="2"/>
        <v>282.47371986712517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882.76300000000003</v>
      </c>
      <c r="C26" s="40">
        <f>IF(ISERROR(B26*3.6/1000000/'E Balans VL '!Z12*100),0,B26*3.6/1000000/'E Balans VL '!Z12*100)</f>
        <v>1.8710211530741837E-2</v>
      </c>
      <c r="D26" s="236" t="s">
        <v>660</v>
      </c>
      <c r="F26" s="6"/>
    </row>
    <row r="27" spans="1:18">
      <c r="A27" s="231" t="s">
        <v>52</v>
      </c>
      <c r="B27" s="34">
        <f>IF(ISERROR(TER_horeca_ele_kWh/1000),0,TER_horeca_ele_kWh/1000)</f>
        <v>507.93400000000003</v>
      </c>
      <c r="C27" s="40">
        <f>IF(ISERROR(B27*3.6/1000000/'E Balans VL '!Z9*100),0,B27*3.6/1000000/'E Balans VL '!Z9*100)</f>
        <v>3.9858314877791033E-2</v>
      </c>
      <c r="D27" s="236" t="s">
        <v>660</v>
      </c>
      <c r="F27" s="6"/>
    </row>
    <row r="28" spans="1:18">
      <c r="A28" s="171" t="s">
        <v>51</v>
      </c>
      <c r="B28" s="34">
        <f>IF(ISERROR(TER_handel_ele_kWh/1000),0,TER_handel_ele_kWh/1000)</f>
        <v>1854.357</v>
      </c>
      <c r="C28" s="40">
        <f>IF(ISERROR(B28*3.6/1000000/'E Balans VL '!Z13*100),0,B28*3.6/1000000/'E Balans VL '!Z13*100)</f>
        <v>5.178559856496906E-2</v>
      </c>
      <c r="D28" s="236" t="s">
        <v>660</v>
      </c>
      <c r="F28" s="6"/>
    </row>
    <row r="29" spans="1:18">
      <c r="A29" s="231" t="s">
        <v>50</v>
      </c>
      <c r="B29" s="34">
        <f>IF(ISERROR(TER_gezond_ele_kWh/1000),0,TER_gezond_ele_kWh/1000)</f>
        <v>567.23900000000003</v>
      </c>
      <c r="C29" s="40">
        <f>IF(ISERROR(B29*3.6/1000000/'E Balans VL '!Z10*100),0,B29*3.6/1000000/'E Balans VL '!Z10*100)</f>
        <v>6.5005207957565633E-2</v>
      </c>
      <c r="D29" s="236" t="s">
        <v>660</v>
      </c>
      <c r="F29" s="6"/>
    </row>
    <row r="30" spans="1:18">
      <c r="A30" s="231" t="s">
        <v>49</v>
      </c>
      <c r="B30" s="34">
        <f>IF(ISERROR(TER_ander_ele_kWh/1000),0,TER_ander_ele_kWh/1000)</f>
        <v>943.54700000000003</v>
      </c>
      <c r="C30" s="40">
        <f>IF(ISERROR(B30*3.6/1000000/'E Balans VL '!Z14*100),0,B30*3.6/1000000/'E Balans VL '!Z14*100)</f>
        <v>7.0357509190082601E-2</v>
      </c>
      <c r="D30" s="236" t="s">
        <v>660</v>
      </c>
      <c r="F30" s="6"/>
    </row>
    <row r="31" spans="1:18">
      <c r="A31" s="231" t="s">
        <v>54</v>
      </c>
      <c r="B31" s="34">
        <f>IF(ISERROR(TER_onderwijs_ele_kWh/1000),0,TER_onderwijs_ele_kWh/1000)</f>
        <v>72.120999999999995</v>
      </c>
      <c r="C31" s="40">
        <f>IF(ISERROR(B31*3.6/1000000/'E Balans VL '!Z11*100),0,B31*3.6/1000000/'E Balans VL '!Z11*100)</f>
        <v>2.0612340863629106E-2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897.49199999999996</v>
      </c>
      <c r="C5" s="18">
        <f>IF(ISERROR('Eigen informatie GS &amp; warmtenet'!B59),0,'Eigen informatie GS &amp; warmtenet'!B59)</f>
        <v>0</v>
      </c>
      <c r="D5" s="31">
        <f>SUM(D6:D15)</f>
        <v>262.89331199999998</v>
      </c>
      <c r="E5" s="18">
        <f>SUM(E6:E15)</f>
        <v>6.7399032070285392</v>
      </c>
      <c r="F5" s="18">
        <f>SUM(F6:F15)</f>
        <v>435.84667404776928</v>
      </c>
      <c r="G5" s="19"/>
      <c r="H5" s="18"/>
      <c r="I5" s="18"/>
      <c r="J5" s="18">
        <f>SUM(J6:J15)</f>
        <v>2.6196754479106512</v>
      </c>
      <c r="K5" s="18"/>
      <c r="L5" s="18"/>
      <c r="M5" s="18"/>
      <c r="N5" s="18">
        <f>SUM(N6:N15)</f>
        <v>41.152605387085231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156.88399999999999</v>
      </c>
      <c r="C8" s="34"/>
      <c r="D8" s="38">
        <f>IF( ISERROR(IND_metaal_Gas_kWH/1000),0,IND_metaal_Gas_kWH/1000)*0.902</f>
        <v>0</v>
      </c>
      <c r="E8" s="34">
        <f>C30*'E Balans VL '!I18/100/3.6*1000000</f>
        <v>1.4287143155649868</v>
      </c>
      <c r="F8" s="34">
        <f>C30*'E Balans VL '!L18/100/3.6*1000000+C30*'E Balans VL '!N18/100/3.6*1000000</f>
        <v>20.691808202441102</v>
      </c>
      <c r="G8" s="35"/>
      <c r="H8" s="34"/>
      <c r="I8" s="34"/>
      <c r="J8" s="41">
        <f>C30*'E Balans VL '!D18/100/3.6*1000000+C30*'E Balans VL '!E18/100/3.6*1000000</f>
        <v>2.5726698126343766</v>
      </c>
      <c r="K8" s="34"/>
      <c r="L8" s="34"/>
      <c r="M8" s="34"/>
      <c r="N8" s="34">
        <f>C30*'E Balans VL '!Y18/100/3.6*1000000</f>
        <v>0.53914798599086788</v>
      </c>
      <c r="O8" s="34"/>
      <c r="P8" s="34"/>
      <c r="R8" s="33"/>
    </row>
    <row r="9" spans="1:18">
      <c r="A9" s="6" t="s">
        <v>32</v>
      </c>
      <c r="B9" s="38">
        <f t="shared" si="0"/>
        <v>486.35199999999998</v>
      </c>
      <c r="C9" s="34"/>
      <c r="D9" s="38">
        <f>IF( ISERROR(IND_andere_gas_kWh/1000),0,IND_andere_gas_kWh/1000)*0.902</f>
        <v>217.805038</v>
      </c>
      <c r="E9" s="34">
        <f>C31*'E Balans VL '!I19/100/3.6*1000000</f>
        <v>2.8111872392948789</v>
      </c>
      <c r="F9" s="34">
        <f>C31*'E Balans VL '!L19/100/3.6*1000000+C31*'E Balans VL '!N19/100/3.6*1000000</f>
        <v>386.91641833217574</v>
      </c>
      <c r="G9" s="35"/>
      <c r="H9" s="34"/>
      <c r="I9" s="34"/>
      <c r="J9" s="41">
        <f>C31*'E Balans VL '!D19/100/3.6*1000000+C31*'E Balans VL '!E19/100/3.6*1000000</f>
        <v>4.6003496954996101E-2</v>
      </c>
      <c r="K9" s="34"/>
      <c r="L9" s="34"/>
      <c r="M9" s="34"/>
      <c r="N9" s="34">
        <f>C31*'E Balans VL '!Y19/100/3.6*1000000</f>
        <v>36.848524114247894</v>
      </c>
      <c r="O9" s="34"/>
      <c r="P9" s="34"/>
      <c r="R9" s="33"/>
    </row>
    <row r="10" spans="1:18">
      <c r="A10" s="6" t="s">
        <v>40</v>
      </c>
      <c r="B10" s="38">
        <f t="shared" si="0"/>
        <v>254.256</v>
      </c>
      <c r="C10" s="34"/>
      <c r="D10" s="38">
        <f>IF( ISERROR(IND_voed_gas_kWh/1000),0,IND_voed_gas_kWh/1000)*0.902</f>
        <v>0</v>
      </c>
      <c r="E10" s="34">
        <f>C32*'E Balans VL '!I20/100/3.6*1000000</f>
        <v>2.500001652168673</v>
      </c>
      <c r="F10" s="34">
        <f>C32*'E Balans VL '!L20/100/3.6*1000000+C32*'E Balans VL '!N20/100/3.6*1000000</f>
        <v>28.238447513152426</v>
      </c>
      <c r="G10" s="35"/>
      <c r="H10" s="34"/>
      <c r="I10" s="34"/>
      <c r="J10" s="41">
        <f>C32*'E Balans VL '!D20/100/3.6*1000000+C32*'E Balans VL '!E20/100/3.6*1000000</f>
        <v>1.0021383212785952E-3</v>
      </c>
      <c r="K10" s="34"/>
      <c r="L10" s="34"/>
      <c r="M10" s="34"/>
      <c r="N10" s="34">
        <f>C32*'E Balans VL '!Y20/100/3.6*1000000</f>
        <v>3.764933286846468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0</v>
      </c>
      <c r="C15" s="34"/>
      <c r="D15" s="38">
        <f>IF( ISERROR(IND_rest_gas_kWh/1000),0,IND_rest_gas_kWh/1000)*0.902</f>
        <v>45.088274000000006</v>
      </c>
      <c r="E15" s="34">
        <f>C37*'E Balans VL '!I15/100/3.6*1000000</f>
        <v>0</v>
      </c>
      <c r="F15" s="34">
        <f>C37*'E Balans VL '!L15/100/3.6*1000000+C37*'E Balans VL '!N15/100/3.6*1000000</f>
        <v>0</v>
      </c>
      <c r="G15" s="35"/>
      <c r="H15" s="34"/>
      <c r="I15" s="34"/>
      <c r="J15" s="41">
        <f>C37*'E Balans VL '!D15/100/3.6*1000000+C37*'E Balans VL '!E15/100/3.6*1000000</f>
        <v>0</v>
      </c>
      <c r="K15" s="34"/>
      <c r="L15" s="34"/>
      <c r="M15" s="34"/>
      <c r="N15" s="34">
        <f>C37*'E Balans VL '!Y15/100/3.6*1000000</f>
        <v>0</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897.49199999999996</v>
      </c>
      <c r="C18" s="22">
        <f>C5+C16</f>
        <v>0</v>
      </c>
      <c r="D18" s="22">
        <f>MAX((D5+D16),0)</f>
        <v>262.89331199999998</v>
      </c>
      <c r="E18" s="22">
        <f>MAX((E5+E16),0)</f>
        <v>6.7399032070285392</v>
      </c>
      <c r="F18" s="22">
        <f>MAX((F5+F16),0)</f>
        <v>435.84667404776928</v>
      </c>
      <c r="G18" s="22"/>
      <c r="H18" s="22"/>
      <c r="I18" s="22"/>
      <c r="J18" s="22">
        <f>MAX((J5+J16),0)</f>
        <v>2.6196754479106512</v>
      </c>
      <c r="K18" s="22"/>
      <c r="L18" s="22">
        <f>MAX((L5+L16),0)</f>
        <v>0</v>
      </c>
      <c r="M18" s="22"/>
      <c r="N18" s="22">
        <f>MAX((N5+N16),0)</f>
        <v>41.152605387085231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0.18330428508630645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164.51412943067933</v>
      </c>
      <c r="C22" s="24">
        <f ca="1">C18*C20</f>
        <v>0</v>
      </c>
      <c r="D22" s="24">
        <f>D18*D20</f>
        <v>53.104449023999997</v>
      </c>
      <c r="E22" s="24">
        <f>E18*E20</f>
        <v>1.5299580279954785</v>
      </c>
      <c r="F22" s="24">
        <f>F18*F20</f>
        <v>116.37106197075441</v>
      </c>
      <c r="G22" s="24"/>
      <c r="H22" s="24"/>
      <c r="I22" s="24"/>
      <c r="J22" s="24">
        <f>J18*J20</f>
        <v>0.92736510856037047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156.88399999999999</v>
      </c>
      <c r="C30" s="40">
        <f>IF(ISERROR(B30*3.6/1000000/'E Balans VL '!Z18*100),0,B30*3.6/1000000/'E Balans VL '!Z18*100)</f>
        <v>8.7295455256927827E-3</v>
      </c>
      <c r="D30" s="236" t="s">
        <v>660</v>
      </c>
    </row>
    <row r="31" spans="1:18">
      <c r="A31" s="6" t="s">
        <v>32</v>
      </c>
      <c r="B31" s="38">
        <f>IF( ISERROR(IND_ander_ele_kWh/1000),0,IND_ander_ele_kWh/1000)</f>
        <v>486.35199999999998</v>
      </c>
      <c r="C31" s="40">
        <f>IF(ISERROR(B31*3.6/1000000/'E Balans VL '!Z19*100),0,B31*3.6/1000000/'E Balans VL '!Z19*100)</f>
        <v>2.2609227172421292E-2</v>
      </c>
      <c r="D31" s="236" t="s">
        <v>660</v>
      </c>
    </row>
    <row r="32" spans="1:18">
      <c r="A32" s="171" t="s">
        <v>40</v>
      </c>
      <c r="B32" s="38">
        <f>IF( ISERROR(IND_voed_ele_kWh/1000),0,IND_voed_ele_kWh/1000)</f>
        <v>254.256</v>
      </c>
      <c r="C32" s="40">
        <f>IF(ISERROR(B32*3.6/1000000/'E Balans VL '!Z20*100),0,B32*3.6/1000000/'E Balans VL '!Z20*100)</f>
        <v>8.9874361082613995E-3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0</v>
      </c>
      <c r="C37" s="40">
        <f>IF(ISERROR(B37*3.6/1000000/'E Balans VL '!Z15*100),0,B37*3.6/1000000/'E Balans VL '!Z15*100)</f>
        <v>0</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3664.0039999999999</v>
      </c>
      <c r="C5" s="18">
        <f>'Eigen informatie GS &amp; warmtenet'!B60</f>
        <v>0</v>
      </c>
      <c r="D5" s="31">
        <f>IF(ISERROR(SUM(LB_lb_gas_kWh,LB_rest_gas_kWh)/1000),0,SUM(LB_lb_gas_kWh,LB_rest_gas_kWh)/1000)*0.902</f>
        <v>62.127956000000005</v>
      </c>
      <c r="E5" s="18">
        <f>B17*'E Balans VL '!I25/3.6*1000000/100</f>
        <v>36.182706379528689</v>
      </c>
      <c r="F5" s="18">
        <f>B17*('E Balans VL '!L25/3.6*1000000+'E Balans VL '!N25/3.6*1000000)/100</f>
        <v>12224.086832017025</v>
      </c>
      <c r="G5" s="19"/>
      <c r="H5" s="18"/>
      <c r="I5" s="18"/>
      <c r="J5" s="18">
        <f>('E Balans VL '!D25+'E Balans VL '!E25)/3.6*1000000*landbouw!B17/100</f>
        <v>365.55638878809054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3664.0039999999999</v>
      </c>
      <c r="C8" s="22">
        <f>C5+C6</f>
        <v>0</v>
      </c>
      <c r="D8" s="22">
        <f>MAX((D5+D6),0)</f>
        <v>62.127956000000005</v>
      </c>
      <c r="E8" s="22">
        <f>MAX((E5+E6),0)</f>
        <v>36.182706379528689</v>
      </c>
      <c r="F8" s="22">
        <f>MAX((F5+F6),0)</f>
        <v>12224.086832017025</v>
      </c>
      <c r="G8" s="22"/>
      <c r="H8" s="22"/>
      <c r="I8" s="22"/>
      <c r="J8" s="22">
        <f>MAX((J5+J6),0)</f>
        <v>365.55638878809054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0.18330428508630645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671.62763377336717</v>
      </c>
      <c r="C12" s="24">
        <f ca="1">C8*C10</f>
        <v>0</v>
      </c>
      <c r="D12" s="24">
        <f>D8*D10</f>
        <v>12.549847112000002</v>
      </c>
      <c r="E12" s="24">
        <f>E8*E10</f>
        <v>8.2134743481530119</v>
      </c>
      <c r="F12" s="24">
        <f>F8*F10</f>
        <v>3263.8311841485456</v>
      </c>
      <c r="G12" s="24"/>
      <c r="H12" s="24"/>
      <c r="I12" s="24"/>
      <c r="J12" s="24">
        <f>J8*J10</f>
        <v>129.40696163098406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0.49604759268771131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62.693810267400885</v>
      </c>
      <c r="C26" s="246">
        <f>B26*'GWP N2O_CH4'!B5</f>
        <v>1316.5700156154185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24.392482768680107</v>
      </c>
      <c r="C27" s="246">
        <f>B27*'GWP N2O_CH4'!B5</f>
        <v>512.24213814228222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1.1406135537094912</v>
      </c>
      <c r="C28" s="246">
        <f>B28*'GWP N2O_CH4'!B4</f>
        <v>353.59020164994229</v>
      </c>
      <c r="D28" s="51"/>
    </row>
    <row r="29" spans="1:4">
      <c r="A29" s="42" t="s">
        <v>266</v>
      </c>
      <c r="B29" s="246">
        <f>B34*'ha_N2O bodem landbouw'!B4</f>
        <v>7.1148206618412022</v>
      </c>
      <c r="C29" s="246">
        <f>B29*'GWP N2O_CH4'!B4</f>
        <v>2205.5944051707725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1.9207776022441829E-3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3.781630228870906E-6</v>
      </c>
      <c r="C5" s="433" t="s">
        <v>204</v>
      </c>
      <c r="D5" s="418">
        <f>SUM(D6:D11)</f>
        <v>6.0754261439631789E-6</v>
      </c>
      <c r="E5" s="418">
        <f>SUM(E6:E11)</f>
        <v>3.7708635886867225E-4</v>
      </c>
      <c r="F5" s="431" t="s">
        <v>204</v>
      </c>
      <c r="G5" s="418">
        <f>SUM(G6:G11)</f>
        <v>6.6771368715697416E-2</v>
      </c>
      <c r="H5" s="418">
        <f>SUM(H6:H11)</f>
        <v>1.5113077372151272E-2</v>
      </c>
      <c r="I5" s="433" t="s">
        <v>204</v>
      </c>
      <c r="J5" s="433" t="s">
        <v>204</v>
      </c>
      <c r="K5" s="433" t="s">
        <v>204</v>
      </c>
      <c r="L5" s="433" t="s">
        <v>204</v>
      </c>
      <c r="M5" s="418">
        <f>SUM(M6:M11)</f>
        <v>3.6633004235204708E-3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1.3206504380320938E-6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1.5317142539331476E-6</v>
      </c>
      <c r="E6" s="421">
        <f>vkm_GW_PW*SUMIFS(TableVerdeelsleutelVkm[LPG],TableVerdeelsleutelVkm[Voertuigtype],"Lichte voertuigen")*SUMIFS(TableECFTransport[EnergieConsumptieFactor (PJ per km)],TableECFTransport[Index],CONCATENATE($A6,"_LPG_LPG"))</f>
        <v>9.9142234497410497E-5</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1.5631929110891188E-2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3.9527411234199991E-3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8.7661114888625219E-4</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5.2246792333619032E-8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8.6427127850506654E-3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2.693498638930497E-7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3.8457423957876226E-4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2.4037388882214648E-6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4.5437118900300315E-6</v>
      </c>
      <c r="E8" s="421">
        <f>vkm_NGW_PW*SUMIFS(TableVerdeelsleutelVkm[LPG],TableVerdeelsleutelVkm[Voertuigtype],"Lichte voertuigen")*SUMIFS(TableECFTransport[EnergieConsumptieFactor (PJ per km)],TableECFTransport[Index],CONCATENATE($A8,"_LPG_LPG"))</f>
        <v>2.7794412437126174E-4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4.1437342350604263E-2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1.1160035822395819E-2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2.3549757607255017E-3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4.9941102837283163E-9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1.0593844691513007E-3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3.1076471560715596E-8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4.7139274329954251E-5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1.0504528413530294</v>
      </c>
      <c r="C14" s="22"/>
      <c r="D14" s="22">
        <f t="shared" ref="D14:M14" si="0">((D5)*10^9/3600)+D12</f>
        <v>1.6876183733231054</v>
      </c>
      <c r="E14" s="22">
        <f t="shared" si="0"/>
        <v>104.74621079685339</v>
      </c>
      <c r="F14" s="22"/>
      <c r="G14" s="22">
        <f t="shared" si="0"/>
        <v>18547.602421027059</v>
      </c>
      <c r="H14" s="22">
        <f t="shared" si="0"/>
        <v>4198.0770478197983</v>
      </c>
      <c r="I14" s="22"/>
      <c r="J14" s="22"/>
      <c r="K14" s="22"/>
      <c r="L14" s="22"/>
      <c r="M14" s="22">
        <f t="shared" si="0"/>
        <v>1017.5834509779086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0.18330428508630645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0.19255250710109634</v>
      </c>
      <c r="C18" s="24"/>
      <c r="D18" s="24">
        <f t="shared" ref="D18:M18" si="1">D14*D16</f>
        <v>0.34089891141126732</v>
      </c>
      <c r="E18" s="24">
        <f t="shared" si="1"/>
        <v>23.777389850885719</v>
      </c>
      <c r="F18" s="24"/>
      <c r="G18" s="24">
        <f t="shared" si="1"/>
        <v>4952.2098464142246</v>
      </c>
      <c r="H18" s="24">
        <f t="shared" si="1"/>
        <v>1045.3211849071297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1.8540880949279879E-5</v>
      </c>
      <c r="C50" s="316">
        <f t="shared" ref="C50:P50" si="2">SUM(C51:C52)</f>
        <v>0</v>
      </c>
      <c r="D50" s="316">
        <f t="shared" si="2"/>
        <v>0</v>
      </c>
      <c r="E50" s="316">
        <f t="shared" si="2"/>
        <v>0</v>
      </c>
      <c r="F50" s="316">
        <f t="shared" si="2"/>
        <v>0</v>
      </c>
      <c r="G50" s="316">
        <f t="shared" si="2"/>
        <v>3.6980153623196845E-3</v>
      </c>
      <c r="H50" s="316">
        <f t="shared" si="2"/>
        <v>0</v>
      </c>
      <c r="I50" s="316">
        <f t="shared" si="2"/>
        <v>0</v>
      </c>
      <c r="J50" s="316">
        <f t="shared" si="2"/>
        <v>0</v>
      </c>
      <c r="K50" s="316">
        <f t="shared" si="2"/>
        <v>0</v>
      </c>
      <c r="L50" s="316">
        <f t="shared" si="2"/>
        <v>0</v>
      </c>
      <c r="M50" s="316">
        <f t="shared" si="2"/>
        <v>1.6344834046942998E-4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1.8540880949279879E-5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3.6980153623196845E-3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1.6344834046942998E-4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5.1502447081332994</v>
      </c>
      <c r="C54" s="22">
        <f t="shared" ref="C54:P54" si="3">(C50)*10^9/3600</f>
        <v>0</v>
      </c>
      <c r="D54" s="22">
        <f t="shared" si="3"/>
        <v>0</v>
      </c>
      <c r="E54" s="22">
        <f t="shared" si="3"/>
        <v>0</v>
      </c>
      <c r="F54" s="22">
        <f t="shared" si="3"/>
        <v>0</v>
      </c>
      <c r="G54" s="22">
        <f t="shared" si="3"/>
        <v>1027.2264895332457</v>
      </c>
      <c r="H54" s="22">
        <f t="shared" si="3"/>
        <v>0</v>
      </c>
      <c r="I54" s="22">
        <f t="shared" si="3"/>
        <v>0</v>
      </c>
      <c r="J54" s="22">
        <f t="shared" si="3"/>
        <v>0</v>
      </c>
      <c r="K54" s="22">
        <f t="shared" si="3"/>
        <v>0</v>
      </c>
      <c r="L54" s="22">
        <f t="shared" si="3"/>
        <v>0</v>
      </c>
      <c r="M54" s="22">
        <f t="shared" si="3"/>
        <v>45.402316797063882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0.18330428508630645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0.94406192424390745</v>
      </c>
      <c r="C58" s="24">
        <f t="shared" ref="C58:P58" ca="1" si="4">C54*C56</f>
        <v>0</v>
      </c>
      <c r="D58" s="24">
        <f t="shared" si="4"/>
        <v>0</v>
      </c>
      <c r="E58" s="24">
        <f t="shared" si="4"/>
        <v>0</v>
      </c>
      <c r="F58" s="24">
        <f t="shared" si="4"/>
        <v>0</v>
      </c>
      <c r="G58" s="24">
        <f t="shared" si="4"/>
        <v>274.26947270537664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4008.7594951810952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4008.7594951810952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5323.2220000000007</v>
      </c>
      <c r="D10" s="639">
        <f ca="1">tertiair!C16</f>
        <v>0</v>
      </c>
      <c r="E10" s="639">
        <f ca="1">tertiair!D16</f>
        <v>1509.5971220000001</v>
      </c>
      <c r="F10" s="639">
        <f>tertiair!E16</f>
        <v>45.721150913171677</v>
      </c>
      <c r="G10" s="639">
        <f ca="1">tertiair!F16</f>
        <v>1057.9540069929781</v>
      </c>
      <c r="H10" s="639">
        <f>tertiair!G16</f>
        <v>0</v>
      </c>
      <c r="I10" s="639">
        <f>tertiair!H16</f>
        <v>0</v>
      </c>
      <c r="J10" s="639">
        <f>tertiair!I16</f>
        <v>0</v>
      </c>
      <c r="K10" s="639">
        <f>tertiair!J16</f>
        <v>0</v>
      </c>
      <c r="L10" s="639">
        <f>tertiair!K16</f>
        <v>0</v>
      </c>
      <c r="M10" s="639">
        <f ca="1">tertiair!L16</f>
        <v>0</v>
      </c>
      <c r="N10" s="639">
        <f>tertiair!M16</f>
        <v>0</v>
      </c>
      <c r="O10" s="639">
        <f ca="1">tertiair!N16</f>
        <v>468.51298825475106</v>
      </c>
      <c r="P10" s="639">
        <f>tertiair!O16</f>
        <v>0</v>
      </c>
      <c r="Q10" s="640">
        <f>tertiair!P16</f>
        <v>0</v>
      </c>
      <c r="R10" s="642">
        <f ca="1">SUM(C10:Q10)</f>
        <v>8405.0072681609017</v>
      </c>
      <c r="S10" s="68"/>
    </row>
    <row r="11" spans="1:19" s="443" customFormat="1">
      <c r="A11" s="753" t="s">
        <v>214</v>
      </c>
      <c r="B11" s="758"/>
      <c r="C11" s="639">
        <f>huishoudens!B8</f>
        <v>13457.473265358271</v>
      </c>
      <c r="D11" s="639">
        <f>huishoudens!C8</f>
        <v>0</v>
      </c>
      <c r="E11" s="639">
        <f>huishoudens!D8</f>
        <v>12913.671518000001</v>
      </c>
      <c r="F11" s="639">
        <f>huishoudens!E8</f>
        <v>1040.0345505798819</v>
      </c>
      <c r="G11" s="639">
        <f>huishoudens!F8</f>
        <v>31707.633919173932</v>
      </c>
      <c r="H11" s="639">
        <f>huishoudens!G8</f>
        <v>0</v>
      </c>
      <c r="I11" s="639">
        <f>huishoudens!H8</f>
        <v>0</v>
      </c>
      <c r="J11" s="639">
        <f>huishoudens!I8</f>
        <v>0</v>
      </c>
      <c r="K11" s="639">
        <f>huishoudens!J8</f>
        <v>575.32396907046723</v>
      </c>
      <c r="L11" s="639">
        <f>huishoudens!K8</f>
        <v>0</v>
      </c>
      <c r="M11" s="639">
        <f>huishoudens!L8</f>
        <v>0</v>
      </c>
      <c r="N11" s="639">
        <f>huishoudens!M8</f>
        <v>0</v>
      </c>
      <c r="O11" s="639">
        <f>huishoudens!N8</f>
        <v>4302.851470459017</v>
      </c>
      <c r="P11" s="639">
        <f>huishoudens!O8</f>
        <v>31.266666666666666</v>
      </c>
      <c r="Q11" s="640">
        <f>huishoudens!P8</f>
        <v>247.86666666666667</v>
      </c>
      <c r="R11" s="642">
        <f>SUM(C11:Q11)</f>
        <v>64276.12202597491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897.49199999999996</v>
      </c>
      <c r="D13" s="639">
        <f>industrie!C18</f>
        <v>0</v>
      </c>
      <c r="E13" s="639">
        <f>industrie!D18</f>
        <v>262.89331199999998</v>
      </c>
      <c r="F13" s="639">
        <f>industrie!E18</f>
        <v>6.7399032070285392</v>
      </c>
      <c r="G13" s="639">
        <f>industrie!F18</f>
        <v>435.84667404776928</v>
      </c>
      <c r="H13" s="639">
        <f>industrie!G18</f>
        <v>0</v>
      </c>
      <c r="I13" s="639">
        <f>industrie!H18</f>
        <v>0</v>
      </c>
      <c r="J13" s="639">
        <f>industrie!I18</f>
        <v>0</v>
      </c>
      <c r="K13" s="639">
        <f>industrie!J18</f>
        <v>2.6196754479106512</v>
      </c>
      <c r="L13" s="639">
        <f>industrie!K18</f>
        <v>0</v>
      </c>
      <c r="M13" s="639">
        <f>industrie!L18</f>
        <v>0</v>
      </c>
      <c r="N13" s="639">
        <f>industrie!M18</f>
        <v>0</v>
      </c>
      <c r="O13" s="639">
        <f>industrie!N18</f>
        <v>41.152605387085231</v>
      </c>
      <c r="P13" s="639">
        <f>industrie!O18</f>
        <v>0</v>
      </c>
      <c r="Q13" s="640">
        <f>industrie!P18</f>
        <v>0</v>
      </c>
      <c r="R13" s="642">
        <f>SUM(C13:Q13)</f>
        <v>1646.7441700897937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19678.187265358269</v>
      </c>
      <c r="D16" s="672">
        <f t="shared" ref="D16:R16" ca="1" si="0">SUM(D9:D15)</f>
        <v>0</v>
      </c>
      <c r="E16" s="672">
        <f t="shared" ca="1" si="0"/>
        <v>14686.161952000002</v>
      </c>
      <c r="F16" s="672">
        <f t="shared" si="0"/>
        <v>1092.4956047000821</v>
      </c>
      <c r="G16" s="672">
        <f t="shared" ca="1" si="0"/>
        <v>33201.434600214678</v>
      </c>
      <c r="H16" s="672">
        <f t="shared" si="0"/>
        <v>0</v>
      </c>
      <c r="I16" s="672">
        <f t="shared" si="0"/>
        <v>0</v>
      </c>
      <c r="J16" s="672">
        <f t="shared" si="0"/>
        <v>0</v>
      </c>
      <c r="K16" s="672">
        <f t="shared" si="0"/>
        <v>577.94364451837782</v>
      </c>
      <c r="L16" s="672">
        <f t="shared" si="0"/>
        <v>0</v>
      </c>
      <c r="M16" s="672">
        <f t="shared" ca="1" si="0"/>
        <v>0</v>
      </c>
      <c r="N16" s="672">
        <f t="shared" si="0"/>
        <v>0</v>
      </c>
      <c r="O16" s="672">
        <f t="shared" ca="1" si="0"/>
        <v>4812.5170641008526</v>
      </c>
      <c r="P16" s="672">
        <f t="shared" si="0"/>
        <v>31.266666666666666</v>
      </c>
      <c r="Q16" s="672">
        <f t="shared" si="0"/>
        <v>247.86666666666667</v>
      </c>
      <c r="R16" s="672">
        <f t="shared" ca="1" si="0"/>
        <v>74327.873464225602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5.1502447081332994</v>
      </c>
      <c r="D19" s="639">
        <f>transport!C54</f>
        <v>0</v>
      </c>
      <c r="E19" s="639">
        <f>transport!D54</f>
        <v>0</v>
      </c>
      <c r="F19" s="639">
        <f>transport!E54</f>
        <v>0</v>
      </c>
      <c r="G19" s="639">
        <f>transport!F54</f>
        <v>0</v>
      </c>
      <c r="H19" s="639">
        <f>transport!G54</f>
        <v>1027.2264895332457</v>
      </c>
      <c r="I19" s="639">
        <f>transport!H54</f>
        <v>0</v>
      </c>
      <c r="J19" s="639">
        <f>transport!I54</f>
        <v>0</v>
      </c>
      <c r="K19" s="639">
        <f>transport!J54</f>
        <v>0</v>
      </c>
      <c r="L19" s="639">
        <f>transport!K54</f>
        <v>0</v>
      </c>
      <c r="M19" s="639">
        <f>transport!L54</f>
        <v>0</v>
      </c>
      <c r="N19" s="639">
        <f>transport!M54</f>
        <v>45.402316797063882</v>
      </c>
      <c r="O19" s="639">
        <f>transport!N54</f>
        <v>0</v>
      </c>
      <c r="P19" s="639">
        <f>transport!O54</f>
        <v>0</v>
      </c>
      <c r="Q19" s="640">
        <f>transport!P54</f>
        <v>0</v>
      </c>
      <c r="R19" s="642">
        <f>SUM(C19:Q19)</f>
        <v>1077.7790510384427</v>
      </c>
      <c r="S19" s="68"/>
    </row>
    <row r="20" spans="1:19" s="443" customFormat="1">
      <c r="A20" s="753" t="s">
        <v>296</v>
      </c>
      <c r="B20" s="758"/>
      <c r="C20" s="639">
        <f>transport!B14</f>
        <v>1.0504528413530294</v>
      </c>
      <c r="D20" s="639">
        <f>transport!C14</f>
        <v>0</v>
      </c>
      <c r="E20" s="639">
        <f>transport!D14</f>
        <v>1.6876183733231054</v>
      </c>
      <c r="F20" s="639">
        <f>transport!E14</f>
        <v>104.74621079685339</v>
      </c>
      <c r="G20" s="639">
        <f>transport!F14</f>
        <v>0</v>
      </c>
      <c r="H20" s="639">
        <f>transport!G14</f>
        <v>18547.602421027059</v>
      </c>
      <c r="I20" s="639">
        <f>transport!H14</f>
        <v>4198.0770478197983</v>
      </c>
      <c r="J20" s="639">
        <f>transport!I14</f>
        <v>0</v>
      </c>
      <c r="K20" s="639">
        <f>transport!J14</f>
        <v>0</v>
      </c>
      <c r="L20" s="639">
        <f>transport!K14</f>
        <v>0</v>
      </c>
      <c r="M20" s="639">
        <f>transport!L14</f>
        <v>0</v>
      </c>
      <c r="N20" s="639">
        <f>transport!M14</f>
        <v>1017.5834509779086</v>
      </c>
      <c r="O20" s="639">
        <f>transport!N14</f>
        <v>0</v>
      </c>
      <c r="P20" s="639">
        <f>transport!O14</f>
        <v>0</v>
      </c>
      <c r="Q20" s="640">
        <f>transport!P14</f>
        <v>0</v>
      </c>
      <c r="R20" s="642">
        <f>SUM(C20:Q20)</f>
        <v>23870.747201836297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6.2006975494863283</v>
      </c>
      <c r="D22" s="756">
        <f t="shared" ref="D22:R22" si="1">SUM(D18:D21)</f>
        <v>0</v>
      </c>
      <c r="E22" s="756">
        <f t="shared" si="1"/>
        <v>1.6876183733231054</v>
      </c>
      <c r="F22" s="756">
        <f t="shared" si="1"/>
        <v>104.74621079685339</v>
      </c>
      <c r="G22" s="756">
        <f t="shared" si="1"/>
        <v>0</v>
      </c>
      <c r="H22" s="756">
        <f t="shared" si="1"/>
        <v>19574.828910560303</v>
      </c>
      <c r="I22" s="756">
        <f t="shared" si="1"/>
        <v>4198.0770478197983</v>
      </c>
      <c r="J22" s="756">
        <f t="shared" si="1"/>
        <v>0</v>
      </c>
      <c r="K22" s="756">
        <f t="shared" si="1"/>
        <v>0</v>
      </c>
      <c r="L22" s="756">
        <f t="shared" si="1"/>
        <v>0</v>
      </c>
      <c r="M22" s="756">
        <f t="shared" si="1"/>
        <v>0</v>
      </c>
      <c r="N22" s="756">
        <f t="shared" si="1"/>
        <v>1062.9857677749724</v>
      </c>
      <c r="O22" s="756">
        <f t="shared" si="1"/>
        <v>0</v>
      </c>
      <c r="P22" s="756">
        <f t="shared" si="1"/>
        <v>0</v>
      </c>
      <c r="Q22" s="756">
        <f t="shared" si="1"/>
        <v>0</v>
      </c>
      <c r="R22" s="756">
        <f t="shared" si="1"/>
        <v>24948.526252874741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3664.0039999999999</v>
      </c>
      <c r="D24" s="639">
        <f>+landbouw!C8</f>
        <v>0</v>
      </c>
      <c r="E24" s="639">
        <f>+landbouw!D8</f>
        <v>62.127956000000005</v>
      </c>
      <c r="F24" s="639">
        <f>+landbouw!E8</f>
        <v>36.182706379528689</v>
      </c>
      <c r="G24" s="639">
        <f>+landbouw!F8</f>
        <v>12224.086832017025</v>
      </c>
      <c r="H24" s="639">
        <f>+landbouw!G8</f>
        <v>0</v>
      </c>
      <c r="I24" s="639">
        <f>+landbouw!H8</f>
        <v>0</v>
      </c>
      <c r="J24" s="639">
        <f>+landbouw!I8</f>
        <v>0</v>
      </c>
      <c r="K24" s="639">
        <f>+landbouw!J8</f>
        <v>365.55638878809054</v>
      </c>
      <c r="L24" s="639">
        <f>+landbouw!K8</f>
        <v>0</v>
      </c>
      <c r="M24" s="639">
        <f>+landbouw!L8</f>
        <v>0</v>
      </c>
      <c r="N24" s="639">
        <f>+landbouw!M8</f>
        <v>0</v>
      </c>
      <c r="O24" s="639">
        <f>+landbouw!N8</f>
        <v>0</v>
      </c>
      <c r="P24" s="639">
        <f>+landbouw!O8</f>
        <v>0</v>
      </c>
      <c r="Q24" s="640">
        <f>+landbouw!P8</f>
        <v>0</v>
      </c>
      <c r="R24" s="642">
        <f>SUM(C24:Q24)</f>
        <v>16351.957883184643</v>
      </c>
      <c r="S24" s="68"/>
    </row>
    <row r="25" spans="1:19" s="443" customFormat="1" ht="15" thickBot="1">
      <c r="A25" s="775" t="s">
        <v>847</v>
      </c>
      <c r="B25" s="941"/>
      <c r="C25" s="942">
        <f>IF(Onbekend_ele_kWh="---",0,Onbekend_ele_kWh)/1000+IF(REST_rest_ele_kWh="---",0,REST_rest_ele_kWh)/1000</f>
        <v>153.904</v>
      </c>
      <c r="D25" s="942"/>
      <c r="E25" s="942">
        <f>IF(onbekend_gas_kWh="---",0,onbekend_gas_kWh)/1000+IF(REST_rest_gas_kWh="---",0,REST_rest_gas_kWh)/1000</f>
        <v>1206.0319999999999</v>
      </c>
      <c r="F25" s="942"/>
      <c r="G25" s="942"/>
      <c r="H25" s="942"/>
      <c r="I25" s="942"/>
      <c r="J25" s="942"/>
      <c r="K25" s="942"/>
      <c r="L25" s="942"/>
      <c r="M25" s="942"/>
      <c r="N25" s="942"/>
      <c r="O25" s="942"/>
      <c r="P25" s="942"/>
      <c r="Q25" s="943"/>
      <c r="R25" s="642">
        <f>SUM(C25:Q25)</f>
        <v>1359.9359999999999</v>
      </c>
      <c r="S25" s="68"/>
    </row>
    <row r="26" spans="1:19" s="443" customFormat="1" ht="15.75" thickBot="1">
      <c r="A26" s="645" t="s">
        <v>848</v>
      </c>
      <c r="B26" s="761"/>
      <c r="C26" s="756">
        <f>SUM(C24:C25)</f>
        <v>3817.9079999999999</v>
      </c>
      <c r="D26" s="756">
        <f t="shared" ref="D26:R26" si="2">SUM(D24:D25)</f>
        <v>0</v>
      </c>
      <c r="E26" s="756">
        <f t="shared" si="2"/>
        <v>1268.159956</v>
      </c>
      <c r="F26" s="756">
        <f t="shared" si="2"/>
        <v>36.182706379528689</v>
      </c>
      <c r="G26" s="756">
        <f t="shared" si="2"/>
        <v>12224.086832017025</v>
      </c>
      <c r="H26" s="756">
        <f t="shared" si="2"/>
        <v>0</v>
      </c>
      <c r="I26" s="756">
        <f t="shared" si="2"/>
        <v>0</v>
      </c>
      <c r="J26" s="756">
        <f t="shared" si="2"/>
        <v>0</v>
      </c>
      <c r="K26" s="756">
        <f t="shared" si="2"/>
        <v>365.55638878809054</v>
      </c>
      <c r="L26" s="756">
        <f t="shared" si="2"/>
        <v>0</v>
      </c>
      <c r="M26" s="756">
        <f t="shared" si="2"/>
        <v>0</v>
      </c>
      <c r="N26" s="756">
        <f t="shared" si="2"/>
        <v>0</v>
      </c>
      <c r="O26" s="756">
        <f t="shared" si="2"/>
        <v>0</v>
      </c>
      <c r="P26" s="756">
        <f t="shared" si="2"/>
        <v>0</v>
      </c>
      <c r="Q26" s="756">
        <f t="shared" si="2"/>
        <v>0</v>
      </c>
      <c r="R26" s="756">
        <f t="shared" si="2"/>
        <v>17711.893883184643</v>
      </c>
      <c r="S26" s="68"/>
    </row>
    <row r="27" spans="1:19" s="443" customFormat="1" ht="17.25" thickTop="1" thickBot="1">
      <c r="A27" s="646" t="s">
        <v>109</v>
      </c>
      <c r="B27" s="748"/>
      <c r="C27" s="647">
        <f ca="1">C22+C16+C26</f>
        <v>23502.295962907756</v>
      </c>
      <c r="D27" s="647">
        <f t="shared" ref="D27:R27" ca="1" si="3">D22+D16+D26</f>
        <v>0</v>
      </c>
      <c r="E27" s="647">
        <f t="shared" ca="1" si="3"/>
        <v>15956.009526373326</v>
      </c>
      <c r="F27" s="647">
        <f t="shared" si="3"/>
        <v>1233.4245218764643</v>
      </c>
      <c r="G27" s="647">
        <f t="shared" ca="1" si="3"/>
        <v>45425.521432231704</v>
      </c>
      <c r="H27" s="647">
        <f t="shared" si="3"/>
        <v>19574.828910560303</v>
      </c>
      <c r="I27" s="647">
        <f t="shared" si="3"/>
        <v>4198.0770478197983</v>
      </c>
      <c r="J27" s="647">
        <f t="shared" si="3"/>
        <v>0</v>
      </c>
      <c r="K27" s="647">
        <f t="shared" si="3"/>
        <v>943.50003330646837</v>
      </c>
      <c r="L27" s="647">
        <f t="shared" si="3"/>
        <v>0</v>
      </c>
      <c r="M27" s="647">
        <f t="shared" ca="1" si="3"/>
        <v>0</v>
      </c>
      <c r="N27" s="647">
        <f t="shared" si="3"/>
        <v>1062.9857677749724</v>
      </c>
      <c r="O27" s="647">
        <f t="shared" ca="1" si="3"/>
        <v>4812.5170641008526</v>
      </c>
      <c r="P27" s="647">
        <f t="shared" si="3"/>
        <v>31.266666666666666</v>
      </c>
      <c r="Q27" s="647">
        <f t="shared" si="3"/>
        <v>247.86666666666667</v>
      </c>
      <c r="R27" s="647">
        <f t="shared" ca="1" si="3"/>
        <v>116988.29360028499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975.7694030656985</v>
      </c>
      <c r="D40" s="639">
        <f ca="1">tertiair!C20</f>
        <v>0</v>
      </c>
      <c r="E40" s="639">
        <f ca="1">tertiair!D20</f>
        <v>304.93861864400003</v>
      </c>
      <c r="F40" s="639">
        <f>tertiair!E20</f>
        <v>10.37870125728997</v>
      </c>
      <c r="G40" s="639">
        <f ca="1">tertiair!F20</f>
        <v>282.47371986712517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1573.5604428341139</v>
      </c>
    </row>
    <row r="41" spans="1:18">
      <c r="A41" s="766" t="s">
        <v>214</v>
      </c>
      <c r="B41" s="773"/>
      <c r="C41" s="639">
        <f ca="1">huishoudens!B12</f>
        <v>2466.8125159745796</v>
      </c>
      <c r="D41" s="639">
        <f ca="1">huishoudens!C12</f>
        <v>0</v>
      </c>
      <c r="E41" s="639">
        <f>huishoudens!D12</f>
        <v>2608.5616466360002</v>
      </c>
      <c r="F41" s="639">
        <f>huishoudens!E12</f>
        <v>236.0878429816332</v>
      </c>
      <c r="G41" s="639">
        <f>huishoudens!F12</f>
        <v>8465.9382564194402</v>
      </c>
      <c r="H41" s="639">
        <f>huishoudens!G12</f>
        <v>0</v>
      </c>
      <c r="I41" s="639">
        <f>huishoudens!H12</f>
        <v>0</v>
      </c>
      <c r="J41" s="639">
        <f>huishoudens!I12</f>
        <v>0</v>
      </c>
      <c r="K41" s="639">
        <f>huishoudens!J12</f>
        <v>203.66468505094539</v>
      </c>
      <c r="L41" s="639">
        <f>huishoudens!K12</f>
        <v>0</v>
      </c>
      <c r="M41" s="639">
        <f>huishoudens!L12</f>
        <v>0</v>
      </c>
      <c r="N41" s="639">
        <f>huishoudens!M12</f>
        <v>0</v>
      </c>
      <c r="O41" s="639">
        <f>huishoudens!N12</f>
        <v>0</v>
      </c>
      <c r="P41" s="639">
        <f>huishoudens!O12</f>
        <v>0</v>
      </c>
      <c r="Q41" s="714">
        <f>huishoudens!P12</f>
        <v>0</v>
      </c>
      <c r="R41" s="794">
        <f t="shared" ca="1" si="4"/>
        <v>13981.064947062599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164.51412943067933</v>
      </c>
      <c r="D43" s="639">
        <f ca="1">industrie!C22</f>
        <v>0</v>
      </c>
      <c r="E43" s="639">
        <f>industrie!D22</f>
        <v>53.104449023999997</v>
      </c>
      <c r="F43" s="639">
        <f>industrie!E22</f>
        <v>1.5299580279954785</v>
      </c>
      <c r="G43" s="639">
        <f>industrie!F22</f>
        <v>116.37106197075441</v>
      </c>
      <c r="H43" s="639">
        <f>industrie!G22</f>
        <v>0</v>
      </c>
      <c r="I43" s="639">
        <f>industrie!H22</f>
        <v>0</v>
      </c>
      <c r="J43" s="639">
        <f>industrie!I22</f>
        <v>0</v>
      </c>
      <c r="K43" s="639">
        <f>industrie!J22</f>
        <v>0.92736510856037047</v>
      </c>
      <c r="L43" s="639">
        <f>industrie!K22</f>
        <v>0</v>
      </c>
      <c r="M43" s="639">
        <f>industrie!L22</f>
        <v>0</v>
      </c>
      <c r="N43" s="639">
        <f>industrie!M22</f>
        <v>0</v>
      </c>
      <c r="O43" s="639">
        <f>industrie!N22</f>
        <v>0</v>
      </c>
      <c r="P43" s="639">
        <f>industrie!O22</f>
        <v>0</v>
      </c>
      <c r="Q43" s="714">
        <f>industrie!P22</f>
        <v>0</v>
      </c>
      <c r="R43" s="793">
        <f t="shared" ca="1" si="4"/>
        <v>336.44696356198961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3607.0960484709576</v>
      </c>
      <c r="D46" s="672">
        <f t="shared" ref="D46:Q46" ca="1" si="5">SUM(D39:D45)</f>
        <v>0</v>
      </c>
      <c r="E46" s="672">
        <f t="shared" ca="1" si="5"/>
        <v>2966.6047143040005</v>
      </c>
      <c r="F46" s="672">
        <f t="shared" si="5"/>
        <v>247.99650226691867</v>
      </c>
      <c r="G46" s="672">
        <f t="shared" ca="1" si="5"/>
        <v>8864.7830382573193</v>
      </c>
      <c r="H46" s="672">
        <f t="shared" si="5"/>
        <v>0</v>
      </c>
      <c r="I46" s="672">
        <f t="shared" si="5"/>
        <v>0</v>
      </c>
      <c r="J46" s="672">
        <f t="shared" si="5"/>
        <v>0</v>
      </c>
      <c r="K46" s="672">
        <f t="shared" si="5"/>
        <v>204.59205015950576</v>
      </c>
      <c r="L46" s="672">
        <f t="shared" si="5"/>
        <v>0</v>
      </c>
      <c r="M46" s="672">
        <f t="shared" ca="1" si="5"/>
        <v>0</v>
      </c>
      <c r="N46" s="672">
        <f t="shared" si="5"/>
        <v>0</v>
      </c>
      <c r="O46" s="672">
        <f t="shared" ca="1" si="5"/>
        <v>0</v>
      </c>
      <c r="P46" s="672">
        <f t="shared" si="5"/>
        <v>0</v>
      </c>
      <c r="Q46" s="672">
        <f t="shared" si="5"/>
        <v>0</v>
      </c>
      <c r="R46" s="672">
        <f ca="1">SUM(R39:R45)</f>
        <v>15891.072353458703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0.94406192424390745</v>
      </c>
      <c r="D49" s="639">
        <f ca="1">transport!C58</f>
        <v>0</v>
      </c>
      <c r="E49" s="639">
        <f>transport!D58</f>
        <v>0</v>
      </c>
      <c r="F49" s="639">
        <f>transport!E58</f>
        <v>0</v>
      </c>
      <c r="G49" s="639">
        <f>transport!F58</f>
        <v>0</v>
      </c>
      <c r="H49" s="639">
        <f>transport!G58</f>
        <v>274.26947270537664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275.21353462962054</v>
      </c>
    </row>
    <row r="50" spans="1:18">
      <c r="A50" s="769" t="s">
        <v>296</v>
      </c>
      <c r="B50" s="779"/>
      <c r="C50" s="948">
        <f ca="1">transport!B18</f>
        <v>0.19255250710109634</v>
      </c>
      <c r="D50" s="948">
        <f>transport!C18</f>
        <v>0</v>
      </c>
      <c r="E50" s="948">
        <f>transport!D18</f>
        <v>0.34089891141126732</v>
      </c>
      <c r="F50" s="948">
        <f>transport!E18</f>
        <v>23.777389850885719</v>
      </c>
      <c r="G50" s="948">
        <f>transport!F18</f>
        <v>0</v>
      </c>
      <c r="H50" s="948">
        <f>transport!G18</f>
        <v>4952.2098464142246</v>
      </c>
      <c r="I50" s="948">
        <f>transport!H18</f>
        <v>1045.3211849071297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6021.8418725907522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1.1366144313450037</v>
      </c>
      <c r="D52" s="672">
        <f t="shared" ref="D52:Q52" ca="1" si="6">SUM(D48:D51)</f>
        <v>0</v>
      </c>
      <c r="E52" s="672">
        <f t="shared" si="6"/>
        <v>0.34089891141126732</v>
      </c>
      <c r="F52" s="672">
        <f t="shared" si="6"/>
        <v>23.777389850885719</v>
      </c>
      <c r="G52" s="672">
        <f t="shared" si="6"/>
        <v>0</v>
      </c>
      <c r="H52" s="672">
        <f t="shared" si="6"/>
        <v>5226.4793191196013</v>
      </c>
      <c r="I52" s="672">
        <f t="shared" si="6"/>
        <v>1045.3211849071297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6297.0554072203731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671.62763377336717</v>
      </c>
      <c r="D54" s="948">
        <f ca="1">+landbouw!C12</f>
        <v>0</v>
      </c>
      <c r="E54" s="948">
        <f>+landbouw!D12</f>
        <v>12.549847112000002</v>
      </c>
      <c r="F54" s="948">
        <f>+landbouw!E12</f>
        <v>8.2134743481530119</v>
      </c>
      <c r="G54" s="948">
        <f>+landbouw!F12</f>
        <v>3263.8311841485456</v>
      </c>
      <c r="H54" s="948">
        <f>+landbouw!G12</f>
        <v>0</v>
      </c>
      <c r="I54" s="948">
        <f>+landbouw!H12</f>
        <v>0</v>
      </c>
      <c r="J54" s="948">
        <f>+landbouw!I12</f>
        <v>0</v>
      </c>
      <c r="K54" s="948">
        <f>+landbouw!J12</f>
        <v>129.40696163098406</v>
      </c>
      <c r="L54" s="948">
        <f>+landbouw!K12</f>
        <v>0</v>
      </c>
      <c r="M54" s="948">
        <f>+landbouw!L12</f>
        <v>0</v>
      </c>
      <c r="N54" s="948">
        <f>+landbouw!M12</f>
        <v>0</v>
      </c>
      <c r="O54" s="948">
        <f>+landbouw!N12</f>
        <v>0</v>
      </c>
      <c r="P54" s="948">
        <f>+landbouw!O12</f>
        <v>0</v>
      </c>
      <c r="Q54" s="949">
        <f>+landbouw!P12</f>
        <v>0</v>
      </c>
      <c r="R54" s="671">
        <f ca="1">SUM(C54:Q54)</f>
        <v>4085.6291010130494</v>
      </c>
    </row>
    <row r="55" spans="1:18" ht="15" thickBot="1">
      <c r="A55" s="769" t="s">
        <v>847</v>
      </c>
      <c r="B55" s="779"/>
      <c r="C55" s="948">
        <f ca="1">C25*'EF ele_warmte'!B12</f>
        <v>28.211262691922908</v>
      </c>
      <c r="D55" s="948"/>
      <c r="E55" s="948">
        <f>E25*EF_CO2_aardgas</f>
        <v>243.61846399999999</v>
      </c>
      <c r="F55" s="948"/>
      <c r="G55" s="948"/>
      <c r="H55" s="948"/>
      <c r="I55" s="948"/>
      <c r="J55" s="948"/>
      <c r="K55" s="948"/>
      <c r="L55" s="948"/>
      <c r="M55" s="948"/>
      <c r="N55" s="948"/>
      <c r="O55" s="948"/>
      <c r="P55" s="948"/>
      <c r="Q55" s="949"/>
      <c r="R55" s="671">
        <f ca="1">SUM(C55:Q55)</f>
        <v>271.82972669192287</v>
      </c>
    </row>
    <row r="56" spans="1:18" ht="15.75" thickBot="1">
      <c r="A56" s="767" t="s">
        <v>848</v>
      </c>
      <c r="B56" s="780"/>
      <c r="C56" s="672">
        <f ca="1">SUM(C54:C55)</f>
        <v>699.83889646529008</v>
      </c>
      <c r="D56" s="672">
        <f t="shared" ref="D56:Q56" ca="1" si="7">SUM(D54:D55)</f>
        <v>0</v>
      </c>
      <c r="E56" s="672">
        <f t="shared" si="7"/>
        <v>256.16831111199997</v>
      </c>
      <c r="F56" s="672">
        <f t="shared" si="7"/>
        <v>8.2134743481530119</v>
      </c>
      <c r="G56" s="672">
        <f t="shared" si="7"/>
        <v>3263.8311841485456</v>
      </c>
      <c r="H56" s="672">
        <f t="shared" si="7"/>
        <v>0</v>
      </c>
      <c r="I56" s="672">
        <f t="shared" si="7"/>
        <v>0</v>
      </c>
      <c r="J56" s="672">
        <f t="shared" si="7"/>
        <v>0</v>
      </c>
      <c r="K56" s="672">
        <f t="shared" si="7"/>
        <v>129.40696163098406</v>
      </c>
      <c r="L56" s="672">
        <f t="shared" si="7"/>
        <v>0</v>
      </c>
      <c r="M56" s="672">
        <f t="shared" si="7"/>
        <v>0</v>
      </c>
      <c r="N56" s="672">
        <f t="shared" si="7"/>
        <v>0</v>
      </c>
      <c r="O56" s="672">
        <f t="shared" si="7"/>
        <v>0</v>
      </c>
      <c r="P56" s="672">
        <f t="shared" si="7"/>
        <v>0</v>
      </c>
      <c r="Q56" s="673">
        <f t="shared" si="7"/>
        <v>0</v>
      </c>
      <c r="R56" s="674">
        <f ca="1">SUM(R54:R55)</f>
        <v>4357.4588277049725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4308.0715593675932</v>
      </c>
      <c r="D61" s="680">
        <f t="shared" ref="D61:Q61" ca="1" si="8">D46+D52+D56</f>
        <v>0</v>
      </c>
      <c r="E61" s="680">
        <f t="shared" ca="1" si="8"/>
        <v>3223.113924327412</v>
      </c>
      <c r="F61" s="680">
        <f t="shared" si="8"/>
        <v>279.98736646595739</v>
      </c>
      <c r="G61" s="680">
        <f t="shared" ca="1" si="8"/>
        <v>12128.614222405864</v>
      </c>
      <c r="H61" s="680">
        <f t="shared" si="8"/>
        <v>5226.4793191196013</v>
      </c>
      <c r="I61" s="680">
        <f t="shared" si="8"/>
        <v>1045.3211849071297</v>
      </c>
      <c r="J61" s="680">
        <f t="shared" si="8"/>
        <v>0</v>
      </c>
      <c r="K61" s="680">
        <f t="shared" si="8"/>
        <v>333.99901179048982</v>
      </c>
      <c r="L61" s="680">
        <f t="shared" si="8"/>
        <v>0</v>
      </c>
      <c r="M61" s="680">
        <f t="shared" ca="1" si="8"/>
        <v>0</v>
      </c>
      <c r="N61" s="680">
        <f t="shared" si="8"/>
        <v>0</v>
      </c>
      <c r="O61" s="680">
        <f t="shared" ca="1" si="8"/>
        <v>0</v>
      </c>
      <c r="P61" s="680">
        <f t="shared" si="8"/>
        <v>0</v>
      </c>
      <c r="Q61" s="680">
        <f t="shared" si="8"/>
        <v>0</v>
      </c>
      <c r="R61" s="680">
        <f ca="1">R46+R52+R56</f>
        <v>26545.586588384049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0.18330428508630647</v>
      </c>
      <c r="D63" s="724">
        <f t="shared" ca="1" si="9"/>
        <v>0</v>
      </c>
      <c r="E63" s="950">
        <f t="shared" ca="1" si="9"/>
        <v>0.20200000000000001</v>
      </c>
      <c r="F63" s="724">
        <f t="shared" si="9"/>
        <v>0.22700000000000001</v>
      </c>
      <c r="G63" s="724">
        <f t="shared" ca="1" si="9"/>
        <v>0.26699999999999996</v>
      </c>
      <c r="H63" s="724">
        <f t="shared" si="9"/>
        <v>0.26700000000000002</v>
      </c>
      <c r="I63" s="724">
        <f t="shared" si="9"/>
        <v>0.24899999999999997</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4008.7594951810952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4008.7594951810952</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13457.473265358271</v>
      </c>
      <c r="C4" s="447">
        <f>huishoudens!C8</f>
        <v>0</v>
      </c>
      <c r="D4" s="447">
        <f>huishoudens!D8</f>
        <v>12913.671518000001</v>
      </c>
      <c r="E4" s="447">
        <f>huishoudens!E8</f>
        <v>1040.0345505798819</v>
      </c>
      <c r="F4" s="447">
        <f>huishoudens!F8</f>
        <v>31707.633919173932</v>
      </c>
      <c r="G4" s="447">
        <f>huishoudens!G8</f>
        <v>0</v>
      </c>
      <c r="H4" s="447">
        <f>huishoudens!H8</f>
        <v>0</v>
      </c>
      <c r="I4" s="447">
        <f>huishoudens!I8</f>
        <v>0</v>
      </c>
      <c r="J4" s="447">
        <f>huishoudens!J8</f>
        <v>575.32396907046723</v>
      </c>
      <c r="K4" s="447">
        <f>huishoudens!K8</f>
        <v>0</v>
      </c>
      <c r="L4" s="447">
        <f>huishoudens!L8</f>
        <v>0</v>
      </c>
      <c r="M4" s="447">
        <f>huishoudens!M8</f>
        <v>0</v>
      </c>
      <c r="N4" s="447">
        <f>huishoudens!N8</f>
        <v>4302.851470459017</v>
      </c>
      <c r="O4" s="447">
        <f>huishoudens!O8</f>
        <v>31.266666666666666</v>
      </c>
      <c r="P4" s="448">
        <f>huishoudens!P8</f>
        <v>247.86666666666667</v>
      </c>
      <c r="Q4" s="449">
        <f>SUM(B4:P4)</f>
        <v>64276.12202597491</v>
      </c>
    </row>
    <row r="5" spans="1:17">
      <c r="A5" s="446" t="s">
        <v>149</v>
      </c>
      <c r="B5" s="447">
        <f ca="1">tertiair!B16</f>
        <v>4827.9610000000002</v>
      </c>
      <c r="C5" s="447">
        <f ca="1">tertiair!C16</f>
        <v>0</v>
      </c>
      <c r="D5" s="447">
        <f ca="1">tertiair!D16</f>
        <v>1509.5971220000001</v>
      </c>
      <c r="E5" s="447">
        <f>tertiair!E16</f>
        <v>45.721150913171677</v>
      </c>
      <c r="F5" s="447">
        <f ca="1">tertiair!F16</f>
        <v>1057.9540069929781</v>
      </c>
      <c r="G5" s="447">
        <f>tertiair!G16</f>
        <v>0</v>
      </c>
      <c r="H5" s="447">
        <f>tertiair!H16</f>
        <v>0</v>
      </c>
      <c r="I5" s="447">
        <f>tertiair!I16</f>
        <v>0</v>
      </c>
      <c r="J5" s="447">
        <f>tertiair!J16</f>
        <v>0</v>
      </c>
      <c r="K5" s="447">
        <f>tertiair!K16</f>
        <v>0</v>
      </c>
      <c r="L5" s="447">
        <f ca="1">tertiair!L16</f>
        <v>0</v>
      </c>
      <c r="M5" s="447">
        <f>tertiair!M16</f>
        <v>0</v>
      </c>
      <c r="N5" s="447">
        <f ca="1">tertiair!N16</f>
        <v>468.51298825475106</v>
      </c>
      <c r="O5" s="447">
        <f>tertiair!O16</f>
        <v>0</v>
      </c>
      <c r="P5" s="448">
        <f>tertiair!P16</f>
        <v>0</v>
      </c>
      <c r="Q5" s="446">
        <f t="shared" ref="Q5:Q14" ca="1" si="0">SUM(B5:P5)</f>
        <v>7909.7462681609013</v>
      </c>
    </row>
    <row r="6" spans="1:17">
      <c r="A6" s="446" t="s">
        <v>187</v>
      </c>
      <c r="B6" s="447">
        <f>'openbare verlichting'!B8</f>
        <v>495.26100000000002</v>
      </c>
      <c r="C6" s="447"/>
      <c r="D6" s="447"/>
      <c r="E6" s="447"/>
      <c r="F6" s="447"/>
      <c r="G6" s="447"/>
      <c r="H6" s="447"/>
      <c r="I6" s="447"/>
      <c r="J6" s="447"/>
      <c r="K6" s="447"/>
      <c r="L6" s="447"/>
      <c r="M6" s="447"/>
      <c r="N6" s="447"/>
      <c r="O6" s="447"/>
      <c r="P6" s="448"/>
      <c r="Q6" s="446">
        <f t="shared" si="0"/>
        <v>495.26100000000002</v>
      </c>
    </row>
    <row r="7" spans="1:17">
      <c r="A7" s="446" t="s">
        <v>105</v>
      </c>
      <c r="B7" s="447">
        <f>landbouw!B8</f>
        <v>3664.0039999999999</v>
      </c>
      <c r="C7" s="447">
        <f>landbouw!C8</f>
        <v>0</v>
      </c>
      <c r="D7" s="447">
        <f>landbouw!D8</f>
        <v>62.127956000000005</v>
      </c>
      <c r="E7" s="447">
        <f>landbouw!E8</f>
        <v>36.182706379528689</v>
      </c>
      <c r="F7" s="447">
        <f>landbouw!F8</f>
        <v>12224.086832017025</v>
      </c>
      <c r="G7" s="447">
        <f>landbouw!G8</f>
        <v>0</v>
      </c>
      <c r="H7" s="447">
        <f>landbouw!H8</f>
        <v>0</v>
      </c>
      <c r="I7" s="447">
        <f>landbouw!I8</f>
        <v>0</v>
      </c>
      <c r="J7" s="447">
        <f>landbouw!J8</f>
        <v>365.55638878809054</v>
      </c>
      <c r="K7" s="447">
        <f>landbouw!K8</f>
        <v>0</v>
      </c>
      <c r="L7" s="447">
        <f>landbouw!L8</f>
        <v>0</v>
      </c>
      <c r="M7" s="447">
        <f>landbouw!M8</f>
        <v>0</v>
      </c>
      <c r="N7" s="447">
        <f>landbouw!N8</f>
        <v>0</v>
      </c>
      <c r="O7" s="447">
        <f>landbouw!O8</f>
        <v>0</v>
      </c>
      <c r="P7" s="448">
        <f>landbouw!P8</f>
        <v>0</v>
      </c>
      <c r="Q7" s="446">
        <f t="shared" si="0"/>
        <v>16351.957883184643</v>
      </c>
    </row>
    <row r="8" spans="1:17">
      <c r="A8" s="446" t="s">
        <v>640</v>
      </c>
      <c r="B8" s="447">
        <f>industrie!B18</f>
        <v>897.49199999999996</v>
      </c>
      <c r="C8" s="447">
        <f>industrie!C18</f>
        <v>0</v>
      </c>
      <c r="D8" s="447">
        <f>industrie!D18</f>
        <v>262.89331199999998</v>
      </c>
      <c r="E8" s="447">
        <f>industrie!E18</f>
        <v>6.7399032070285392</v>
      </c>
      <c r="F8" s="447">
        <f>industrie!F18</f>
        <v>435.84667404776928</v>
      </c>
      <c r="G8" s="447">
        <f>industrie!G18</f>
        <v>0</v>
      </c>
      <c r="H8" s="447">
        <f>industrie!H18</f>
        <v>0</v>
      </c>
      <c r="I8" s="447">
        <f>industrie!I18</f>
        <v>0</v>
      </c>
      <c r="J8" s="447">
        <f>industrie!J18</f>
        <v>2.6196754479106512</v>
      </c>
      <c r="K8" s="447">
        <f>industrie!K18</f>
        <v>0</v>
      </c>
      <c r="L8" s="447">
        <f>industrie!L18</f>
        <v>0</v>
      </c>
      <c r="M8" s="447">
        <f>industrie!M18</f>
        <v>0</v>
      </c>
      <c r="N8" s="447">
        <f>industrie!N18</f>
        <v>41.152605387085231</v>
      </c>
      <c r="O8" s="447">
        <f>industrie!O18</f>
        <v>0</v>
      </c>
      <c r="P8" s="448">
        <f>industrie!P18</f>
        <v>0</v>
      </c>
      <c r="Q8" s="446">
        <f t="shared" si="0"/>
        <v>1646.7441700897937</v>
      </c>
    </row>
    <row r="9" spans="1:17" s="452" customFormat="1">
      <c r="A9" s="450" t="s">
        <v>560</v>
      </c>
      <c r="B9" s="451">
        <f>transport!B14</f>
        <v>1.0504528413530294</v>
      </c>
      <c r="C9" s="451">
        <f>transport!C14</f>
        <v>0</v>
      </c>
      <c r="D9" s="451">
        <f>transport!D14</f>
        <v>1.6876183733231054</v>
      </c>
      <c r="E9" s="451">
        <f>transport!E14</f>
        <v>104.74621079685339</v>
      </c>
      <c r="F9" s="451">
        <f>transport!F14</f>
        <v>0</v>
      </c>
      <c r="G9" s="451">
        <f>transport!G14</f>
        <v>18547.602421027059</v>
      </c>
      <c r="H9" s="451">
        <f>transport!H14</f>
        <v>4198.0770478197983</v>
      </c>
      <c r="I9" s="451">
        <f>transport!I14</f>
        <v>0</v>
      </c>
      <c r="J9" s="451">
        <f>transport!J14</f>
        <v>0</v>
      </c>
      <c r="K9" s="451">
        <f>transport!K14</f>
        <v>0</v>
      </c>
      <c r="L9" s="451">
        <f>transport!L14</f>
        <v>0</v>
      </c>
      <c r="M9" s="451">
        <f>transport!M14</f>
        <v>1017.5834509779086</v>
      </c>
      <c r="N9" s="451">
        <f>transport!N14</f>
        <v>0</v>
      </c>
      <c r="O9" s="451">
        <f>transport!O14</f>
        <v>0</v>
      </c>
      <c r="P9" s="451">
        <f>transport!P14</f>
        <v>0</v>
      </c>
      <c r="Q9" s="450">
        <f>SUM(B9:P9)</f>
        <v>23870.747201836297</v>
      </c>
    </row>
    <row r="10" spans="1:17">
      <c r="A10" s="446" t="s">
        <v>550</v>
      </c>
      <c r="B10" s="447">
        <f>transport!B54</f>
        <v>5.1502447081332994</v>
      </c>
      <c r="C10" s="447">
        <f>transport!C54</f>
        <v>0</v>
      </c>
      <c r="D10" s="447">
        <f>transport!D54</f>
        <v>0</v>
      </c>
      <c r="E10" s="447">
        <f>transport!E54</f>
        <v>0</v>
      </c>
      <c r="F10" s="447">
        <f>transport!F54</f>
        <v>0</v>
      </c>
      <c r="G10" s="447">
        <f>transport!G54</f>
        <v>1027.2264895332457</v>
      </c>
      <c r="H10" s="447">
        <f>transport!H54</f>
        <v>0</v>
      </c>
      <c r="I10" s="447">
        <f>transport!I54</f>
        <v>0</v>
      </c>
      <c r="J10" s="447">
        <f>transport!J54</f>
        <v>0</v>
      </c>
      <c r="K10" s="447">
        <f>transport!K54</f>
        <v>0</v>
      </c>
      <c r="L10" s="447">
        <f>transport!L54</f>
        <v>0</v>
      </c>
      <c r="M10" s="447">
        <f>transport!M54</f>
        <v>45.402316797063882</v>
      </c>
      <c r="N10" s="447">
        <f>transport!N54</f>
        <v>0</v>
      </c>
      <c r="O10" s="447">
        <f>transport!O54</f>
        <v>0</v>
      </c>
      <c r="P10" s="448">
        <f>transport!P54</f>
        <v>0</v>
      </c>
      <c r="Q10" s="446">
        <f t="shared" si="0"/>
        <v>1077.7790510384427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153.904</v>
      </c>
      <c r="C14" s="454"/>
      <c r="D14" s="454">
        <f>'SEAP template'!E25</f>
        <v>1206.0319999999999</v>
      </c>
      <c r="E14" s="454"/>
      <c r="F14" s="454"/>
      <c r="G14" s="454"/>
      <c r="H14" s="454"/>
      <c r="I14" s="454"/>
      <c r="J14" s="454"/>
      <c r="K14" s="454"/>
      <c r="L14" s="454"/>
      <c r="M14" s="454"/>
      <c r="N14" s="454"/>
      <c r="O14" s="454"/>
      <c r="P14" s="455"/>
      <c r="Q14" s="446">
        <f t="shared" si="0"/>
        <v>1359.9359999999999</v>
      </c>
    </row>
    <row r="15" spans="1:17" s="459" customFormat="1">
      <c r="A15" s="456" t="s">
        <v>554</v>
      </c>
      <c r="B15" s="457">
        <f ca="1">SUM(B4:B14)</f>
        <v>23502.295962907752</v>
      </c>
      <c r="C15" s="457">
        <f t="shared" ref="C15:Q15" ca="1" si="1">SUM(C4:C14)</f>
        <v>0</v>
      </c>
      <c r="D15" s="457">
        <f t="shared" ca="1" si="1"/>
        <v>15956.009526373326</v>
      </c>
      <c r="E15" s="457">
        <f t="shared" si="1"/>
        <v>1233.4245218764643</v>
      </c>
      <c r="F15" s="457">
        <f t="shared" ca="1" si="1"/>
        <v>45425.521432231704</v>
      </c>
      <c r="G15" s="457">
        <f t="shared" si="1"/>
        <v>19574.828910560303</v>
      </c>
      <c r="H15" s="457">
        <f t="shared" si="1"/>
        <v>4198.0770478197983</v>
      </c>
      <c r="I15" s="457">
        <f t="shared" si="1"/>
        <v>0</v>
      </c>
      <c r="J15" s="457">
        <f t="shared" si="1"/>
        <v>943.50003330646837</v>
      </c>
      <c r="K15" s="457">
        <f t="shared" si="1"/>
        <v>0</v>
      </c>
      <c r="L15" s="457">
        <f t="shared" ca="1" si="1"/>
        <v>0</v>
      </c>
      <c r="M15" s="457">
        <f t="shared" si="1"/>
        <v>1062.9857677749724</v>
      </c>
      <c r="N15" s="457">
        <f t="shared" ca="1" si="1"/>
        <v>4812.5170641008526</v>
      </c>
      <c r="O15" s="457">
        <f t="shared" si="1"/>
        <v>31.266666666666666</v>
      </c>
      <c r="P15" s="457">
        <f t="shared" si="1"/>
        <v>247.86666666666667</v>
      </c>
      <c r="Q15" s="457">
        <f t="shared" ca="1" si="1"/>
        <v>116988.29360028497</v>
      </c>
    </row>
    <row r="17" spans="1:17">
      <c r="A17" s="460" t="s">
        <v>555</v>
      </c>
      <c r="B17" s="729">
        <f ca="1">huishoudens!B10</f>
        <v>0.18330428508630645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2466.8125159745796</v>
      </c>
      <c r="C22" s="447">
        <f t="shared" ref="C22:C32" ca="1" si="3">C4*$C$17</f>
        <v>0</v>
      </c>
      <c r="D22" s="447">
        <f t="shared" ref="D22:D32" si="4">D4*$D$17</f>
        <v>2608.5616466360002</v>
      </c>
      <c r="E22" s="447">
        <f t="shared" ref="E22:E32" si="5">E4*$E$17</f>
        <v>236.0878429816332</v>
      </c>
      <c r="F22" s="447">
        <f t="shared" ref="F22:F32" si="6">F4*$F$17</f>
        <v>8465.9382564194402</v>
      </c>
      <c r="G22" s="447">
        <f t="shared" ref="G22:G32" si="7">G4*$G$17</f>
        <v>0</v>
      </c>
      <c r="H22" s="447">
        <f t="shared" ref="H22:H32" si="8">H4*$H$17</f>
        <v>0</v>
      </c>
      <c r="I22" s="447">
        <f t="shared" ref="I22:I32" si="9">I4*$I$17</f>
        <v>0</v>
      </c>
      <c r="J22" s="447">
        <f t="shared" ref="J22:J32" si="10">J4*$J$17</f>
        <v>203.66468505094539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13981.064947062599</v>
      </c>
    </row>
    <row r="23" spans="1:17">
      <c r="A23" s="446" t="s">
        <v>149</v>
      </c>
      <c r="B23" s="447">
        <f t="shared" ca="1" si="2"/>
        <v>884.98593952956924</v>
      </c>
      <c r="C23" s="447">
        <f t="shared" ca="1" si="3"/>
        <v>0</v>
      </c>
      <c r="D23" s="447">
        <f t="shared" ca="1" si="4"/>
        <v>304.93861864400003</v>
      </c>
      <c r="E23" s="447">
        <f t="shared" si="5"/>
        <v>10.37870125728997</v>
      </c>
      <c r="F23" s="447">
        <f t="shared" ca="1" si="6"/>
        <v>282.47371986712517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1482.7769792979843</v>
      </c>
    </row>
    <row r="24" spans="1:17">
      <c r="A24" s="446" t="s">
        <v>187</v>
      </c>
      <c r="B24" s="447">
        <f t="shared" ca="1" si="2"/>
        <v>90.783463536129219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90.783463536129219</v>
      </c>
    </row>
    <row r="25" spans="1:17">
      <c r="A25" s="446" t="s">
        <v>105</v>
      </c>
      <c r="B25" s="447">
        <f t="shared" ca="1" si="2"/>
        <v>671.62763377336717</v>
      </c>
      <c r="C25" s="447">
        <f t="shared" ca="1" si="3"/>
        <v>0</v>
      </c>
      <c r="D25" s="447">
        <f t="shared" si="4"/>
        <v>12.549847112000002</v>
      </c>
      <c r="E25" s="447">
        <f t="shared" si="5"/>
        <v>8.2134743481530119</v>
      </c>
      <c r="F25" s="447">
        <f t="shared" si="6"/>
        <v>3263.8311841485456</v>
      </c>
      <c r="G25" s="447">
        <f t="shared" si="7"/>
        <v>0</v>
      </c>
      <c r="H25" s="447">
        <f t="shared" si="8"/>
        <v>0</v>
      </c>
      <c r="I25" s="447">
        <f t="shared" si="9"/>
        <v>0</v>
      </c>
      <c r="J25" s="447">
        <f t="shared" si="10"/>
        <v>129.40696163098406</v>
      </c>
      <c r="K25" s="447">
        <f t="shared" si="11"/>
        <v>0</v>
      </c>
      <c r="L25" s="447">
        <f t="shared" si="12"/>
        <v>0</v>
      </c>
      <c r="M25" s="447">
        <f t="shared" si="13"/>
        <v>0</v>
      </c>
      <c r="N25" s="447">
        <f t="shared" si="14"/>
        <v>0</v>
      </c>
      <c r="O25" s="447">
        <f t="shared" si="15"/>
        <v>0</v>
      </c>
      <c r="P25" s="448">
        <f t="shared" si="16"/>
        <v>0</v>
      </c>
      <c r="Q25" s="446">
        <f t="shared" ca="1" si="17"/>
        <v>4085.6291010130494</v>
      </c>
    </row>
    <row r="26" spans="1:17">
      <c r="A26" s="446" t="s">
        <v>640</v>
      </c>
      <c r="B26" s="447">
        <f t="shared" ca="1" si="2"/>
        <v>164.51412943067933</v>
      </c>
      <c r="C26" s="447">
        <f t="shared" ca="1" si="3"/>
        <v>0</v>
      </c>
      <c r="D26" s="447">
        <f t="shared" si="4"/>
        <v>53.104449023999997</v>
      </c>
      <c r="E26" s="447">
        <f t="shared" si="5"/>
        <v>1.5299580279954785</v>
      </c>
      <c r="F26" s="447">
        <f t="shared" si="6"/>
        <v>116.37106197075441</v>
      </c>
      <c r="G26" s="447">
        <f t="shared" si="7"/>
        <v>0</v>
      </c>
      <c r="H26" s="447">
        <f t="shared" si="8"/>
        <v>0</v>
      </c>
      <c r="I26" s="447">
        <f t="shared" si="9"/>
        <v>0</v>
      </c>
      <c r="J26" s="447">
        <f t="shared" si="10"/>
        <v>0.92736510856037047</v>
      </c>
      <c r="K26" s="447">
        <f t="shared" si="11"/>
        <v>0</v>
      </c>
      <c r="L26" s="447">
        <f t="shared" si="12"/>
        <v>0</v>
      </c>
      <c r="M26" s="447">
        <f t="shared" si="13"/>
        <v>0</v>
      </c>
      <c r="N26" s="447">
        <f t="shared" si="14"/>
        <v>0</v>
      </c>
      <c r="O26" s="447">
        <f t="shared" si="15"/>
        <v>0</v>
      </c>
      <c r="P26" s="448">
        <f t="shared" si="16"/>
        <v>0</v>
      </c>
      <c r="Q26" s="446">
        <f t="shared" ca="1" si="17"/>
        <v>336.44696356198961</v>
      </c>
    </row>
    <row r="27" spans="1:17" s="452" customFormat="1">
      <c r="A27" s="450" t="s">
        <v>560</v>
      </c>
      <c r="B27" s="723">
        <f t="shared" ca="1" si="2"/>
        <v>0.19255250710109634</v>
      </c>
      <c r="C27" s="451">
        <f t="shared" ca="1" si="3"/>
        <v>0</v>
      </c>
      <c r="D27" s="451">
        <f t="shared" si="4"/>
        <v>0.34089891141126732</v>
      </c>
      <c r="E27" s="451">
        <f t="shared" si="5"/>
        <v>23.777389850885719</v>
      </c>
      <c r="F27" s="451">
        <f t="shared" si="6"/>
        <v>0</v>
      </c>
      <c r="G27" s="451">
        <f t="shared" si="7"/>
        <v>4952.2098464142246</v>
      </c>
      <c r="H27" s="451">
        <f t="shared" si="8"/>
        <v>1045.3211849071297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6021.8418725907522</v>
      </c>
    </row>
    <row r="28" spans="1:17">
      <c r="A28" s="446" t="s">
        <v>550</v>
      </c>
      <c r="B28" s="447">
        <f t="shared" ca="1" si="2"/>
        <v>0.94406192424390745</v>
      </c>
      <c r="C28" s="447">
        <f t="shared" ca="1" si="3"/>
        <v>0</v>
      </c>
      <c r="D28" s="447">
        <f t="shared" si="4"/>
        <v>0</v>
      </c>
      <c r="E28" s="447">
        <f t="shared" si="5"/>
        <v>0</v>
      </c>
      <c r="F28" s="447">
        <f t="shared" si="6"/>
        <v>0</v>
      </c>
      <c r="G28" s="447">
        <f t="shared" si="7"/>
        <v>274.26947270537664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275.21353462962054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28.211262691922908</v>
      </c>
      <c r="C32" s="447">
        <f t="shared" ca="1" si="3"/>
        <v>0</v>
      </c>
      <c r="D32" s="447">
        <f t="shared" si="4"/>
        <v>243.61846399999999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271.82972669192287</v>
      </c>
    </row>
    <row r="33" spans="1:17" s="459" customFormat="1">
      <c r="A33" s="456" t="s">
        <v>554</v>
      </c>
      <c r="B33" s="457">
        <f ca="1">SUM(B22:B32)</f>
        <v>4308.0715593675923</v>
      </c>
      <c r="C33" s="457">
        <f t="shared" ref="C33:Q33" ca="1" si="18">SUM(C22:C32)</f>
        <v>0</v>
      </c>
      <c r="D33" s="457">
        <f t="shared" ca="1" si="18"/>
        <v>3223.113924327412</v>
      </c>
      <c r="E33" s="457">
        <f t="shared" si="18"/>
        <v>279.98736646595734</v>
      </c>
      <c r="F33" s="457">
        <f t="shared" ca="1" si="18"/>
        <v>12128.614222405866</v>
      </c>
      <c r="G33" s="457">
        <f t="shared" si="18"/>
        <v>5226.4793191196013</v>
      </c>
      <c r="H33" s="457">
        <f t="shared" si="18"/>
        <v>1045.3211849071297</v>
      </c>
      <c r="I33" s="457">
        <f t="shared" si="18"/>
        <v>0</v>
      </c>
      <c r="J33" s="457">
        <f t="shared" si="18"/>
        <v>333.99901179048982</v>
      </c>
      <c r="K33" s="457">
        <f t="shared" si="18"/>
        <v>0</v>
      </c>
      <c r="L33" s="457">
        <f t="shared" ca="1" si="18"/>
        <v>0</v>
      </c>
      <c r="M33" s="457">
        <f t="shared" si="18"/>
        <v>0</v>
      </c>
      <c r="N33" s="457">
        <f t="shared" ca="1" si="18"/>
        <v>0</v>
      </c>
      <c r="O33" s="457">
        <f t="shared" si="18"/>
        <v>0</v>
      </c>
      <c r="P33" s="457">
        <f t="shared" si="18"/>
        <v>0</v>
      </c>
      <c r="Q33" s="457">
        <f t="shared" ca="1" si="18"/>
        <v>26545.586588384042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4008.7594951810952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4008.7594951810952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0.18330428508630645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0.18330428508630645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2022-07-26T12:38:32Z</dcterms:modified>
</cp:coreProperties>
</file>