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2\"/>
    </mc:Choice>
  </mc:AlternateContent>
  <xr:revisionPtr revIDLastSave="0" documentId="8_{3585A2CA-AD2F-4A45-B65E-CF11EB1B15A8}" xr6:coauthVersionLast="44" xr6:coauthVersionMax="44" xr10:uidLastSave="{00000000-0000-0000-0000-000000000000}"/>
  <bookViews>
    <workbookView xWindow="-120" yWindow="-120" windowWidth="29040" windowHeight="158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DATA--&gt;" sheetId="36" r:id="rId13"/>
    <sheet name="data" sheetId="4" r:id="rId14"/>
    <sheet name="EF N2O_CH4 landbouw" sheetId="7" r:id="rId15"/>
    <sheet name="ha_N2O bodem landbouw" sheetId="21" r:id="rId16"/>
    <sheet name="GWP N2O_CH4" sheetId="47" r:id="rId17"/>
    <sheet name="EF brandstof" sheetId="11" r:id="rId18"/>
    <sheet name="EF ele_warmte" sheetId="6" r:id="rId19"/>
    <sheet name="ECF transport " sheetId="23" r:id="rId20"/>
    <sheet name="E Balans VL " sheetId="5" r:id="rId21"/>
    <sheet name="BEREKENINGEN PER SECTOR --&gt;" sheetId="45" r:id="rId22"/>
    <sheet name="openbare verlichting" sheetId="9" r:id="rId23"/>
    <sheet name="huishoudens" sheetId="13" r:id="rId24"/>
    <sheet name="tertiair" sheetId="15" r:id="rId25"/>
    <sheet name="industrie" sheetId="16" r:id="rId26"/>
    <sheet name="landbouw" sheetId="17" r:id="rId27"/>
    <sheet name="transport" sheetId="22" r:id="rId28"/>
    <sheet name="lokale energieproductie" sheetId="18" r:id="rId29"/>
    <sheet name="BRONNEN --&gt;" sheetId="44" r:id="rId30"/>
    <sheet name="versiebeheer" sheetId="51" r:id="rId31"/>
  </sheets>
  <definedNames>
    <definedName name="_Toc352313866" localSheetId="14">'EF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Z25" i="5"/>
  <c r="S25" i="5"/>
  <c r="T25" i="5"/>
  <c r="U25" i="5"/>
  <c r="V25" i="5"/>
  <c r="W25" i="5"/>
  <c r="X25" i="5"/>
  <c r="Y25" i="5"/>
  <c r="D25" i="5"/>
  <c r="E25" i="5"/>
  <c r="F25" i="5"/>
  <c r="G25" i="5"/>
  <c r="H25" i="5"/>
  <c r="I25" i="5"/>
  <c r="J25" i="5"/>
  <c r="K25" i="5"/>
  <c r="L25" i="5"/>
  <c r="M25" i="5"/>
  <c r="N25" i="5"/>
  <c r="O25" i="5"/>
  <c r="P25" i="5"/>
  <c r="Q25" i="5"/>
  <c r="R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42" i="22"/>
  <c r="E78" i="22"/>
  <c r="P7" i="56"/>
  <c r="P6" i="56"/>
  <c r="P5" i="56"/>
  <c r="P4" i="56"/>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c r="S38" i="18"/>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c r="V38" i="18"/>
  <c r="Q38" i="18"/>
  <c r="R38" i="18"/>
  <c r="J9" i="18"/>
  <c r="U38" i="18"/>
  <c r="T38" i="18"/>
  <c r="I9" i="18"/>
  <c r="P38" i="18"/>
  <c r="C9" i="18"/>
  <c r="O38" i="18"/>
  <c r="N38" i="18"/>
  <c r="B9" i="18"/>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c r="M31" i="18"/>
  <c r="G22" i="18"/>
  <c r="F22" i="18"/>
  <c r="E22" i="18"/>
  <c r="D22" i="18"/>
  <c r="C22" i="18"/>
  <c r="L20" i="18"/>
  <c r="D20" i="18"/>
  <c r="G12" i="18"/>
  <c r="F12" i="18"/>
  <c r="E12" i="18"/>
  <c r="D12" i="18"/>
  <c r="C12" i="18"/>
  <c r="L10" i="18"/>
  <c r="K10" i="18"/>
  <c r="G10" i="18"/>
  <c r="D10" i="18"/>
  <c r="B6" i="18"/>
  <c r="B5" i="18"/>
  <c r="B4" i="18"/>
  <c r="B47" i="18"/>
  <c r="F51" i="18"/>
  <c r="F20" i="18"/>
  <c r="B17" i="18"/>
  <c r="C47" i="18"/>
  <c r="B50" i="18"/>
  <c r="C8" i="18"/>
  <c r="G20" i="18"/>
  <c r="K20" i="18"/>
  <c r="B10" i="18"/>
  <c r="O9" i="18"/>
  <c r="O19" i="18"/>
  <c r="O18" i="18"/>
  <c r="B20" i="18"/>
  <c r="I50" i="18"/>
  <c r="H8" i="18"/>
  <c r="H10" i="18"/>
  <c r="E50" i="18"/>
  <c r="E8" i="18"/>
  <c r="E10" i="18"/>
  <c r="D50" i="18"/>
  <c r="F50" i="18"/>
  <c r="N6" i="17"/>
  <c r="L6" i="17"/>
  <c r="F6" i="17"/>
  <c r="D6" i="17"/>
  <c r="C6" i="17"/>
  <c r="N16" i="16"/>
  <c r="L16" i="16"/>
  <c r="F16" i="16"/>
  <c r="D16" i="16"/>
  <c r="C16" i="16"/>
  <c r="B16" i="16"/>
  <c r="B13" i="15"/>
  <c r="H50" i="18"/>
  <c r="C50" i="18"/>
  <c r="J8" i="18"/>
  <c r="C51" i="18"/>
  <c r="H51" i="18"/>
  <c r="G51" i="18"/>
  <c r="I17" i="18"/>
  <c r="I51" i="18"/>
  <c r="H17" i="18"/>
  <c r="H20" i="18"/>
  <c r="D51" i="18"/>
  <c r="E51" i="18"/>
  <c r="E17" i="18"/>
  <c r="E20" i="18"/>
  <c r="B51" i="18"/>
  <c r="C17" i="18"/>
  <c r="C20" i="18"/>
  <c r="G50" i="18"/>
  <c r="C10" i="18"/>
  <c r="I8" i="18"/>
  <c r="I10" i="18"/>
  <c r="J17" i="18"/>
  <c r="J20" i="18"/>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c r="K4" i="48"/>
  <c r="I4" i="48"/>
  <c r="H4" i="48"/>
  <c r="G4" i="48"/>
  <c r="H11" i="48"/>
  <c r="G11" i="48"/>
  <c r="O32" i="48"/>
  <c r="O31" i="48"/>
  <c r="O27" i="48"/>
  <c r="O89" i="14"/>
  <c r="O19" i="56"/>
  <c r="N89" i="14"/>
  <c r="N19" i="56"/>
  <c r="M89" i="14"/>
  <c r="M19" i="56"/>
  <c r="L89" i="14"/>
  <c r="L19" i="56"/>
  <c r="K89" i="14"/>
  <c r="K19" i="56"/>
  <c r="J89" i="14"/>
  <c r="J19" i="56"/>
  <c r="I89" i="14"/>
  <c r="I19" i="56"/>
  <c r="H89" i="14"/>
  <c r="H19" i="56"/>
  <c r="G89" i="14"/>
  <c r="G19" i="56"/>
  <c r="F89" i="14"/>
  <c r="F19" i="56"/>
  <c r="E89" i="14"/>
  <c r="E19" i="56"/>
  <c r="D89" i="14"/>
  <c r="D19" i="56"/>
  <c r="O88" i="14"/>
  <c r="N88" i="14"/>
  <c r="N18" i="56"/>
  <c r="M88" i="14"/>
  <c r="M18" i="56"/>
  <c r="L88" i="14"/>
  <c r="L18" i="56"/>
  <c r="K88" i="14"/>
  <c r="J88" i="14"/>
  <c r="J18" i="56"/>
  <c r="I88" i="14"/>
  <c r="I18" i="56"/>
  <c r="H88" i="14"/>
  <c r="H18" i="56"/>
  <c r="G88" i="14"/>
  <c r="F88" i="14"/>
  <c r="F18" i="56"/>
  <c r="E88" i="14"/>
  <c r="E18" i="56"/>
  <c r="D88" i="14"/>
  <c r="O87" i="14"/>
  <c r="O17" i="56"/>
  <c r="N87" i="14"/>
  <c r="N17" i="56"/>
  <c r="M87" i="14"/>
  <c r="M17" i="56"/>
  <c r="L87" i="14"/>
  <c r="K87" i="14"/>
  <c r="K17" i="56"/>
  <c r="H87" i="14"/>
  <c r="H17" i="56"/>
  <c r="G87" i="14"/>
  <c r="G17" i="56"/>
  <c r="E87" i="14"/>
  <c r="E17" i="56"/>
  <c r="O77" i="14"/>
  <c r="N77" i="14"/>
  <c r="N9" i="56"/>
  <c r="M77" i="14"/>
  <c r="M9" i="56"/>
  <c r="L77" i="14"/>
  <c r="L9" i="56"/>
  <c r="K77" i="14"/>
  <c r="K9" i="56"/>
  <c r="J77" i="14"/>
  <c r="J9" i="56"/>
  <c r="I77" i="14"/>
  <c r="I9" i="56"/>
  <c r="H77" i="14"/>
  <c r="G77" i="14"/>
  <c r="G9" i="56"/>
  <c r="F77" i="14"/>
  <c r="F9" i="56"/>
  <c r="E77" i="14"/>
  <c r="E9" i="56"/>
  <c r="D77" i="14"/>
  <c r="O76" i="14"/>
  <c r="O8" i="56"/>
  <c r="N76" i="14"/>
  <c r="M76" i="14"/>
  <c r="L76" i="14"/>
  <c r="L8" i="56"/>
  <c r="K76" i="14"/>
  <c r="H76" i="14"/>
  <c r="H8" i="56"/>
  <c r="G76" i="14"/>
  <c r="G8" i="56"/>
  <c r="F76" i="14"/>
  <c r="F8" i="56"/>
  <c r="F10" i="56"/>
  <c r="E76" i="14"/>
  <c r="D76" i="14"/>
  <c r="D8" i="56"/>
  <c r="B75" i="14"/>
  <c r="B7" i="56"/>
  <c r="B74" i="14"/>
  <c r="B6" i="56"/>
  <c r="B73" i="14"/>
  <c r="B5" i="56"/>
  <c r="B72" i="14"/>
  <c r="B4" i="56"/>
  <c r="Q54" i="14"/>
  <c r="Q56" i="14"/>
  <c r="P54" i="14"/>
  <c r="L54" i="14"/>
  <c r="J54" i="14"/>
  <c r="J56" i="14"/>
  <c r="I54" i="14"/>
  <c r="I56" i="14"/>
  <c r="H54" i="14"/>
  <c r="H56" i="14"/>
  <c r="Q24" i="14"/>
  <c r="Q26" i="14"/>
  <c r="P24" i="14"/>
  <c r="N24" i="14"/>
  <c r="N26" i="14"/>
  <c r="L24"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R44" i="14"/>
  <c r="J26" i="14"/>
  <c r="E25" i="14"/>
  <c r="D14" i="48"/>
  <c r="C25" i="14"/>
  <c r="B14" i="48"/>
  <c r="P26" i="14"/>
  <c r="L26" i="14"/>
  <c r="F13" i="15"/>
  <c r="D13" i="15"/>
  <c r="C13" i="15"/>
  <c r="I20" i="18"/>
  <c r="I87" i="14"/>
  <c r="I17" i="56"/>
  <c r="I20" i="56"/>
  <c r="J10" i="18"/>
  <c r="J76" i="14"/>
  <c r="J8" i="56"/>
  <c r="J10" i="56"/>
  <c r="F87" i="14"/>
  <c r="F17" i="56"/>
  <c r="F20" i="56"/>
  <c r="D87" i="14"/>
  <c r="I76" i="14"/>
  <c r="I8" i="56"/>
  <c r="I10" i="56"/>
  <c r="P31" i="48"/>
  <c r="G10" i="56"/>
  <c r="P32" i="48"/>
  <c r="P25" i="48"/>
  <c r="P27" i="48"/>
  <c r="Q14" i="48"/>
  <c r="E20" i="56"/>
  <c r="H20" i="56"/>
  <c r="C88" i="14"/>
  <c r="C18" i="56"/>
  <c r="F78" i="14"/>
  <c r="N90" i="14"/>
  <c r="M20" i="56"/>
  <c r="H90" i="14"/>
  <c r="N20" i="56"/>
  <c r="C77" i="14"/>
  <c r="C9" i="56"/>
  <c r="D9" i="56"/>
  <c r="D10" i="56"/>
  <c r="H78" i="14"/>
  <c r="H9" i="56"/>
  <c r="H10" i="56"/>
  <c r="D17" i="56"/>
  <c r="Q88" i="14"/>
  <c r="P18" i="56"/>
  <c r="D18" i="56"/>
  <c r="G78" i="14"/>
  <c r="Q89" i="14"/>
  <c r="P19" i="56"/>
  <c r="C76" i="14"/>
  <c r="C8" i="56"/>
  <c r="E8" i="56"/>
  <c r="E10" i="56"/>
  <c r="M78" i="14"/>
  <c r="M8" i="56"/>
  <c r="M10" i="56"/>
  <c r="K78" i="14"/>
  <c r="K8" i="56"/>
  <c r="K10" i="56"/>
  <c r="O78" i="14"/>
  <c r="O9" i="56"/>
  <c r="O10" i="56"/>
  <c r="L90" i="14"/>
  <c r="L17" i="56"/>
  <c r="L20" i="56"/>
  <c r="G90" i="14"/>
  <c r="G18" i="56"/>
  <c r="G20" i="56"/>
  <c r="K90" i="14"/>
  <c r="K18" i="56"/>
  <c r="K20" i="56"/>
  <c r="O90" i="14"/>
  <c r="O18" i="56"/>
  <c r="O20" i="56"/>
  <c r="Q76" i="14"/>
  <c r="P8" i="56"/>
  <c r="L10" i="56"/>
  <c r="L78" i="14"/>
  <c r="N78" i="14"/>
  <c r="N8" i="56"/>
  <c r="N10" i="56"/>
  <c r="D78" i="14"/>
  <c r="Q77" i="14"/>
  <c r="O17" i="18"/>
  <c r="O20" i="18"/>
  <c r="J87" i="14"/>
  <c r="B88" i="14"/>
  <c r="B18" i="56"/>
  <c r="C89" i="14"/>
  <c r="C19" i="56"/>
  <c r="B89" i="14"/>
  <c r="B19" i="56"/>
  <c r="B77" i="14"/>
  <c r="B9" i="56"/>
  <c r="O8" i="18"/>
  <c r="O10" i="18"/>
  <c r="N13" i="15"/>
  <c r="L13" i="15"/>
  <c r="O24" i="48"/>
  <c r="O30" i="48"/>
  <c r="P24" i="48"/>
  <c r="P30" i="48"/>
  <c r="E78" i="14"/>
  <c r="I78" i="14"/>
  <c r="E55" i="14"/>
  <c r="R25" i="14"/>
  <c r="E90" i="14"/>
  <c r="M90" i="14"/>
  <c r="D90" i="14"/>
  <c r="J78" i="14"/>
  <c r="F90" i="14"/>
  <c r="B76" i="14"/>
  <c r="B8" i="56"/>
  <c r="I90" i="14"/>
  <c r="Q87" i="14"/>
  <c r="P17" i="56"/>
  <c r="P20" i="56"/>
  <c r="C78" i="14"/>
  <c r="B10" i="56"/>
  <c r="C10" i="56"/>
  <c r="B78" i="14"/>
  <c r="B4" i="6"/>
  <c r="D20" i="56"/>
  <c r="Q78" i="14"/>
  <c r="B9" i="6"/>
  <c r="P9" i="56"/>
  <c r="P10" i="56"/>
  <c r="J90" i="14"/>
  <c r="J17" i="56"/>
  <c r="J20" i="56"/>
  <c r="C87" i="14"/>
  <c r="C17" i="56"/>
  <c r="C20" i="56"/>
  <c r="B87" i="14"/>
  <c r="Q90" i="14"/>
  <c r="B17" i="6"/>
  <c r="C90" i="14"/>
  <c r="B90" i="14"/>
  <c r="B17" i="56"/>
  <c r="B20" i="56"/>
  <c r="D5" i="17"/>
  <c r="H14" i="15"/>
  <c r="H16" i="15"/>
  <c r="G14" i="15"/>
  <c r="G16" i="15"/>
  <c r="G5" i="48"/>
  <c r="H10" i="14"/>
  <c r="H16" i="14"/>
  <c r="I10" i="14"/>
  <c r="I16" i="14"/>
  <c r="H5" i="48"/>
  <c r="A32" i="23"/>
  <c r="A33" i="23"/>
  <c r="G56" i="22"/>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8" i="22"/>
  <c r="D6" i="22"/>
  <c r="B51" i="22"/>
  <c r="D11" i="22"/>
  <c r="D9" i="22"/>
  <c r="D7" i="22"/>
  <c r="E11" i="22"/>
  <c r="B10" i="22"/>
  <c r="E7" i="22"/>
  <c r="B6" i="22"/>
  <c r="B11" i="22"/>
  <c r="E10" i="22"/>
  <c r="B9" i="22"/>
  <c r="E8" i="22"/>
  <c r="B7" i="22"/>
  <c r="E6" i="22"/>
  <c r="E9" i="22"/>
  <c r="B8" i="22"/>
  <c r="B52" i="22"/>
  <c r="M15" i="19"/>
  <c r="O15" i="19"/>
  <c r="P15" i="19"/>
  <c r="O11" i="48"/>
  <c r="O29" i="48"/>
  <c r="P9" i="14"/>
  <c r="P11" i="48"/>
  <c r="P29" i="48"/>
  <c r="Q9" i="14"/>
  <c r="M14" i="15"/>
  <c r="M16" i="15"/>
  <c r="N9" i="14"/>
  <c r="M11" i="48"/>
  <c r="B28" i="17"/>
  <c r="B27" i="17"/>
  <c r="B26" i="17"/>
  <c r="N10" i="14"/>
  <c r="M5" i="48"/>
  <c r="B31" i="19"/>
  <c r="B24" i="19"/>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W24" i="5"/>
  <c r="AC24" i="5"/>
  <c r="W17" i="5"/>
  <c r="AC17" i="5"/>
  <c r="W21" i="5"/>
  <c r="AC21" i="5"/>
  <c r="W18" i="5"/>
  <c r="AC18" i="5"/>
  <c r="W22" i="5"/>
  <c r="AC22" i="5"/>
  <c r="R15" i="5"/>
  <c r="W23" i="5"/>
  <c r="AC23" i="5"/>
  <c r="W19" i="5"/>
  <c r="AC19" i="5"/>
  <c r="V15" i="5"/>
  <c r="W20" i="5"/>
  <c r="AC20" i="5"/>
  <c r="W16" i="5"/>
  <c r="F15" i="5"/>
  <c r="AC16" i="5"/>
  <c r="AC15" i="5"/>
  <c r="W15" i="5"/>
  <c r="B52" i="13"/>
  <c r="B35" i="19"/>
  <c r="B26" i="19"/>
  <c r="B27" i="19"/>
  <c r="B6" i="13"/>
  <c r="B17" i="17"/>
  <c r="B34" i="17"/>
  <c r="B6" i="16"/>
  <c r="A78" i="22"/>
  <c r="A77" i="22"/>
  <c r="A76" i="22"/>
  <c r="A75" i="22"/>
  <c r="A74" i="22"/>
  <c r="B64" i="22"/>
  <c r="N56" i="22"/>
  <c r="M56" i="22"/>
  <c r="L56" i="22"/>
  <c r="K56" i="22"/>
  <c r="J56" i="22"/>
  <c r="I56" i="22"/>
  <c r="H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J19" i="19"/>
  <c r="K39" i="14"/>
  <c r="I17" i="19"/>
  <c r="F17" i="19"/>
  <c r="E17" i="19"/>
  <c r="D17" i="19"/>
  <c r="P19" i="19"/>
  <c r="Q39" i="14"/>
  <c r="O19" i="19"/>
  <c r="P39" i="14"/>
  <c r="N15" i="19"/>
  <c r="L15" i="19"/>
  <c r="K15" i="19"/>
  <c r="J15" i="19"/>
  <c r="I15" i="19"/>
  <c r="F15" i="19"/>
  <c r="E15" i="19"/>
  <c r="D15" i="19"/>
  <c r="C15" i="19"/>
  <c r="B15" i="19"/>
  <c r="A7" i="31"/>
  <c r="A6" i="31"/>
  <c r="B32" i="13"/>
  <c r="B35" i="13"/>
  <c r="C35" i="13"/>
  <c r="B33" i="13"/>
  <c r="B36" i="13"/>
  <c r="B34" i="13"/>
  <c r="C34" i="13"/>
  <c r="P5" i="13"/>
  <c r="P8" i="13"/>
  <c r="B37" i="13"/>
  <c r="C18" i="14"/>
  <c r="B13" i="48"/>
  <c r="C14" i="15"/>
  <c r="D9" i="14"/>
  <c r="C11" i="48"/>
  <c r="N14" i="15"/>
  <c r="N11" i="48"/>
  <c r="N29" i="48"/>
  <c r="O9" i="14"/>
  <c r="E13" i="48"/>
  <c r="E31" i="48"/>
  <c r="F18" i="14"/>
  <c r="C11" i="14"/>
  <c r="B4" i="48"/>
  <c r="F30" i="48"/>
  <c r="F32" i="48"/>
  <c r="F27" i="48"/>
  <c r="F24" i="48"/>
  <c r="F31" i="48"/>
  <c r="N32" i="48"/>
  <c r="N24" i="48"/>
  <c r="N27" i="48"/>
  <c r="N30" i="48"/>
  <c r="N31" i="48"/>
  <c r="K10" i="48"/>
  <c r="K28" i="48"/>
  <c r="L19" i="14"/>
  <c r="L22" i="14"/>
  <c r="L14" i="15"/>
  <c r="M9" i="14"/>
  <c r="L11" i="48"/>
  <c r="L29" i="48"/>
  <c r="E9" i="14"/>
  <c r="D11" i="48"/>
  <c r="D29" i="48"/>
  <c r="C4" i="48"/>
  <c r="D11" i="14"/>
  <c r="G29" i="48"/>
  <c r="G25" i="48"/>
  <c r="G32" i="48"/>
  <c r="G30" i="48"/>
  <c r="G22" i="48"/>
  <c r="G26" i="48"/>
  <c r="G24" i="48"/>
  <c r="G23" i="48"/>
  <c r="C10" i="48"/>
  <c r="D19" i="14"/>
  <c r="D22" i="14"/>
  <c r="L10" i="48"/>
  <c r="L28" i="48"/>
  <c r="M19" i="14"/>
  <c r="M22" i="14"/>
  <c r="I10" i="48"/>
  <c r="I28" i="48"/>
  <c r="J19" i="14"/>
  <c r="J22" i="14"/>
  <c r="E18" i="14"/>
  <c r="D13" i="48"/>
  <c r="D31" i="48"/>
  <c r="D4" i="48"/>
  <c r="D22" i="48"/>
  <c r="E11" i="14"/>
  <c r="H29" i="48"/>
  <c r="H25" i="48"/>
  <c r="H32" i="48"/>
  <c r="H26" i="48"/>
  <c r="H24" i="48"/>
  <c r="H30" i="48"/>
  <c r="H22" i="48"/>
  <c r="H23" i="48"/>
  <c r="D10" i="48"/>
  <c r="D28" i="48"/>
  <c r="E19" i="14"/>
  <c r="N10" i="48"/>
  <c r="N28" i="48"/>
  <c r="O19" i="14"/>
  <c r="O22" i="14"/>
  <c r="K14" i="15"/>
  <c r="K16" i="15"/>
  <c r="L9" i="14"/>
  <c r="K11" i="48"/>
  <c r="K29" i="48"/>
  <c r="D30" i="48"/>
  <c r="D24" i="48"/>
  <c r="D32" i="48"/>
  <c r="B14" i="15"/>
  <c r="B11" i="48"/>
  <c r="C9" i="14"/>
  <c r="E32" i="48"/>
  <c r="E30" i="48"/>
  <c r="E24" i="48"/>
  <c r="O4" i="48"/>
  <c r="O22" i="48"/>
  <c r="P11" i="14"/>
  <c r="I26" i="48"/>
  <c r="I31" i="48"/>
  <c r="I22" i="48"/>
  <c r="I27" i="48"/>
  <c r="I25" i="48"/>
  <c r="I32" i="48"/>
  <c r="I24" i="48"/>
  <c r="I30" i="48"/>
  <c r="C24" i="14"/>
  <c r="C26" i="14"/>
  <c r="B7" i="48"/>
  <c r="E10" i="48"/>
  <c r="E28" i="48"/>
  <c r="F19" i="14"/>
  <c r="O10" i="48"/>
  <c r="O28" i="48"/>
  <c r="P19" i="14"/>
  <c r="P22" i="14"/>
  <c r="L32" i="48"/>
  <c r="L27" i="48"/>
  <c r="L24" i="48"/>
  <c r="L31" i="48"/>
  <c r="L30" i="48"/>
  <c r="M12" i="13"/>
  <c r="N41" i="14"/>
  <c r="M17" i="48"/>
  <c r="J10" i="48"/>
  <c r="J28" i="48"/>
  <c r="K19" i="14"/>
  <c r="K22" i="14"/>
  <c r="E14" i="15"/>
  <c r="F9" i="14"/>
  <c r="E11" i="48"/>
  <c r="E29" i="48"/>
  <c r="F14" i="15"/>
  <c r="G9" i="14"/>
  <c r="F11" i="48"/>
  <c r="F29" i="48"/>
  <c r="I14" i="15"/>
  <c r="I16" i="15"/>
  <c r="I11" i="48"/>
  <c r="I29" i="48"/>
  <c r="J9" i="14"/>
  <c r="B6" i="9"/>
  <c r="B12" i="48"/>
  <c r="Q12" i="48"/>
  <c r="C12" i="14"/>
  <c r="R12" i="14"/>
  <c r="M11" i="14"/>
  <c r="L4" i="48"/>
  <c r="L22" i="48"/>
  <c r="J30" i="48"/>
  <c r="J27" i="48"/>
  <c r="J32" i="48"/>
  <c r="J24" i="48"/>
  <c r="J31" i="48"/>
  <c r="P4" i="48"/>
  <c r="P22" i="48"/>
  <c r="Q11" i="14"/>
  <c r="F10" i="48"/>
  <c r="F28" i="48"/>
  <c r="G19" i="14"/>
  <c r="G22" i="14"/>
  <c r="Q19" i="14"/>
  <c r="Q22" i="14"/>
  <c r="P10" i="48"/>
  <c r="P28" i="48"/>
  <c r="J14" i="15"/>
  <c r="J11" i="48"/>
  <c r="J29" i="48"/>
  <c r="K9" i="14"/>
  <c r="N11" i="14"/>
  <c r="N16" i="14"/>
  <c r="M4" i="48"/>
  <c r="M22" i="48"/>
  <c r="K25" i="48"/>
  <c r="K32" i="48"/>
  <c r="K26" i="48"/>
  <c r="K31" i="48"/>
  <c r="K30" i="48"/>
  <c r="K22" i="48"/>
  <c r="K27" i="48"/>
  <c r="K24" i="48"/>
  <c r="I19" i="14"/>
  <c r="H10" i="48"/>
  <c r="H28" i="48"/>
  <c r="P5" i="48"/>
  <c r="Q10" i="14"/>
  <c r="B10" i="48"/>
  <c r="C19" i="14"/>
  <c r="D8" i="17"/>
  <c r="D12" i="17"/>
  <c r="E54" i="14"/>
  <c r="E56" i="14"/>
  <c r="K19" i="19"/>
  <c r="L39" i="14"/>
  <c r="C18" i="16"/>
  <c r="E8" i="16"/>
  <c r="J15" i="16"/>
  <c r="F11" i="15"/>
  <c r="D12" i="22"/>
  <c r="D31" i="20"/>
  <c r="E48" i="14"/>
  <c r="E12" i="22"/>
  <c r="N19" i="19"/>
  <c r="O39" i="14"/>
  <c r="B8" i="9"/>
  <c r="B6" i="48"/>
  <c r="Q6" i="48"/>
  <c r="P18" i="16"/>
  <c r="F8" i="17"/>
  <c r="F7" i="48"/>
  <c r="J8" i="17"/>
  <c r="I19" i="19"/>
  <c r="J39" i="14"/>
  <c r="B12" i="22"/>
  <c r="E31" i="20"/>
  <c r="F48" i="14"/>
  <c r="L18" i="16"/>
  <c r="N5" i="17"/>
  <c r="D14" i="15"/>
  <c r="F19" i="19"/>
  <c r="G39" i="14"/>
  <c r="L19" i="19"/>
  <c r="M39" i="14"/>
  <c r="E7" i="15"/>
  <c r="O5" i="16"/>
  <c r="L12" i="13"/>
  <c r="M41" i="14"/>
  <c r="J7" i="15"/>
  <c r="B13" i="16"/>
  <c r="C35" i="16"/>
  <c r="C16" i="15"/>
  <c r="L16" i="15"/>
  <c r="K20" i="15"/>
  <c r="L40" i="14"/>
  <c r="G9" i="22"/>
  <c r="G7" i="22"/>
  <c r="G6" i="22"/>
  <c r="G8" i="22"/>
  <c r="G10" i="22"/>
  <c r="G11" i="22"/>
  <c r="M11" i="22"/>
  <c r="H8" i="22"/>
  <c r="M10" i="22"/>
  <c r="H10" i="22"/>
  <c r="H9" i="22"/>
  <c r="H11" i="22"/>
  <c r="H6" i="22"/>
  <c r="M6" i="22"/>
  <c r="H7" i="22"/>
  <c r="M8" i="22"/>
  <c r="M7" i="22"/>
  <c r="M9" i="22"/>
  <c r="B67" i="22"/>
  <c r="H27" i="20"/>
  <c r="C78" i="22"/>
  <c r="G51" i="22"/>
  <c r="M27" i="20"/>
  <c r="J11" i="15"/>
  <c r="B7" i="15"/>
  <c r="N7" i="15"/>
  <c r="B11" i="15"/>
  <c r="N11" i="15"/>
  <c r="B11" i="16"/>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D5" i="22"/>
  <c r="B5" i="22"/>
  <c r="F5" i="13"/>
  <c r="F8" i="13"/>
  <c r="P12" i="13"/>
  <c r="Q41" i="14"/>
  <c r="D12" i="13"/>
  <c r="E41" i="14"/>
  <c r="O12" i="13"/>
  <c r="P41" i="14"/>
  <c r="E5" i="17"/>
  <c r="C8" i="17"/>
  <c r="N46" i="14"/>
  <c r="J12" i="17"/>
  <c r="K54" i="14"/>
  <c r="K56" i="14"/>
  <c r="J7" i="48"/>
  <c r="J25" i="48"/>
  <c r="K24" i="14"/>
  <c r="K26" i="14"/>
  <c r="Q11" i="48"/>
  <c r="L16" i="14"/>
  <c r="L27" i="14"/>
  <c r="J46" i="14"/>
  <c r="J61" i="14"/>
  <c r="L10" i="14"/>
  <c r="K5" i="48"/>
  <c r="P8" i="48"/>
  <c r="P26" i="48"/>
  <c r="Q13" i="14"/>
  <c r="Q16" i="14"/>
  <c r="Q27" i="14"/>
  <c r="R9" i="14"/>
  <c r="J10" i="14"/>
  <c r="J16" i="14"/>
  <c r="J27" i="14"/>
  <c r="I5" i="48"/>
  <c r="L46" i="14"/>
  <c r="L61" i="14"/>
  <c r="M32" i="48"/>
  <c r="M25" i="48"/>
  <c r="M26" i="48"/>
  <c r="M24" i="48"/>
  <c r="M30" i="48"/>
  <c r="M29" i="48"/>
  <c r="M23" i="48"/>
  <c r="P15" i="48"/>
  <c r="P23" i="48"/>
  <c r="P10" i="14"/>
  <c r="O5" i="48"/>
  <c r="G11" i="14"/>
  <c r="F4" i="48"/>
  <c r="F22" i="48"/>
  <c r="I18" i="14"/>
  <c r="H13" i="48"/>
  <c r="H31" i="48"/>
  <c r="H18" i="14"/>
  <c r="R18" i="14"/>
  <c r="G13" i="48"/>
  <c r="N18" i="14"/>
  <c r="M13" i="48"/>
  <c r="M31" i="48"/>
  <c r="F12" i="17"/>
  <c r="G54" i="14"/>
  <c r="G56" i="14"/>
  <c r="L8" i="48"/>
  <c r="L26" i="48"/>
  <c r="M13" i="14"/>
  <c r="C8" i="48"/>
  <c r="D13" i="14"/>
  <c r="M10" i="14"/>
  <c r="L5" i="48"/>
  <c r="L23" i="48"/>
  <c r="C5" i="48"/>
  <c r="D10" i="14"/>
  <c r="D24" i="14"/>
  <c r="D26" i="14"/>
  <c r="C7" i="48"/>
  <c r="F25" i="48"/>
  <c r="E24" i="14"/>
  <c r="E26" i="14"/>
  <c r="D7" i="48"/>
  <c r="G24" i="14"/>
  <c r="G26" i="14"/>
  <c r="P22" i="16"/>
  <c r="Q43" i="14"/>
  <c r="L5" i="17"/>
  <c r="L8" i="17"/>
  <c r="D18" i="16"/>
  <c r="B14" i="22"/>
  <c r="H12" i="22"/>
  <c r="D16" i="15"/>
  <c r="N8" i="17"/>
  <c r="G31" i="20"/>
  <c r="H48" i="14"/>
  <c r="G12" i="22"/>
  <c r="D14" i="22"/>
  <c r="D18" i="22"/>
  <c r="E50" i="14"/>
  <c r="E52" i="14"/>
  <c r="M12" i="22"/>
  <c r="N5" i="13"/>
  <c r="N8" i="13"/>
  <c r="L22" i="16"/>
  <c r="M43" i="14"/>
  <c r="E8" i="17"/>
  <c r="E12" i="17"/>
  <c r="F54" i="14"/>
  <c r="F56" i="14"/>
  <c r="E14" i="22"/>
  <c r="E5" i="13"/>
  <c r="E8" i="13"/>
  <c r="O18" i="16"/>
  <c r="M51" i="22"/>
  <c r="M50" i="22"/>
  <c r="M54" i="22"/>
  <c r="H31" i="20"/>
  <c r="I48" i="14"/>
  <c r="M31" i="20"/>
  <c r="N48" i="14"/>
  <c r="G50" i="22"/>
  <c r="G54" i="22"/>
  <c r="M5" i="22"/>
  <c r="M14"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D16" i="14"/>
  <c r="D27" i="14"/>
  <c r="B20" i="6"/>
  <c r="B22" i="6"/>
  <c r="C22" i="56"/>
  <c r="H14" i="22"/>
  <c r="I20" i="14"/>
  <c r="I22" i="14"/>
  <c r="I27" i="14"/>
  <c r="L63" i="14"/>
  <c r="P33" i="48"/>
  <c r="J63" i="14"/>
  <c r="F24" i="14"/>
  <c r="F26" i="14"/>
  <c r="E7" i="48"/>
  <c r="E25" i="48"/>
  <c r="O8" i="48"/>
  <c r="O26" i="48"/>
  <c r="P13" i="14"/>
  <c r="P16" i="14"/>
  <c r="P27" i="14"/>
  <c r="K23" i="48"/>
  <c r="K33" i="48"/>
  <c r="K15" i="48"/>
  <c r="Q46" i="14"/>
  <c r="Q61" i="14"/>
  <c r="Q63" i="14"/>
  <c r="I15" i="48"/>
  <c r="I23" i="48"/>
  <c r="I33" i="48"/>
  <c r="O23" i="48"/>
  <c r="O15" i="48"/>
  <c r="O11" i="14"/>
  <c r="N4" i="48"/>
  <c r="N22" i="48"/>
  <c r="E12" i="13"/>
  <c r="F41" i="14"/>
  <c r="F11" i="14"/>
  <c r="E4" i="48"/>
  <c r="K11" i="14"/>
  <c r="J4" i="48"/>
  <c r="M10" i="48"/>
  <c r="M28" i="48"/>
  <c r="N19" i="14"/>
  <c r="G31" i="48"/>
  <c r="Q13" i="48"/>
  <c r="G10" i="48"/>
  <c r="H19" i="14"/>
  <c r="B9" i="48"/>
  <c r="C20" i="14"/>
  <c r="H9" i="48"/>
  <c r="E20" i="14"/>
  <c r="E22" i="14"/>
  <c r="D9" i="48"/>
  <c r="D27" i="48"/>
  <c r="E9" i="48"/>
  <c r="F20" i="14"/>
  <c r="F22" i="14"/>
  <c r="M9" i="48"/>
  <c r="N20" i="14"/>
  <c r="M16" i="14"/>
  <c r="D22" i="16"/>
  <c r="E43" i="14"/>
  <c r="D8" i="48"/>
  <c r="D26" i="48"/>
  <c r="E13" i="14"/>
  <c r="C13" i="14"/>
  <c r="B8" i="48"/>
  <c r="O10" i="14"/>
  <c r="N5" i="48"/>
  <c r="N23" i="48"/>
  <c r="F5" i="48"/>
  <c r="G10" i="14"/>
  <c r="D20" i="15"/>
  <c r="E40" i="14"/>
  <c r="D5" i="48"/>
  <c r="D23" i="48"/>
  <c r="E10" i="14"/>
  <c r="B5" i="48"/>
  <c r="C10" i="14"/>
  <c r="M24" i="14"/>
  <c r="M26" i="14"/>
  <c r="L7" i="48"/>
  <c r="C15" i="48"/>
  <c r="D25" i="48"/>
  <c r="O24" i="14"/>
  <c r="O26" i="14"/>
  <c r="N7" i="48"/>
  <c r="L12" i="17"/>
  <c r="M54" i="14"/>
  <c r="M56" i="14"/>
  <c r="E18" i="22"/>
  <c r="F50" i="14"/>
  <c r="F52" i="14"/>
  <c r="G14" i="22"/>
  <c r="G18" i="22"/>
  <c r="H50" i="14"/>
  <c r="J16" i="15"/>
  <c r="N12" i="17"/>
  <c r="O54" i="14"/>
  <c r="O56" i="14"/>
  <c r="E16" i="15"/>
  <c r="O22" i="16"/>
  <c r="P43" i="14"/>
  <c r="P46" i="14"/>
  <c r="P61" i="14"/>
  <c r="G58" i="22"/>
  <c r="H49" i="14"/>
  <c r="M58" i="22"/>
  <c r="N49" i="14"/>
  <c r="M18" i="22"/>
  <c r="N50" i="14"/>
  <c r="N20" i="15"/>
  <c r="O40" i="14"/>
  <c r="F20" i="15"/>
  <c r="G40" i="14"/>
  <c r="N5" i="16"/>
  <c r="E5" i="16"/>
  <c r="J5" i="16"/>
  <c r="F5" i="16"/>
  <c r="N12" i="13"/>
  <c r="O41" i="14"/>
  <c r="J12" i="13"/>
  <c r="K41" i="14"/>
  <c r="L20" i="15"/>
  <c r="M40" i="14"/>
  <c r="M46" i="14"/>
  <c r="N52" i="14"/>
  <c r="N61" i="14"/>
  <c r="E46" i="14"/>
  <c r="E61" i="14"/>
  <c r="H18" i="22"/>
  <c r="I50" i="14"/>
  <c r="I52" i="14"/>
  <c r="I61" i="14"/>
  <c r="I63" i="14"/>
  <c r="P63" i="14"/>
  <c r="O33" i="48"/>
  <c r="N22" i="14"/>
  <c r="N27" i="14"/>
  <c r="N63" i="14"/>
  <c r="R19" i="14"/>
  <c r="M27" i="14"/>
  <c r="K10" i="14"/>
  <c r="J5" i="48"/>
  <c r="J23" i="48"/>
  <c r="E5" i="48"/>
  <c r="E23" i="48"/>
  <c r="F10" i="14"/>
  <c r="R10" i="14"/>
  <c r="R11" i="14"/>
  <c r="J22" i="48"/>
  <c r="E22" i="48"/>
  <c r="Q4" i="48"/>
  <c r="H52" i="14"/>
  <c r="H61" i="14"/>
  <c r="G28" i="48"/>
  <c r="Q10" i="48"/>
  <c r="H15" i="48"/>
  <c r="H27" i="48"/>
  <c r="H33" i="48"/>
  <c r="H20" i="14"/>
  <c r="H22" i="14"/>
  <c r="H27" i="14"/>
  <c r="G9" i="48"/>
  <c r="Q9" i="48"/>
  <c r="E27" i="48"/>
  <c r="C22" i="14"/>
  <c r="M15" i="48"/>
  <c r="M27" i="48"/>
  <c r="M33" i="48"/>
  <c r="D15" i="48"/>
  <c r="E16" i="14"/>
  <c r="E27" i="14"/>
  <c r="D33" i="48"/>
  <c r="M61" i="14"/>
  <c r="F23" i="48"/>
  <c r="C16" i="14"/>
  <c r="Q7" i="48"/>
  <c r="B15" i="48"/>
  <c r="Q5" i="48"/>
  <c r="R24" i="14"/>
  <c r="R26" i="14"/>
  <c r="L25" i="48"/>
  <c r="L33" i="48"/>
  <c r="L15" i="48"/>
  <c r="N25" i="48"/>
  <c r="J20" i="15"/>
  <c r="K40" i="14"/>
  <c r="N18" i="16"/>
  <c r="J18" i="16"/>
  <c r="F18" i="16"/>
  <c r="F22" i="16"/>
  <c r="G43" i="14"/>
  <c r="G46" i="14"/>
  <c r="G61" i="14"/>
  <c r="E18" i="16"/>
  <c r="E20" i="15"/>
  <c r="F40" i="14"/>
  <c r="C10" i="17"/>
  <c r="C12" i="17"/>
  <c r="D54" i="14"/>
  <c r="D56" i="14"/>
  <c r="C16" i="22"/>
  <c r="C10" i="13"/>
  <c r="C17" i="48"/>
  <c r="C18" i="15"/>
  <c r="C20" i="15"/>
  <c r="D40" i="14"/>
  <c r="C20" i="16"/>
  <c r="C22" i="16"/>
  <c r="D43" i="14"/>
  <c r="C17" i="19"/>
  <c r="C19" i="19"/>
  <c r="D39" i="14"/>
  <c r="C29" i="20"/>
  <c r="C17" i="49"/>
  <c r="C56" i="22"/>
  <c r="C58" i="22"/>
  <c r="D49" i="14"/>
  <c r="D52" i="14"/>
  <c r="E63" i="14"/>
  <c r="M63" i="14"/>
  <c r="K13" i="14"/>
  <c r="K16" i="14"/>
  <c r="K27" i="14"/>
  <c r="J8" i="48"/>
  <c r="E8" i="48"/>
  <c r="E26" i="48"/>
  <c r="E33" i="48"/>
  <c r="F13" i="14"/>
  <c r="F16" i="14"/>
  <c r="F27" i="14"/>
  <c r="H63" i="14"/>
  <c r="C27" i="14"/>
  <c r="B3" i="6"/>
  <c r="B12" i="6"/>
  <c r="C55" i="14"/>
  <c r="R55" i="14"/>
  <c r="R20" i="14"/>
  <c r="R22" i="14"/>
  <c r="G27" i="48"/>
  <c r="G33" i="48"/>
  <c r="G15" i="48"/>
  <c r="O13" i="14"/>
  <c r="O16" i="14"/>
  <c r="O27" i="14"/>
  <c r="N8" i="48"/>
  <c r="N22" i="16"/>
  <c r="O43" i="14"/>
  <c r="O46" i="14"/>
  <c r="O61" i="14"/>
  <c r="F8" i="48"/>
  <c r="G13" i="14"/>
  <c r="C32" i="48"/>
  <c r="C29" i="48"/>
  <c r="C22" i="48"/>
  <c r="C28" i="48"/>
  <c r="C30" i="48"/>
  <c r="C31" i="48"/>
  <c r="C23" i="48"/>
  <c r="C24" i="48"/>
  <c r="C27" i="48"/>
  <c r="C26" i="48"/>
  <c r="C25" i="48"/>
  <c r="E22" i="16"/>
  <c r="F43" i="14"/>
  <c r="F46" i="14"/>
  <c r="F61" i="14"/>
  <c r="J22" i="16"/>
  <c r="K43" i="14"/>
  <c r="K46" i="14"/>
  <c r="K61" i="14"/>
  <c r="C12" i="13"/>
  <c r="D41" i="14"/>
  <c r="D46" i="14"/>
  <c r="D61" i="14"/>
  <c r="D63" i="14"/>
  <c r="E15" i="48"/>
  <c r="K63" i="14"/>
  <c r="F63" i="14"/>
  <c r="J26" i="48"/>
  <c r="J33" i="48"/>
  <c r="J15" i="48"/>
  <c r="C12" i="56"/>
  <c r="O63" i="14"/>
  <c r="N26" i="48"/>
  <c r="N33" i="48"/>
  <c r="N15" i="48"/>
  <c r="G16" i="14"/>
  <c r="G27" i="14"/>
  <c r="G63" i="14"/>
  <c r="R13" i="14"/>
  <c r="R16" i="14"/>
  <c r="R27" i="14"/>
  <c r="F26" i="48"/>
  <c r="F33" i="48"/>
  <c r="Q8" i="48"/>
  <c r="Q15" i="48"/>
  <c r="F15" i="48"/>
  <c r="C33" i="48"/>
  <c r="B18" i="15"/>
  <c r="B20" i="15"/>
  <c r="B10" i="17"/>
  <c r="B12" i="17"/>
  <c r="C54" i="14"/>
  <c r="B17" i="49"/>
  <c r="B19" i="49"/>
  <c r="C42" i="14"/>
  <c r="R42" i="14"/>
  <c r="B10" i="13"/>
  <c r="B20" i="16"/>
  <c r="B22" i="16"/>
  <c r="C43" i="14"/>
  <c r="R43" i="14"/>
  <c r="B10" i="9"/>
  <c r="B12" i="9"/>
  <c r="B29" i="20"/>
  <c r="B31" i="20"/>
  <c r="C48" i="14"/>
  <c r="B56" i="22"/>
  <c r="B58" i="22"/>
  <c r="C49" i="14"/>
  <c r="R49" i="14"/>
  <c r="B16" i="22"/>
  <c r="B18" i="22"/>
  <c r="C50" i="14"/>
  <c r="R50" i="14"/>
  <c r="B17" i="19"/>
  <c r="B19" i="19"/>
  <c r="C39" i="14"/>
  <c r="R48" i="14"/>
  <c r="R52" i="14"/>
  <c r="C52" i="14"/>
  <c r="R54" i="14"/>
  <c r="R56" i="14"/>
  <c r="C56" i="14"/>
  <c r="R39" i="14"/>
  <c r="C40" i="14"/>
  <c r="R40" i="14"/>
  <c r="B12" i="13"/>
  <c r="C41" i="14"/>
  <c r="R41" i="14"/>
  <c r="B17" i="48"/>
  <c r="C46" i="14"/>
  <c r="C61" i="14"/>
  <c r="C63" i="14"/>
  <c r="B31" i="48"/>
  <c r="Q31" i="48"/>
  <c r="B29" i="48"/>
  <c r="Q29" i="48"/>
  <c r="B26" i="48"/>
  <c r="Q26" i="48"/>
  <c r="B25" i="48"/>
  <c r="Q25" i="48"/>
  <c r="B32" i="48"/>
  <c r="Q32" i="48"/>
  <c r="B27" i="48"/>
  <c r="Q27" i="48"/>
  <c r="B24" i="48"/>
  <c r="Q24" i="48"/>
  <c r="B30" i="48"/>
  <c r="Q30" i="48"/>
  <c r="B23" i="48"/>
  <c r="Q23" i="48"/>
  <c r="B22" i="48"/>
  <c r="B28" i="48"/>
  <c r="Q28" i="48"/>
  <c r="R46" i="14"/>
  <c r="R61" i="14"/>
  <c r="B33" i="48"/>
  <c r="Q22" i="48"/>
  <c r="Q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<sst xmlns="http://schemas.openxmlformats.org/spreadsheetml/2006/main" count="2507" uniqueCount="946">
  <si>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</si>
  <si>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</si>
  <si>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</si>
  <si>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</si>
  <si>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</si>
  <si>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</si>
  <si>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</si>
  <si>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</si>
  <si>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</si>
  <si>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</si>
  <si>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</si>
  <si>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</si>
  <si>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</si>
  <si>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</si>
  <si>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</si>
  <si>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</si>
  <si>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</si>
  <si>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</si>
  <si>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</si>
  <si>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</si>
  <si>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</si>
  <si>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</si>
  <si>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</si>
  <si>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</si>
  <si>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</si>
  <si>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</si>
  <si>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</si>
  <si>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</si>
  <si>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</si>
  <si>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</si>
  <si>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</si>
  <si>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</si>
  <si>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</si>
  <si>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</si>
  <si>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</si>
  <si>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</si>
  <si>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</si>
  <si>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</si>
  <si>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</si>
  <si>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</si>
  <si>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</si>
  <si>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</si>
  <si>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</si>
  <si>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</si>
  <si>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</si>
  <si>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</si>
  <si>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</si>
  <si>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</si>
  <si>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</si>
  <si>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</si>
  <si>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</si>
  <si>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</si>
  <si>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</si>
  <si>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</si>
  <si>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</si>
  <si>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</si>
  <si>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</si>
  <si>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</si>
  <si>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</si>
  <si>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</si>
  <si>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</si>
  <si>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</si>
  <si>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</si>
  <si>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</si>
  <si>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</si>
  <si>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</si>
  <si>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</si>
  <si>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</si>
  <si>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</si>
  <si>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</si>
  <si>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</si>
  <si>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</si>
  <si>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</si>
  <si>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</si>
  <si>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</si>
  <si>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</si>
  <si>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</si>
  <si>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</si>
  <si>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</si>
  <si>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</si>
  <si>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</si>
  <si>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</si>
  <si>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</si>
  <si>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</si>
  <si>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</si>
  <si>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</si>
  <si>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</si>
  <si>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</si>
  <si>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</si>
  <si>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</si>
  <si>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</si>
  <si>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</si>
  <si>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</si>
  <si>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</si>
  <si>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</si>
  <si>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</si>
  <si>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</si>
  <si>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</si>
  <si>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</si>
  <si>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</si>
  <si>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</si>
  <si>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</si>
  <si>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</si>
  <si>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</si>
  <si>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</si>
  <si>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</si>
  <si>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</si>
  <si>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</si>
  <si>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</si>
  <si>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</si>
  <si>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</si>
  <si>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</si>
  <si>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</si>
  <si>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</si>
  <si>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</si>
  <si>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</si>
  <si>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</si>
  <si>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</si>
  <si>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</si>
  <si>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</si>
  <si>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</si>
  <si>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</si>
  <si>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</si>
  <si>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</si>
  <si>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</si>
  <si>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</si>
  <si>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</si>
  <si>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</si>
  <si>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</si>
  <si>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</si>
  <si>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</si>
  <si>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</si>
  <si>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</si>
  <si>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</si>
  <si>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</si>
  <si>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</si>
  <si>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</si>
  <si>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</si>
  <si>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</si>
  <si>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</si>
  <si>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</si>
  <si>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</si>
  <si>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</si>
  <si>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</si>
  <si>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</si>
  <si>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</si>
  <si>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</si>
  <si>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</si>
  <si>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</si>
  <si>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</si>
  <si>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</si>
  <si>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</si>
  <si>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</si>
  <si>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</si>
  <si>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</si>
  <si>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</si>
  <si>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</si>
  <si>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</si>
  <si>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</si>
  <si>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</si>
  <si>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</si>
  <si>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</si>
  <si>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</si>
  <si>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</si>
  <si>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</si>
  <si>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</si>
  <si>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</si>
  <si>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</si>
  <si>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</si>
  <si>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</si>
  <si>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</si>
  <si>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</si>
  <si>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</si>
  <si>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</si>
  <si>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</si>
  <si>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</si>
  <si>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</si>
  <si>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</si>
  <si>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</si>
  <si>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</si>
  <si>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</si>
  <si>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</si>
  <si>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</si>
  <si>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</si>
  <si>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</si>
  <si>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</si>
  <si>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</si>
  <si>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</si>
  <si>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</si>
  <si>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</si>
  <si>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</si>
  <si>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</si>
  <si>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</si>
  <si>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</si>
  <si>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</si>
  <si>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</si>
  <si>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</si>
  <si>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</si>
  <si>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</si>
  <si>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</si>
  <si>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</si>
  <si>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</si>
  <si>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</si>
  <si>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</si>
  <si>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</si>
  <si>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</si>
  <si>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</si>
  <si>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</si>
  <si>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</si>
  <si>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</si>
  <si>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</si>
  <si>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</si>
  <si>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</si>
  <si>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</si>
  <si>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</si>
  <si>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</si>
  <si>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</si>
  <si>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</si>
  <si>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</si>
  <si>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</si>
  <si>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</si>
  <si>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</si>
  <si>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</si>
  <si>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</si>
  <si>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</si>
  <si>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</si>
  <si>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</si>
  <si>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</si>
  <si>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</si>
  <si>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</si>
  <si>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</si>
  <si>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</si>
  <si>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</si>
  <si>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</si>
  <si>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</si>
  <si>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</si>
  <si>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</si>
  <si>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</si>
  <si>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</si>
  <si>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</si>
  <si>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</si>
  <si>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</si>
  <si>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</si>
  <si>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</si>
  <si>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</si>
  <si>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</si>
  <si>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</si>
  <si>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</si>
  <si>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</si>
  <si>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</si>
  <si>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</si>
  <si>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</si>
  <si>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</si>
  <si>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</si>
  <si>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</si>
  <si>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</si>
  <si>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</si>
  <si>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</si>
  <si>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</si>
  <si>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</si>
  <si>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</si>
  <si>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</si>
  <si>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</si>
  <si>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</si>
  <si>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</si>
  <si>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</si>
  <si>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</si>
  <si>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</si>
  <si>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</si>
  <si>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</si>
  <si>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</si>
  <si>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</si>
  <si>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</si>
  <si>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</si>
  <si>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</si>
  <si>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</si>
  <si>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</si>
  <si>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</si>
  <si>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</si>
  <si>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</si>
  <si>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</si>
  <si>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</si>
  <si>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</si>
  <si>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</si>
  <si>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</si>
  <si>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</si>
  <si>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</si>
  <si>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</si>
  <si>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</si>
  <si>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</si>
  <si>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</si>
  <si>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</si>
  <si>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</si>
  <si>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</si>
  <si>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</si>
  <si>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</si>
  <si>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</si>
  <si>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</si>
  <si>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</si>
  <si>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</si>
  <si>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</si>
  <si>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</si>
  <si>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</si>
  <si>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</si>
  <si>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</si>
  <si>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</si>
  <si>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</si>
  <si>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</si>
  <si>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</si>
  <si>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</si>
  <si>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</si>
  <si>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</si>
  <si>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</si>
  <si>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</si>
  <si>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</si>
  <si>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</si>
  <si>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</si>
  <si>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</si>
  <si>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</si>
  <si>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</si>
  <si>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</si>
  <si>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</si>
  <si>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</si>
  <si>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</si>
  <si>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</si>
  <si>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</si>
  <si>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</si>
  <si>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</si>
  <si>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</si>
  <si>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</si>
  <si>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</si>
  <si>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</si>
  <si>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</si>
  <si>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</si>
  <si>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</si>
  <si>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</si>
  <si>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</si>
  <si>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</si>
  <si>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</si>
  <si>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</si>
  <si>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</si>
  <si>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</si>
  <si>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</si>
  <si>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</si>
  <si>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</si>
  <si>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</si>
  <si>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</si>
  <si>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</si>
  <si>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</si>
  <si>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</si>
  <si>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</si>
  <si>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</si>
  <si>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</si>
  <si>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</si>
  <si>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</si>
  <si>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</si>
  <si>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</si>
  <si>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</si>
  <si>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</si>
  <si>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</si>
  <si>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</si>
  <si>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</si>
  <si>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</si>
  <si>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</si>
  <si>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</si>
  <si>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</si>
  <si>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</si>
  <si>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</si>
  <si>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</si>
  <si>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</si>
  <si>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</si>
  <si>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</si>
  <si>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</si>
  <si>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</si>
  <si>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</si>
  <si>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</si>
  <si>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</si>
  <si>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</si>
  <si>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</si>
  <si>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</si>
  <si>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</si>
  <si>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</si>
  <si>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</si>
  <si>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</si>
  <si>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</si>
  <si>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</si>
  <si>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</si>
  <si>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</si>
  <si>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</si>
  <si>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</si>
  <si>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</si>
  <si>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</si>
  <si>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</si>
  <si>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</si>
  <si>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</si>
  <si>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</si>
  <si>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</si>
  <si>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</si>
  <si>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</si>
  <si>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</si>
  <si>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</si>
  <si>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</si>
  <si>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</si>
  <si>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</si>
  <si>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</si>
  <si>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</si>
  <si>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</si>
  <si>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</si>
  <si>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</si>
  <si>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</si>
  <si>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</si>
  <si>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</si>
  <si>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</si>
  <si>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</si>
  <si>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</si>
  <si>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</si>
  <si>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</si>
  <si>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</si>
  <si>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</si>
  <si>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</si>
  <si>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</si>
  <si>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</si>
  <si>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</si>
  <si>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</si>
  <si>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</si>
  <si>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</si>
  <si>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</si>
  <si>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</si>
  <si>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</si>
  <si>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</si>
  <si>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</si>
  <si>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</si>
  <si>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</si>
  <si>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</si>
  <si>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</si>
  <si>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</si>
  <si>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</si>
  <si>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</si>
  <si>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</si>
  <si>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</si>
  <si>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</si>
  <si>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</si>
  <si>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</si>
  <si>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</si>
  <si>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</si>
  <si>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</si>
  <si>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</si>
  <si>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</si>
  <si>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</si>
  <si>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</si>
  <si>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</si>
  <si>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</si>
  <si>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</si>
  <si>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</si>
  <si>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</si>
  <si>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</si>
  <si>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</si>
  <si>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</si>
  <si>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</si>
  <si>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</si>
  <si>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</si>
  <si>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</si>
  <si>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</si>
  <si>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</si>
  <si>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</si>
  <si>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</si>
  <si>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</si>
  <si>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</si>
  <si>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</si>
  <si>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</si>
  <si>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</si>
  <si>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</si>
  <si>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</si>
  <si>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</si>
  <si>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</si>
  <si>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</si>
  <si>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</si>
  <si>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</si>
  <si>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</si>
  <si>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</si>
  <si>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</si>
  <si>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</si>
  <si>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</si>
  <si>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</si>
  <si>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</si>
  <si>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</si>
  <si>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</si>
  <si>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</si>
  <si>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</si>
  <si>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</si>
  <si>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</si>
  <si>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</si>
  <si>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</si>
  <si>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</si>
  <si>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</si>
  <si>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</si>
  <si>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</si>
  <si>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</si>
  <si>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</si>
  <si>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</si>
  <si>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</si>
  <si>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</si>
  <si>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</si>
  <si>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</si>
  <si>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</si>
  <si>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</si>
  <si>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</si>
  <si>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</si>
  <si>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</si>
  <si>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</si>
  <si>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</si>
  <si>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</si>
  <si>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</si>
  <si>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</si>
  <si>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</si>
  <si>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</si>
  <si>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</si>
  <si>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</si>
  <si>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</si>
  <si>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</si>
  <si>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</si>
  <si>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</si>
  <si>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</si>
  <si>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</si>
  <si>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</si>
  <si>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</si>
  <si>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</si>
  <si>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</si>
  <si>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</si>
  <si>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</si>
  <si>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</si>
  <si>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</si>
  <si>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</si>
  <si>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</si>
  <si>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</si>
  <si>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</si>
  <si>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</si>
  <si>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</si>
  <si>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</si>
  <si>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</si>
  <si>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</si>
  <si>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</si>
  <si>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</si>
  <si>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</si>
  <si>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</si>
  <si>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</si>
  <si>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</si>
  <si>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</si>
  <si>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</si>
  <si>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</si>
  <si>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</si>
  <si>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</si>
  <si>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</si>
  <si>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</si>
  <si>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</si>
  <si>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</si>
  <si>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</si>
  <si>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</si>
  <si>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</si>
  <si>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</si>
  <si>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</si>
  <si>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</si>
  <si>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</si>
  <si>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</si>
  <si>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</si>
  <si>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</si>
  <si>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</si>
  <si>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</si>
  <si>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</si>
  <si>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</si>
  <si>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</si>
  <si>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</si>
  <si>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</si>
  <si>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</si>
  <si>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</si>
  <si>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</si>
  <si>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</si>
  <si>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</si>
  <si>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</si>
  <si>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</si>
  <si>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</si>
  <si>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</si>
  <si>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</si>
  <si>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</si>
  <si>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</si>
  <si>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</si>
  <si>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</si>
  <si>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</si>
  <si>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</si>
  <si>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</si>
  <si>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</si>
  <si>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</si>
  <si>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</si>
  <si>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</si>
  <si>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</si>
  <si>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</si>
  <si>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</si>
  <si>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</si>
  <si>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</si>
  <si>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</si>
  <si>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</si>
  <si>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</si>
  <si>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</si>
  <si>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</si>
  <si>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</si>
  <si>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</si>
  <si>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</si>
  <si>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</si>
  <si>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</si>
  <si>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</si>
  <si>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</si>
  <si>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</si>
  <si>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</si>
  <si>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</si>
  <si>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</si>
  <si>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</si>
  <si>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</si>
  <si>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</si>
  <si>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</si>
  <si>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</si>
  <si>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</si>
  <si>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</si>
  <si>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</si>
  <si>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</si>
  <si>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</si>
  <si>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</si>
  <si>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</si>
  <si>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</si>
  <si>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</si>
  <si>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</si>
  <si>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</si>
  <si>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</si>
  <si>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</si>
  <si>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</si>
  <si>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</si>
  <si>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</si>
  <si>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</si>
  <si>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</si>
  <si>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</si>
  <si>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</si>
  <si>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</si>
  <si>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</si>
  <si>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</si>
  <si>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</si>
  <si>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</si>
  <si>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</si>
  <si>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</si>
  <si>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</si>
  <si>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</si>
  <si>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</si>
  <si>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</si>
  <si>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</si>
  <si>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</si>
  <si>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</si>
  <si>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</si>
  <si>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</si>
  <si>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</si>
  <si>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</si>
  <si>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</si>
  <si>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</si>
  <si>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</si>
  <si>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</si>
  <si>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</si>
  <si>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</si>
  <si>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</si>
  <si>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</si>
  <si>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</si>
  <si>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</si>
  <si>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</si>
  <si>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</si>
  <si>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</si>
  <si>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</si>
  <si>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</si>
  <si>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</si>
  <si>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</si>
  <si>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</si>
  <si>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</si>
  <si>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</si>
  <si>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</si>
  <si>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</si>
  <si>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</si>
  <si>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</si>
  <si>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</si>
  <si>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</si>
  <si>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</si>
  <si>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</si>
  <si>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</si>
  <si>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</si>
  <si>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</si>
  <si>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</si>
  <si>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</si>
  <si>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</si>
  <si>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</si>
  <si>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</si>
  <si>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</si>
  <si>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</si>
  <si>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</si>
  <si>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</si>
  <si>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</si>
  <si>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</si>
  <si>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</si>
  <si>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</si>
  <si>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</si>
  <si>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</si>
  <si>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</si>
  <si>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</si>
  <si>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</si>
  <si>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</si>
  <si>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</si>
  <si>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</si>
  <si>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</si>
  <si>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</si>
  <si>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</si>
  <si>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</si>
  <si>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</si>
  <si>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</si>
  <si>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</si>
  <si>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</si>
  <si>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</si>
  <si>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</si>
  <si>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</si>
  <si>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</si>
  <si>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</si>
  <si>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</si>
  <si>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</si>
  <si>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</si>
  <si>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</si>
  <si>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</si>
  <si>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</si>
  <si>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</si>
  <si>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</si>
  <si>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</si>
  <si>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</si>
  <si>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</si>
  <si>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</si>
  <si>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</si>
  <si>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</si>
  <si>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</si>
  <si>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</si>
  <si>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</si>
  <si>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</si>
  <si>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</si>
  <si>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</si>
  <si>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</si>
  <si>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</si>
  <si>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</si>
  <si>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</si>
  <si>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</si>
  <si>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</si>
  <si>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</si>
  <si>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</si>
  <si>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</si>
  <si>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</si>
  <si>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</si>
  <si>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</si>
  <si>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</si>
  <si>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</si>
  <si>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</si>
  <si>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</si>
  <si>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</si>
  <si>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</si>
  <si>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</si>
  <si>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</si>
  <si>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</si>
  <si>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</si>
  <si>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</si>
  <si>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</si>
  <si>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</si>
  <si>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</si>
  <si>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</si>
  <si>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</si>
  <si>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</si>
  <si>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</si>
  <si>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</si>
  <si>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</si>
  <si>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</si>
  <si>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</si>
  <si>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</si>
  <si>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</si>
  <si>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</si>
  <si>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</si>
  <si>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</si>
  <si>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</si>
  <si>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</si>
  <si>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</si>
  <si>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</si>
  <si>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</si>
  <si>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</si>
  <si>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</si>
  <si>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</si>
  <si>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</si>
  <si>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</si>
  <si>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</si>
  <si>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</si>
  <si>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</si>
  <si>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</si>
  <si>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</si>
  <si>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</si>
  <si>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</si>
  <si>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</si>
  <si>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</si>
  <si>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</si>
  <si>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</si>
  <si>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</si>
  <si>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</si>
  <si>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</si>
  <si>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</si>
  <si>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</si>
  <si>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</si>
  <si>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</si>
  <si>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</si>
  <si>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</si>
  <si>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</si>
  <si>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</si>
  <si>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</si>
  <si>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</si>
  <si>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</si>
  <si>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</si>
  <si>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</si>
  <si>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</si>
  <si>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</si>
  <si>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</si>
  <si>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</si>
  <si>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</si>
  <si>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</si>
  <si>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</si>
  <si>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</si>
  <si>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</si>
  <si>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</si>
  <si>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</si>
  <si>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</si>
  <si>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</si>
  <si>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</si>
  <si>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</si>
  <si>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</si>
  <si>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</si>
  <si>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</si>
  <si>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</si>
  <si>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</si>
  <si>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</si>
  <si>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</si>
  <si>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</si>
  <si>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</si>
  <si>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</si>
  <si>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</si>
  <si>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</si>
  <si>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</si>
  <si>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</si>
  <si>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</si>
  <si>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</si>
  <si>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</si>
  <si>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</si>
  <si>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</si>
  <si>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</si>
  <si>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</si>
  <si>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</si>
  <si>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</si>
  <si>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</si>
  <si>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</si>
  <si>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</si>
  <si>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</si>
  <si>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</si>
  <si>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</si>
  <si>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</si>
  <si>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</si>
  <si>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</si>
  <si>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</si>
  <si>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</si>
  <si>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</si>
  <si>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</si>
  <si>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</si>
  <si>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</si>
  <si>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</si>
  <si>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</si>
  <si>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</si>
  <si>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</si>
  <si>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</si>
  <si>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</si>
  <si>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</si>
  <si>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</si>
  <si>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</si>
  <si>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</si>
  <si>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</si>
  <si>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</si>
  <si>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</si>
  <si>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</si>
  <si>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</si>
  <si>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</si>
  <si>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</si>
  <si>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</si>
  <si>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</si>
  <si>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Diesel hybride</t>
  </si>
  <si>
    <t>Fuel Cell H2</t>
  </si>
  <si>
    <t>H2</t>
  </si>
  <si>
    <t>Diesel Hybrid PHEV</t>
  </si>
  <si>
    <t>Petrol Hybrid CS</t>
  </si>
  <si>
    <t>Petrol Hybrid PHEV</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</si>
  <si>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</si>
  <si>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</si>
  <si>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</si>
  <si>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</si>
  <si>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</si>
  <si>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</si>
  <si>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</si>
  <si>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</si>
  <si>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</si>
  <si>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</si>
  <si>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</si>
  <si>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</si>
  <si>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</si>
  <si>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</si>
  <si>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</si>
  <si>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</si>
  <si>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</si>
  <si>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</si>
  <si>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</si>
  <si>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</si>
  <si>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</si>
  <si>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</si>
  <si>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</si>
  <si>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2012_11</t>
  </si>
  <si>
    <t>update Energiebalans Vlaanderen voor huishoudens, tertiair, landbouw (industrie niet-ETS niet beschikbaar!)</t>
  </si>
  <si>
    <t>versie: 2012_11</t>
  </si>
  <si>
    <t>VITO Energiebalans Vlaanderen (december 2021)</t>
  </si>
  <si>
    <t>VEKA</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</si>
  <si>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</si>
  <si>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</si>
  <si>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</si>
  <si>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</si>
  <si>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</si>
  <si>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</si>
  <si>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</si>
  <si>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</si>
  <si>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</si>
  <si>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</si>
  <si>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</si>
  <si>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</si>
  <si>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45068</t>
  </si>
  <si>
    <t>KRUISEM</t>
  </si>
  <si>
    <t>Paarden&amp;pony's 200 - 600 kg</t>
  </si>
  <si>
    <t>Paarden&amp;pony's &lt; 200 kg</t>
  </si>
  <si>
    <t>vloeibaar gas (MWh)</t>
  </si>
  <si>
    <t>interne verbrandingsmotor</t>
  </si>
  <si>
    <t>WKK interne verbrandinsgmotor (gas)</t>
  </si>
  <si>
    <t>GASELWEST</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</si>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</sst>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1" fillId="0" borderId="176" applyNumberFormat="0" applyFill="0" applyAlignment="0" applyProtection="0"/>
    <xf numFmtId="0" fontId="102" fillId="26" borderId="0" applyNumberFormat="0" applyBorder="0" applyAlignment="0" applyProtection="0"/>
    <xf numFmtId="0" fontId="103" fillId="27" borderId="0" applyNumberFormat="0" applyBorder="0" applyAlignment="0" applyProtection="0"/>
    <xf numFmtId="0" fontId="104" fillId="28" borderId="0" applyNumberFormat="0" applyBorder="0" applyAlignment="0" applyProtection="0"/>
    <xf numFmtId="0" fontId="105" fillId="29" borderId="177" applyNumberFormat="0" applyAlignment="0" applyProtection="0"/>
    <xf numFmtId="0" fontId="106" fillId="30" borderId="178" applyNumberFormat="0" applyAlignment="0" applyProtection="0"/>
    <xf numFmtId="0" fontId="107" fillId="30" borderId="177" applyNumberFormat="0" applyAlignment="0" applyProtection="0"/>
    <xf numFmtId="0" fontId="108"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09"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0" fillId="0" borderId="0"/>
    <xf numFmtId="0" fontId="1" fillId="0" borderId="0" applyNumberFormat="0" applyFill="0" applyBorder="0" applyAlignment="0" applyProtection="0"/>
    <xf numFmtId="0" fontId="111" fillId="0" borderId="176" applyNumberFormat="0" applyFill="0" applyAlignment="0" applyProtection="0"/>
    <xf numFmtId="0" fontId="112" fillId="28" borderId="0" applyNumberFormat="0" applyBorder="0" applyAlignment="0" applyProtection="0"/>
    <xf numFmtId="0" fontId="110" fillId="34" borderId="0" applyNumberFormat="0" applyBorder="0" applyAlignment="0" applyProtection="0"/>
    <xf numFmtId="9" fontId="110"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3" fillId="0" borderId="13" applyFill="0" applyBorder="0" applyProtection="0">
      <alignment horizontal="right" vertical="center"/>
    </xf>
    <xf numFmtId="0" fontId="114"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3" fillId="0" borderId="183" applyNumberFormat="0" applyFill="0" applyBorder="0" applyProtection="0">
      <alignment horizontal="left" vertical="center"/>
    </xf>
    <xf numFmtId="0" fontId="26" fillId="0" borderId="183" applyNumberFormat="0" applyFill="0" applyAlignment="0" applyProtection="0"/>
    <xf numFmtId="0" fontId="115"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0"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4"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3"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3"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3"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3"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3"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3"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3"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3"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3"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3"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3"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3"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29" fillId="0" borderId="0"/>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31" fillId="9" borderId="217">
      <alignment horizontal="right" vertical="center"/>
    </xf>
    <xf numFmtId="0" fontId="131"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28"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0"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1"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5" fillId="0" borderId="0"/>
    <xf numFmtId="0" fontId="126" fillId="63" borderId="216">
      <alignment horizontal="center"/>
    </xf>
    <xf numFmtId="0" fontId="127" fillId="64" borderId="216"/>
    <xf numFmtId="0" fontId="127" fillId="65" borderId="216"/>
    <xf numFmtId="0" fontId="110" fillId="0" borderId="0"/>
    <xf numFmtId="0" fontId="126" fillId="63" borderId="216">
      <alignment horizontal="center"/>
    </xf>
    <xf numFmtId="0" fontId="127" fillId="64" borderId="216"/>
    <xf numFmtId="0" fontId="127" fillId="65" borderId="216"/>
    <xf numFmtId="0" fontId="4" fillId="0" borderId="0"/>
    <xf numFmtId="0" fontId="110" fillId="0" borderId="0"/>
    <xf numFmtId="9" fontId="110" fillId="0" borderId="0" applyFont="0" applyFill="0" applyBorder="0" applyAlignment="0" applyProtection="0"/>
    <xf numFmtId="0" fontId="4" fillId="0" borderId="0"/>
    <xf numFmtId="0" fontId="4" fillId="0" borderId="0"/>
    <xf numFmtId="0" fontId="125" fillId="0" borderId="0"/>
    <xf numFmtId="0" fontId="125" fillId="0" borderId="0"/>
    <xf numFmtId="0" fontId="125"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5"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110" fillId="0" borderId="0"/>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7"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7"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6"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0" fillId="0" borderId="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281">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0" fillId="0" borderId="0" xfId="0" applyNumberFormat="1"/>
    <xf numFmtId="2" fontId="0" fillId="0" borderId="0" xfId="0" applyNumberFormat="1" applyBorder="1"/>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8"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0" fontId="75" fillId="12" borderId="86" xfId="0" applyNumberFormat="1" applyFont="1" applyFill="1" applyBorder="1" applyAlignment="1">
      <alignment horizontal="left" vertical="center" wrapText="1"/>
    </xf>
    <xf numFmtId="172" fontId="100"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6" fillId="12" borderId="28" xfId="0" applyNumberFormat="1" applyFont="1" applyFill="1" applyBorder="1" applyAlignment="1">
      <alignment horizontal="center" vertical="center" wrapText="1"/>
    </xf>
    <xf numFmtId="3" fontId="22" fillId="0" borderId="0" xfId="0" applyNumberFormat="1" applyFont="1"/>
    <xf numFmtId="3" fontId="116"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7"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18"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18" fillId="0" borderId="0" xfId="0" applyNumberFormat="1" applyFont="1" applyAlignment="1">
      <alignment vertical="top"/>
    </xf>
    <xf numFmtId="3" fontId="0" fillId="61" borderId="0" xfId="0" applyNumberFormat="1" applyFont="1" applyFill="1" applyAlignment="1">
      <alignment horizontal="left" vertical="top" wrapText="1"/>
    </xf>
    <xf numFmtId="3" fontId="119"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1" fillId="0" borderId="183" xfId="0" applyNumberFormat="1" applyFont="1" applyFill="1" applyBorder="1" applyAlignment="1">
      <alignment horizontal="left"/>
    </xf>
    <xf numFmtId="1" fontId="122"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1"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1" fillId="0" borderId="183" xfId="0" applyNumberFormat="1" applyFont="1" applyFill="1" applyBorder="1" applyAlignment="1">
      <alignment horizontal="left" vertical="top"/>
    </xf>
    <xf numFmtId="1" fontId="122" fillId="15" borderId="183" xfId="0" applyNumberFormat="1" applyFont="1" applyFill="1" applyBorder="1" applyAlignment="1">
      <alignment horizontal="left" vertical="top" wrapText="1"/>
    </xf>
    <xf numFmtId="1" fontId="122"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79"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23" fillId="4" borderId="0" xfId="0" applyNumberFormat="1" applyFont="1" applyFill="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6" fillId="12" borderId="183" xfId="0" applyNumberFormat="1" applyFont="1" applyFill="1" applyBorder="1" applyAlignment="1">
      <alignment horizontal="center" vertical="center" wrapText="1"/>
    </xf>
    <xf numFmtId="3" fontId="116" fillId="12" borderId="14" xfId="0" applyNumberFormat="1" applyFont="1" applyFill="1" applyBorder="1" applyAlignment="1">
      <alignment horizontal="center" vertical="top" wrapText="1"/>
    </xf>
    <xf numFmtId="3" fontId="116" fillId="12" borderId="28" xfId="0" applyNumberFormat="1" applyFont="1" applyFill="1" applyBorder="1" applyAlignment="1">
      <alignment horizontal="center" vertical="top" wrapText="1"/>
    </xf>
    <xf numFmtId="3" fontId="116" fillId="12" borderId="8" xfId="0" applyNumberFormat="1" applyFont="1" applyFill="1" applyBorder="1" applyAlignment="1">
      <alignment horizontal="center" vertical="center" wrapText="1"/>
    </xf>
    <xf numFmtId="3" fontId="116" fillId="12" borderId="11" xfId="0" applyNumberFormat="1" applyFont="1" applyFill="1" applyBorder="1" applyAlignment="1">
      <alignment horizontal="center" vertical="center" wrapText="1"/>
    </xf>
    <xf numFmtId="3" fontId="116" fillId="12" borderId="9" xfId="0" applyNumberFormat="1" applyFont="1" applyFill="1" applyBorder="1" applyAlignment="1">
      <alignment horizontal="center" vertical="center" wrapText="1"/>
    </xf>
    <xf numFmtId="3" fontId="116" fillId="12" borderId="13" xfId="0" applyNumberFormat="1" applyFont="1" applyFill="1" applyBorder="1" applyAlignment="1">
      <alignment horizontal="center" vertical="center" wrapText="1"/>
    </xf>
    <xf numFmtId="3" fontId="116" fillId="12" borderId="10" xfId="0" applyNumberFormat="1" applyFont="1" applyFill="1" applyBorder="1" applyAlignment="1">
      <alignment horizontal="center" vertical="center" wrapText="1"/>
    </xf>
    <xf numFmtId="3" fontId="116"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0"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0"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0" fontId="0" fillId="0" borderId="0" xfId="315" applyNumberFormat="1" applyFont="1"/>
    <xf numFmtId="180" fontId="23" fillId="0" borderId="0" xfId="315" applyNumberFormat="1" applyFont="1"/>
    <xf numFmtId="180"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0"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136CBB50-8E56-4AD8-98DC-40C9B218A434}"/>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693</v>
      </c>
      <c r="B2" s="388"/>
      <c r="C2" s="389"/>
    </row>
    <row r="3" spans="1:7" s="12" customFormat="1" ht="15" customHeight="1">
      <c r="A3" s="94"/>
      <c r="B3" s="75"/>
      <c r="C3" s="95"/>
    </row>
    <row r="4" spans="1:7" s="12" customFormat="1" ht="15.75" customHeight="1" thickBot="1">
      <c r="A4" s="106" t="s">
        <v>922</v>
      </c>
      <c r="B4" s="107"/>
      <c r="C4" s="108"/>
    </row>
    <row r="5" spans="1:7" s="382" customFormat="1" ht="15.75" customHeight="1">
      <c r="A5" s="379" t="s">
        <v>0</v>
      </c>
      <c r="B5" s="380"/>
      <c r="C5" s="381"/>
    </row>
    <row r="6" spans="1:7" s="382" customFormat="1" ht="15" customHeight="1">
      <c r="A6" s="383" t="str">
        <f>txtNIS</f>
        <v>45068</v>
      </c>
      <c r="B6" s="384"/>
      <c r="C6" s="385"/>
    </row>
    <row r="7" spans="1:7" s="382" customFormat="1" ht="15.75" customHeight="1">
      <c r="A7" s="386" t="str">
        <f>txtMunicipality</f>
        <v>KRUISEM</v>
      </c>
      <c r="B7" s="384"/>
      <c r="C7" s="385"/>
    </row>
    <row r="8" spans="1:7" ht="15.75" thickBot="1">
      <c r="A8" s="46"/>
      <c r="B8" s="109"/>
      <c r="C8" s="110"/>
    </row>
    <row r="9" spans="1:7" s="375" customFormat="1" ht="15.75" thickBot="1">
      <c r="A9" s="399" t="s">
        <v>344</v>
      </c>
      <c r="B9" s="402"/>
      <c r="C9" s="403"/>
    </row>
    <row r="10" spans="1:7" s="16" customFormat="1" ht="57.75" customHeight="1" thickBot="1">
      <c r="A10" s="1027" t="s">
        <v>919</v>
      </c>
      <c r="B10" s="1028"/>
      <c r="C10" s="1029"/>
    </row>
    <row r="11" spans="1:7" s="376" customFormat="1" ht="15.75" thickBot="1">
      <c r="A11" s="399" t="s">
        <v>347</v>
      </c>
      <c r="B11" s="402"/>
      <c r="C11" s="403"/>
      <c r="G11" s="377"/>
    </row>
    <row r="12" spans="1:7">
      <c r="A12" s="45"/>
      <c r="B12" s="44"/>
      <c r="C12" s="97"/>
    </row>
    <row r="13" spans="1:7" s="376" customFormat="1">
      <c r="A13" s="718" t="s">
        <v>592</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30" t="s">
        <v>519</v>
      </c>
      <c r="C16" s="1031"/>
    </row>
    <row r="17" spans="1:3" s="16" customFormat="1" ht="15.75">
      <c r="A17" s="99"/>
      <c r="B17" s="71"/>
      <c r="C17" s="100"/>
    </row>
    <row r="18" spans="1:3">
      <c r="A18" s="96" t="s">
        <v>351</v>
      </c>
      <c r="B18" s="70" t="s">
        <v>363</v>
      </c>
      <c r="C18" s="101" t="s">
        <v>362</v>
      </c>
    </row>
    <row r="19" spans="1:3" s="333" customFormat="1">
      <c r="A19" s="366" t="s">
        <v>349</v>
      </c>
      <c r="B19" s="367" t="s">
        <v>639</v>
      </c>
      <c r="C19" s="368" t="s">
        <v>517</v>
      </c>
    </row>
    <row r="20" spans="1:3" s="333" customFormat="1">
      <c r="A20" s="369"/>
      <c r="B20" s="330"/>
      <c r="C20" s="370"/>
    </row>
    <row r="21" spans="1:3" s="333" customFormat="1">
      <c r="A21" s="371" t="s">
        <v>350</v>
      </c>
      <c r="B21" s="367" t="s">
        <v>514</v>
      </c>
      <c r="C21" s="368" t="s">
        <v>518</v>
      </c>
    </row>
    <row r="22" spans="1:3" s="333" customFormat="1">
      <c r="A22" s="372"/>
      <c r="B22" s="330"/>
      <c r="C22" s="370"/>
    </row>
    <row r="23" spans="1:3" s="333" customFormat="1" ht="30">
      <c r="A23" s="366" t="s">
        <v>436</v>
      </c>
      <c r="B23" s="438" t="s">
        <v>440</v>
      </c>
      <c r="C23" s="368" t="s">
        <v>515</v>
      </c>
    </row>
    <row r="24" spans="1:3" s="333" customFormat="1">
      <c r="A24" s="372"/>
      <c r="B24" s="330"/>
      <c r="C24" s="370"/>
    </row>
    <row r="25" spans="1:3" s="333" customFormat="1">
      <c r="A25" s="366" t="s">
        <v>438</v>
      </c>
      <c r="B25" s="367" t="s">
        <v>437</v>
      </c>
      <c r="C25" s="368" t="s">
        <v>516</v>
      </c>
    </row>
    <row r="26" spans="1:3" s="333" customFormat="1">
      <c r="A26" s="372"/>
      <c r="B26" s="330"/>
      <c r="C26" s="370"/>
    </row>
    <row r="27" spans="1:3" s="333" customFormat="1">
      <c r="A27" s="366" t="s">
        <v>409</v>
      </c>
      <c r="B27" s="367" t="s">
        <v>435</v>
      </c>
      <c r="C27" s="368"/>
    </row>
    <row r="28" spans="1:3" s="333" customFormat="1">
      <c r="A28" s="372"/>
      <c r="B28" s="330" t="s">
        <v>572</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468</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41"/>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637</v>
      </c>
      <c r="C6" s="410" t="s">
        <v>345</v>
      </c>
    </row>
    <row r="7" spans="1:3" s="327" customFormat="1">
      <c r="A7" s="411" t="s">
        <v>638</v>
      </c>
      <c r="B7" s="412" t="s">
        <v>583</v>
      </c>
      <c r="C7" s="413" t="s">
        <v>582</v>
      </c>
    </row>
    <row r="8" spans="1:3" s="327" customFormat="1">
      <c r="A8" s="440"/>
      <c r="B8" s="412"/>
      <c r="C8" s="413"/>
    </row>
    <row r="9" spans="1:3" ht="21">
      <c r="A9" s="127" t="s">
        <v>469</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32" t="s">
        <v>210</v>
      </c>
      <c r="B2" s="1032"/>
      <c r="C2" s="1032"/>
      <c r="D2" s="60"/>
      <c r="E2" s="60"/>
      <c r="F2" s="60"/>
      <c r="G2" s="60"/>
      <c r="H2" s="61"/>
      <c r="I2" s="61"/>
      <c r="J2" s="62"/>
      <c r="K2" s="62"/>
      <c r="L2" s="61"/>
      <c r="M2" s="61"/>
      <c r="N2" s="61"/>
      <c r="O2" s="61"/>
      <c r="P2" s="61"/>
      <c r="Q2" s="61"/>
      <c r="R2" s="61"/>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2"/>
      <c r="B4" s="442"/>
      <c r="C4" s="64"/>
      <c r="D4" s="64"/>
      <c r="E4" s="64"/>
      <c r="F4" s="64"/>
      <c r="G4" s="64"/>
      <c r="H4" s="64"/>
      <c r="I4" s="64"/>
      <c r="J4" s="64"/>
      <c r="K4" s="64"/>
      <c r="L4" s="64"/>
      <c r="M4" s="64"/>
      <c r="N4" s="64"/>
      <c r="O4" s="64"/>
      <c r="P4" s="64"/>
      <c r="Q4" s="64"/>
      <c r="R4" s="64"/>
    </row>
    <row r="5" spans="1:19" ht="16.5" thickBot="1">
      <c r="A5" s="1034" t="s">
        <v>211</v>
      </c>
      <c r="B5" s="744"/>
      <c r="C5" s="1037" t="s">
        <v>330</v>
      </c>
      <c r="D5" s="1038"/>
      <c r="E5" s="1038"/>
      <c r="F5" s="1038"/>
      <c r="G5" s="1038"/>
      <c r="H5" s="1038"/>
      <c r="I5" s="1038"/>
      <c r="J5" s="1038"/>
      <c r="K5" s="1038"/>
      <c r="L5" s="1038"/>
      <c r="M5" s="1038"/>
      <c r="N5" s="1038"/>
      <c r="O5" s="1038"/>
      <c r="P5" s="1038"/>
      <c r="Q5" s="1038"/>
      <c r="R5" s="1039"/>
    </row>
    <row r="6" spans="1:19" ht="16.5" thickTop="1">
      <c r="A6" s="1035"/>
      <c r="B6" s="745"/>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6"/>
      <c r="C7" s="1041"/>
      <c r="D7" s="1043"/>
      <c r="E7" s="927" t="s">
        <v>192</v>
      </c>
      <c r="F7" s="927" t="s">
        <v>193</v>
      </c>
      <c r="G7" s="65" t="s">
        <v>194</v>
      </c>
      <c r="H7" s="927" t="s">
        <v>195</v>
      </c>
      <c r="I7" s="927" t="s">
        <v>113</v>
      </c>
      <c r="J7" s="927" t="s">
        <v>196</v>
      </c>
      <c r="K7" s="439" t="s">
        <v>197</v>
      </c>
      <c r="L7" s="439" t="s">
        <v>198</v>
      </c>
      <c r="M7" s="65" t="s">
        <v>199</v>
      </c>
      <c r="N7" s="66" t="s">
        <v>200</v>
      </c>
      <c r="O7" s="66" t="s">
        <v>201</v>
      </c>
      <c r="P7" s="66" t="s">
        <v>202</v>
      </c>
      <c r="Q7" s="67" t="s">
        <v>203</v>
      </c>
      <c r="R7" s="1048"/>
    </row>
    <row r="8" spans="1:19" ht="18.75" customHeight="1" thickTop="1">
      <c r="A8" s="752" t="s">
        <v>331</v>
      </c>
      <c r="B8" s="757"/>
      <c r="C8" s="1053"/>
      <c r="D8" s="1053"/>
      <c r="E8" s="1053"/>
      <c r="F8" s="1053"/>
      <c r="G8" s="1053"/>
      <c r="H8" s="1053"/>
      <c r="I8" s="1053"/>
      <c r="J8" s="1053"/>
      <c r="K8" s="1053"/>
      <c r="L8" s="1053"/>
      <c r="M8" s="1053"/>
      <c r="N8" s="1053"/>
      <c r="O8" s="1053"/>
      <c r="P8" s="1053"/>
      <c r="Q8" s="1053"/>
      <c r="R8" s="303"/>
    </row>
    <row r="9" spans="1:19" s="443" customFormat="1">
      <c r="A9" s="753" t="s">
        <v>212</v>
      </c>
      <c r="B9" s="758"/>
      <c r="C9" s="639">
        <f>'Eigen gebouwen'!B15</f>
        <v>0</v>
      </c>
      <c r="D9" s="639">
        <f>'Eigen gebouwen'!C15</f>
        <v>0</v>
      </c>
      <c r="E9" s="639">
        <f>'Eigen gebouwen'!D15</f>
        <v>0</v>
      </c>
      <c r="F9" s="639">
        <f>'Eigen gebouwen'!E15</f>
        <v>0</v>
      </c>
      <c r="G9" s="639">
        <f>'Eigen gebouwen'!F15</f>
        <v>0</v>
      </c>
      <c r="H9" s="639">
        <f>'Eigen gebouwen'!G15</f>
        <v>0</v>
      </c>
      <c r="I9" s="639">
        <f>'Eigen gebouwen'!H15</f>
        <v>0</v>
      </c>
      <c r="J9" s="639">
        <f>'Eigen gebouwen'!I15</f>
        <v>0</v>
      </c>
      <c r="K9" s="639">
        <f>'Eigen gebouwen'!J15</f>
        <v>0</v>
      </c>
      <c r="L9" s="639">
        <f>'Eigen gebouwen'!K15</f>
        <v>0</v>
      </c>
      <c r="M9" s="639">
        <f>'Eigen gebouwen'!L15</f>
        <v>0</v>
      </c>
      <c r="N9" s="639">
        <f>'Eigen gebouwen'!M15</f>
        <v>0</v>
      </c>
      <c r="O9" s="639">
        <f>'Eigen gebouwen'!N15</f>
        <v>0</v>
      </c>
      <c r="P9" s="639">
        <f>'Eigen gebouwen'!O15</f>
        <v>0</v>
      </c>
      <c r="Q9" s="640">
        <f>'Eigen gebouwen'!P15</f>
        <v>0</v>
      </c>
      <c r="R9" s="641">
        <f>SUM(C9:Q9)</f>
        <v>0</v>
      </c>
      <c r="S9" s="68"/>
    </row>
    <row r="10" spans="1:19" s="443" customFormat="1">
      <c r="A10" s="754" t="s">
        <v>213</v>
      </c>
      <c r="B10" s="759"/>
      <c r="C10" s="639">
        <f ca="1">tertiair!B16+'openbare verlichting'!B8</f>
        <v>17203.292621090623</v>
      </c>
      <c r="D10" s="639">
        <f ca="1">tertiair!C16</f>
        <v>34.071428571428577</v>
      </c>
      <c r="E10" s="639">
        <f ca="1">tertiair!D16</f>
        <v>23852.490737144664</v>
      </c>
      <c r="F10" s="639">
        <f>tertiair!E16</f>
        <v>183.84422638578209</v>
      </c>
      <c r="G10" s="639">
        <f ca="1">tertiair!F16</f>
        <v>3031.5611284244414</v>
      </c>
      <c r="H10" s="639">
        <f>tertiair!G16</f>
        <v>0</v>
      </c>
      <c r="I10" s="639">
        <f>tertiair!H16</f>
        <v>0</v>
      </c>
      <c r="J10" s="639">
        <f>tertiair!I16</f>
        <v>0</v>
      </c>
      <c r="K10" s="639">
        <f>tertiair!J16</f>
        <v>0</v>
      </c>
      <c r="L10" s="639">
        <f>tertiair!K16</f>
        <v>0</v>
      </c>
      <c r="M10" s="639">
        <f ca="1">tertiair!L16</f>
        <v>0</v>
      </c>
      <c r="N10" s="639">
        <f>tertiair!M16</f>
        <v>0</v>
      </c>
      <c r="O10" s="639">
        <f ca="1">tertiair!N16</f>
        <v>667.11027889698516</v>
      </c>
      <c r="P10" s="639">
        <f>tertiair!O16</f>
        <v>6.2533333333333339</v>
      </c>
      <c r="Q10" s="640">
        <f>tertiair!P16</f>
        <v>38.133333333333333</v>
      </c>
      <c r="R10" s="642">
        <f ca="1">SUM(C10:Q10)</f>
        <v>45016.757087180587</v>
      </c>
      <c r="S10" s="68"/>
    </row>
    <row r="11" spans="1:19" s="443" customFormat="1">
      <c r="A11" s="753" t="s">
        <v>214</v>
      </c>
      <c r="B11" s="758"/>
      <c r="C11" s="639">
        <f>huishoudens!B8</f>
        <v>32364.675412442193</v>
      </c>
      <c r="D11" s="639">
        <f>huishoudens!C8</f>
        <v>0</v>
      </c>
      <c r="E11" s="639">
        <f>huishoudens!D8</f>
        <v>26746.376207317458</v>
      </c>
      <c r="F11" s="639">
        <f>huishoudens!E8</f>
        <v>2299.1962046601157</v>
      </c>
      <c r="G11" s="639">
        <f>huishoudens!F8</f>
        <v>70095.817033260842</v>
      </c>
      <c r="H11" s="639">
        <f>huishoudens!G8</f>
        <v>0</v>
      </c>
      <c r="I11" s="639">
        <f>huishoudens!H8</f>
        <v>0</v>
      </c>
      <c r="J11" s="639">
        <f>huishoudens!I8</f>
        <v>0</v>
      </c>
      <c r="K11" s="639">
        <f>huishoudens!J8</f>
        <v>1271.8641754730947</v>
      </c>
      <c r="L11" s="639">
        <f>huishoudens!K8</f>
        <v>0</v>
      </c>
      <c r="M11" s="639">
        <f>huishoudens!L8</f>
        <v>0</v>
      </c>
      <c r="N11" s="639">
        <f>huishoudens!M8</f>
        <v>0</v>
      </c>
      <c r="O11" s="639">
        <f>huishoudens!N8</f>
        <v>9631.172203600674</v>
      </c>
      <c r="P11" s="639">
        <f>huishoudens!O8</f>
        <v>123.50333333333334</v>
      </c>
      <c r="Q11" s="640">
        <f>huishoudens!P8</f>
        <v>400.4</v>
      </c>
      <c r="R11" s="642">
        <f>SUM(C11:Q11)</f>
        <v>142933.00457008771</v>
      </c>
      <c r="S11" s="68"/>
    </row>
    <row r="12" spans="1:19" s="443" customFormat="1">
      <c r="A12" s="753" t="s">
        <v>501</v>
      </c>
      <c r="B12" s="758"/>
      <c r="C12" s="639">
        <f>'Eigen openbare verlichting'!B15</f>
        <v>0</v>
      </c>
      <c r="D12" s="639"/>
      <c r="E12" s="639"/>
      <c r="F12" s="639"/>
      <c r="G12" s="639"/>
      <c r="H12" s="639"/>
      <c r="I12" s="639"/>
      <c r="J12" s="639"/>
      <c r="K12" s="639"/>
      <c r="L12" s="639"/>
      <c r="M12" s="639"/>
      <c r="N12" s="639"/>
      <c r="O12" s="639"/>
      <c r="P12" s="639"/>
      <c r="Q12" s="639"/>
      <c r="R12" s="642">
        <f>SUM(C12:Q12)</f>
        <v>0</v>
      </c>
      <c r="S12" s="68"/>
    </row>
    <row r="13" spans="1:19" s="443" customFormat="1">
      <c r="A13" s="753" t="s">
        <v>643</v>
      </c>
      <c r="B13" s="762" t="s">
        <v>641</v>
      </c>
      <c r="C13" s="639">
        <f>industrie!B18</f>
        <v>139039.3646458392</v>
      </c>
      <c r="D13" s="639">
        <f>industrie!C18</f>
        <v>1632.8571428571429</v>
      </c>
      <c r="E13" s="639">
        <f>industrie!D18</f>
        <v>125959.25567259559</v>
      </c>
      <c r="F13" s="639">
        <f>industrie!E18</f>
        <v>1269.1595140065738</v>
      </c>
      <c r="G13" s="639">
        <f>industrie!F18</f>
        <v>27472.482166100413</v>
      </c>
      <c r="H13" s="639">
        <f>industrie!G18</f>
        <v>0</v>
      </c>
      <c r="I13" s="639">
        <f>industrie!H18</f>
        <v>0</v>
      </c>
      <c r="J13" s="639">
        <f>industrie!I18</f>
        <v>0</v>
      </c>
      <c r="K13" s="639">
        <f>industrie!J18</f>
        <v>634.0457112634482</v>
      </c>
      <c r="L13" s="639">
        <f>industrie!K18</f>
        <v>0</v>
      </c>
      <c r="M13" s="639">
        <f>industrie!L18</f>
        <v>0</v>
      </c>
      <c r="N13" s="639">
        <f>industrie!M18</f>
        <v>0</v>
      </c>
      <c r="O13" s="639">
        <f>industrie!N18</f>
        <v>4501.1531784318322</v>
      </c>
      <c r="P13" s="639">
        <f>industrie!O18</f>
        <v>0</v>
      </c>
      <c r="Q13" s="640">
        <f>industrie!P18</f>
        <v>0</v>
      </c>
      <c r="R13" s="642">
        <f>SUM(C13:Q13)</f>
        <v>300508.31803109421</v>
      </c>
      <c r="S13" s="68"/>
    </row>
    <row r="14" spans="1:19" s="443" customFormat="1">
      <c r="A14" s="753"/>
      <c r="B14" s="762" t="s">
        <v>642</v>
      </c>
      <c r="C14" s="639"/>
      <c r="D14" s="639"/>
      <c r="E14" s="639"/>
      <c r="F14" s="639"/>
      <c r="G14" s="639"/>
      <c r="H14" s="639"/>
      <c r="I14" s="639"/>
      <c r="J14" s="639"/>
      <c r="K14" s="639"/>
      <c r="L14" s="639"/>
      <c r="M14" s="639"/>
      <c r="N14" s="639"/>
      <c r="O14" s="639"/>
      <c r="P14" s="639"/>
      <c r="Q14" s="639"/>
      <c r="R14" s="642"/>
      <c r="S14" s="68"/>
    </row>
    <row r="15" spans="1:19" s="443" customFormat="1" ht="15" thickBot="1">
      <c r="A15" s="940" t="s">
        <v>845</v>
      </c>
      <c r="B15" s="941"/>
      <c r="C15" s="942"/>
      <c r="D15" s="942"/>
      <c r="E15" s="942"/>
      <c r="F15" s="942"/>
      <c r="G15" s="942"/>
      <c r="H15" s="942"/>
      <c r="I15" s="942"/>
      <c r="J15" s="942"/>
      <c r="K15" s="942"/>
      <c r="L15" s="942"/>
      <c r="M15" s="942"/>
      <c r="N15" s="942"/>
      <c r="O15" s="942"/>
      <c r="P15" s="942"/>
      <c r="Q15" s="943"/>
      <c r="R15" s="641"/>
      <c r="S15" s="68"/>
    </row>
    <row r="16" spans="1:19" s="443" customFormat="1" ht="15.75" thickBot="1">
      <c r="A16" s="643" t="s">
        <v>215</v>
      </c>
      <c r="B16" s="760"/>
      <c r="C16" s="672">
        <f ca="1">SUM(C9:C15)</f>
        <v>188607.33267937202</v>
      </c>
      <c r="D16" s="672">
        <f t="shared" ref="D16:R16" ca="1" si="0">SUM(D9:D15)</f>
        <v>1666.9285714285716</v>
      </c>
      <c r="E16" s="672">
        <f t="shared" ca="1" si="0"/>
        <v>176558.1226170577</v>
      </c>
      <c r="F16" s="672">
        <f t="shared" si="0"/>
        <v>3752.1999450524713</v>
      </c>
      <c r="G16" s="672">
        <f t="shared" ca="1" si="0"/>
        <v>100599.86032778569</v>
      </c>
      <c r="H16" s="672">
        <f t="shared" si="0"/>
        <v>0</v>
      </c>
      <c r="I16" s="672">
        <f t="shared" si="0"/>
        <v>0</v>
      </c>
      <c r="J16" s="672">
        <f t="shared" si="0"/>
        <v>0</v>
      </c>
      <c r="K16" s="672">
        <f t="shared" si="0"/>
        <v>1905.9098867365428</v>
      </c>
      <c r="L16" s="672">
        <f t="shared" si="0"/>
        <v>0</v>
      </c>
      <c r="M16" s="672">
        <f t="shared" ca="1" si="0"/>
        <v>0</v>
      </c>
      <c r="N16" s="672">
        <f t="shared" si="0"/>
        <v>0</v>
      </c>
      <c r="O16" s="672">
        <f t="shared" ca="1" si="0"/>
        <v>14799.435660929492</v>
      </c>
      <c r="P16" s="672">
        <f t="shared" si="0"/>
        <v>129.75666666666669</v>
      </c>
      <c r="Q16" s="672">
        <f t="shared" si="0"/>
        <v>438.5333333333333</v>
      </c>
      <c r="R16" s="672">
        <f t="shared" ca="1" si="0"/>
        <v>488458.07968836254</v>
      </c>
      <c r="S16" s="68"/>
    </row>
    <row r="17" spans="1:19" s="443" customFormat="1" ht="15.75">
      <c r="A17" s="755" t="s">
        <v>216</v>
      </c>
      <c r="B17" s="676"/>
      <c r="C17" s="1054"/>
      <c r="D17" s="1054"/>
      <c r="E17" s="1054"/>
      <c r="F17" s="1054"/>
      <c r="G17" s="1054"/>
      <c r="H17" s="1054"/>
      <c r="I17" s="1054"/>
      <c r="J17" s="1054"/>
      <c r="K17" s="1054"/>
      <c r="L17" s="1054"/>
      <c r="M17" s="1054"/>
      <c r="N17" s="1054"/>
      <c r="O17" s="1054"/>
      <c r="P17" s="1054"/>
      <c r="Q17" s="1054"/>
      <c r="R17" s="644"/>
      <c r="S17" s="68"/>
    </row>
    <row r="18" spans="1:19" s="443" customFormat="1">
      <c r="A18" s="753" t="s">
        <v>217</v>
      </c>
      <c r="B18" s="758"/>
      <c r="C18" s="639">
        <f>'Eigen vloot'!B27</f>
        <v>0</v>
      </c>
      <c r="D18" s="639">
        <f>'Eigen vloot'!C27</f>
        <v>0</v>
      </c>
      <c r="E18" s="639">
        <f>'Eigen vloot'!D27</f>
        <v>0</v>
      </c>
      <c r="F18" s="639">
        <f>'Eigen vloot'!E27</f>
        <v>0</v>
      </c>
      <c r="G18" s="639">
        <f>'Eigen vloot'!F27</f>
        <v>0</v>
      </c>
      <c r="H18" s="639">
        <f>'Eigen vloot'!G27</f>
        <v>0</v>
      </c>
      <c r="I18" s="639">
        <f>'Eigen vloot'!H27</f>
        <v>0</v>
      </c>
      <c r="J18" s="639">
        <f>'Eigen vloot'!I27</f>
        <v>0</v>
      </c>
      <c r="K18" s="639">
        <f>'Eigen vloot'!J27</f>
        <v>0</v>
      </c>
      <c r="L18" s="639">
        <f>'Eigen vloot'!K27</f>
        <v>0</v>
      </c>
      <c r="M18" s="639">
        <f>'Eigen vloot'!L27</f>
        <v>0</v>
      </c>
      <c r="N18" s="639">
        <f>'Eigen vloot'!M27</f>
        <v>0</v>
      </c>
      <c r="O18" s="639">
        <f>'Eigen vloot'!N27</f>
        <v>0</v>
      </c>
      <c r="P18" s="639">
        <f>'Eigen vloot'!O27</f>
        <v>0</v>
      </c>
      <c r="Q18" s="640">
        <f>'Eigen vloot'!P27</f>
        <v>0</v>
      </c>
      <c r="R18" s="642">
        <f>SUM(C18:Q18)</f>
        <v>0</v>
      </c>
      <c r="S18" s="68"/>
    </row>
    <row r="19" spans="1:19" s="443" customFormat="1">
      <c r="A19" s="753" t="s">
        <v>218</v>
      </c>
      <c r="B19" s="758"/>
      <c r="C19" s="639">
        <f>transport!B54</f>
        <v>3.5988552409464267</v>
      </c>
      <c r="D19" s="639">
        <f>transport!C54</f>
        <v>0</v>
      </c>
      <c r="E19" s="639">
        <f>transport!D54</f>
        <v>0</v>
      </c>
      <c r="F19" s="639">
        <f>transport!E54</f>
        <v>0</v>
      </c>
      <c r="G19" s="639">
        <f>transport!F54</f>
        <v>0</v>
      </c>
      <c r="H19" s="639">
        <f>transport!G54</f>
        <v>717.79879306659882</v>
      </c>
      <c r="I19" s="639">
        <f>transport!H54</f>
        <v>0</v>
      </c>
      <c r="J19" s="639">
        <f>transport!I54</f>
        <v>0</v>
      </c>
      <c r="K19" s="639">
        <f>transport!J54</f>
        <v>0</v>
      </c>
      <c r="L19" s="639">
        <f>transport!K54</f>
        <v>0</v>
      </c>
      <c r="M19" s="639">
        <f>transport!L54</f>
        <v>0</v>
      </c>
      <c r="N19" s="639">
        <f>transport!M54</f>
        <v>31.725942167017173</v>
      </c>
      <c r="O19" s="639">
        <f>transport!N54</f>
        <v>0</v>
      </c>
      <c r="P19" s="639">
        <f>transport!O54</f>
        <v>0</v>
      </c>
      <c r="Q19" s="640">
        <f>transport!P54</f>
        <v>0</v>
      </c>
      <c r="R19" s="642">
        <f>SUM(C19:Q19)</f>
        <v>753.12359047456243</v>
      </c>
      <c r="S19" s="68"/>
    </row>
    <row r="20" spans="1:19" s="443" customFormat="1">
      <c r="A20" s="753" t="s">
        <v>296</v>
      </c>
      <c r="B20" s="758"/>
      <c r="C20" s="639">
        <f>transport!B14</f>
        <v>12.337010908475353</v>
      </c>
      <c r="D20" s="639">
        <f>transport!C14</f>
        <v>0</v>
      </c>
      <c r="E20" s="639">
        <f>transport!D14</f>
        <v>13.66378951891391</v>
      </c>
      <c r="F20" s="639">
        <f>transport!E14</f>
        <v>990.4059732360214</v>
      </c>
      <c r="G20" s="639">
        <f>transport!F14</f>
        <v>0</v>
      </c>
      <c r="H20" s="639">
        <f>transport!G14</f>
        <v>287349.80730066565</v>
      </c>
      <c r="I20" s="639">
        <f>transport!H14</f>
        <v>36056.474372671473</v>
      </c>
      <c r="J20" s="639">
        <f>transport!I14</f>
        <v>0</v>
      </c>
      <c r="K20" s="639">
        <f>transport!J14</f>
        <v>0</v>
      </c>
      <c r="L20" s="639">
        <f>transport!K14</f>
        <v>0</v>
      </c>
      <c r="M20" s="639">
        <f>transport!L14</f>
        <v>0</v>
      </c>
      <c r="N20" s="639">
        <f>transport!M14</f>
        <v>14437.390124995947</v>
      </c>
      <c r="O20" s="639">
        <f>transport!N14</f>
        <v>0</v>
      </c>
      <c r="P20" s="639">
        <f>transport!O14</f>
        <v>0</v>
      </c>
      <c r="Q20" s="640">
        <f>transport!P14</f>
        <v>0</v>
      </c>
      <c r="R20" s="642">
        <f>SUM(C20:Q20)</f>
        <v>338860.07857199648</v>
      </c>
      <c r="S20" s="68"/>
    </row>
    <row r="21" spans="1:19" s="443" customFormat="1" ht="15" thickBot="1">
      <c r="A21" s="775" t="s">
        <v>846</v>
      </c>
      <c r="B21" s="941"/>
      <c r="C21" s="942"/>
      <c r="D21" s="942"/>
      <c r="E21" s="942"/>
      <c r="F21" s="942"/>
      <c r="G21" s="942"/>
      <c r="H21" s="942"/>
      <c r="I21" s="942"/>
      <c r="J21" s="942"/>
      <c r="K21" s="942"/>
      <c r="L21" s="942"/>
      <c r="M21" s="942"/>
      <c r="N21" s="942"/>
      <c r="O21" s="942"/>
      <c r="P21" s="942"/>
      <c r="Q21" s="943"/>
      <c r="R21" s="641"/>
      <c r="S21" s="68"/>
    </row>
    <row r="22" spans="1:19" s="443" customFormat="1" ht="15.75" thickBot="1">
      <c r="A22" s="645" t="s">
        <v>219</v>
      </c>
      <c r="B22" s="761"/>
      <c r="C22" s="756">
        <f>SUM(C18:C21)</f>
        <v>15.935866149421781</v>
      </c>
      <c r="D22" s="756">
        <f t="shared" ref="D22:R22" si="1">SUM(D18:D21)</f>
        <v>0</v>
      </c>
      <c r="E22" s="756">
        <f t="shared" si="1"/>
        <v>13.66378951891391</v>
      </c>
      <c r="F22" s="756">
        <f t="shared" si="1"/>
        <v>990.4059732360214</v>
      </c>
      <c r="G22" s="756">
        <f t="shared" si="1"/>
        <v>0</v>
      </c>
      <c r="H22" s="756">
        <f t="shared" si="1"/>
        <v>288067.60609373223</v>
      </c>
      <c r="I22" s="756">
        <f t="shared" si="1"/>
        <v>36056.474372671473</v>
      </c>
      <c r="J22" s="756">
        <f t="shared" si="1"/>
        <v>0</v>
      </c>
      <c r="K22" s="756">
        <f t="shared" si="1"/>
        <v>0</v>
      </c>
      <c r="L22" s="756">
        <f t="shared" si="1"/>
        <v>0</v>
      </c>
      <c r="M22" s="756">
        <f t="shared" si="1"/>
        <v>0</v>
      </c>
      <c r="N22" s="756">
        <f t="shared" si="1"/>
        <v>14469.116067162964</v>
      </c>
      <c r="O22" s="756">
        <f t="shared" si="1"/>
        <v>0</v>
      </c>
      <c r="P22" s="756">
        <f t="shared" si="1"/>
        <v>0</v>
      </c>
      <c r="Q22" s="756">
        <f t="shared" si="1"/>
        <v>0</v>
      </c>
      <c r="R22" s="756">
        <f t="shared" si="1"/>
        <v>339613.20216247102</v>
      </c>
      <c r="S22" s="68"/>
    </row>
    <row r="23" spans="1:19" s="443" customFormat="1" ht="15.75">
      <c r="A23" s="755" t="s">
        <v>226</v>
      </c>
      <c r="B23" s="676"/>
      <c r="C23" s="1054"/>
      <c r="D23" s="1054"/>
      <c r="E23" s="1054"/>
      <c r="F23" s="1054"/>
      <c r="G23" s="1054"/>
      <c r="H23" s="1054"/>
      <c r="I23" s="1054"/>
      <c r="J23" s="1054"/>
      <c r="K23" s="1054"/>
      <c r="L23" s="1054"/>
      <c r="M23" s="1054"/>
      <c r="N23" s="1054"/>
      <c r="O23" s="1054"/>
      <c r="P23" s="1054"/>
      <c r="Q23" s="1054"/>
      <c r="R23" s="644"/>
      <c r="S23" s="68"/>
    </row>
    <row r="24" spans="1:19" s="443" customFormat="1">
      <c r="A24" s="753" t="s">
        <v>633</v>
      </c>
      <c r="B24" s="758"/>
      <c r="C24" s="639">
        <f>+landbouw!B8</f>
        <v>3378.560916782089</v>
      </c>
      <c r="D24" s="639">
        <f>+landbouw!C8</f>
        <v>22.5</v>
      </c>
      <c r="E24" s="639">
        <f>+landbouw!D8</f>
        <v>787.56145765041572</v>
      </c>
      <c r="F24" s="639">
        <f>+landbouw!E8</f>
        <v>33.363903979711147</v>
      </c>
      <c r="G24" s="639">
        <f>+landbouw!F8</f>
        <v>11271.773178741969</v>
      </c>
      <c r="H24" s="639">
        <f>+landbouw!G8</f>
        <v>0</v>
      </c>
      <c r="I24" s="639">
        <f>+landbouw!H8</f>
        <v>0</v>
      </c>
      <c r="J24" s="639">
        <f>+landbouw!I8</f>
        <v>0</v>
      </c>
      <c r="K24" s="639">
        <f>+landbouw!J8</f>
        <v>337.07783289522632</v>
      </c>
      <c r="L24" s="639">
        <f>+landbouw!K8</f>
        <v>0</v>
      </c>
      <c r="M24" s="639">
        <f>+landbouw!L8</f>
        <v>0</v>
      </c>
      <c r="N24" s="639">
        <f>+landbouw!M8</f>
        <v>0</v>
      </c>
      <c r="O24" s="639">
        <f>+landbouw!N8</f>
        <v>0</v>
      </c>
      <c r="P24" s="639">
        <f>+landbouw!O8</f>
        <v>0</v>
      </c>
      <c r="Q24" s="640">
        <f>+landbouw!P8</f>
        <v>0</v>
      </c>
      <c r="R24" s="642">
        <f>SUM(C24:Q24)</f>
        <v>15830.837290049411</v>
      </c>
      <c r="S24" s="68"/>
    </row>
    <row r="25" spans="1:19" s="443" customFormat="1" ht="15" thickBot="1">
      <c r="A25" s="775" t="s">
        <v>847</v>
      </c>
      <c r="B25" s="941"/>
      <c r="C25" s="942">
        <f>IF(Onbekend_ele_kWh="---",0,Onbekend_ele_kWh)/1000+IF(REST_rest_ele_kWh="---",0,REST_rest_ele_kWh)/1000</f>
        <v>982.319428053357</v>
      </c>
      <c r="D25" s="942"/>
      <c r="E25" s="942">
        <f>IF(onbekend_gas_kWh="---",0,onbekend_gas_kWh)/1000+IF(REST_rest_gas_kWh="---",0,REST_rest_gas_kWh)/1000</f>
        <v>853.76456272437702</v>
      </c>
      <c r="F25" s="942"/>
      <c r="G25" s="942"/>
      <c r="H25" s="942"/>
      <c r="I25" s="942"/>
      <c r="J25" s="942"/>
      <c r="K25" s="942"/>
      <c r="L25" s="942"/>
      <c r="M25" s="942"/>
      <c r="N25" s="942"/>
      <c r="O25" s="942"/>
      <c r="P25" s="942"/>
      <c r="Q25" s="943"/>
      <c r="R25" s="642">
        <f>SUM(C25:Q25)</f>
        <v>1836.083990777734</v>
      </c>
      <c r="S25" s="68"/>
    </row>
    <row r="26" spans="1:19" s="443" customFormat="1" ht="15.75" thickBot="1">
      <c r="A26" s="645" t="s">
        <v>848</v>
      </c>
      <c r="B26" s="761"/>
      <c r="C26" s="756">
        <f>SUM(C24:C25)</f>
        <v>4360.8803448354456</v>
      </c>
      <c r="D26" s="756">
        <f t="shared" ref="D26:R26" si="2">SUM(D24:D25)</f>
        <v>22.5</v>
      </c>
      <c r="E26" s="756">
        <f t="shared" si="2"/>
        <v>1641.3260203747927</v>
      </c>
      <c r="F26" s="756">
        <f t="shared" si="2"/>
        <v>33.363903979711147</v>
      </c>
      <c r="G26" s="756">
        <f t="shared" si="2"/>
        <v>11271.773178741969</v>
      </c>
      <c r="H26" s="756">
        <f t="shared" si="2"/>
        <v>0</v>
      </c>
      <c r="I26" s="756">
        <f t="shared" si="2"/>
        <v>0</v>
      </c>
      <c r="J26" s="756">
        <f t="shared" si="2"/>
        <v>0</v>
      </c>
      <c r="K26" s="756">
        <f t="shared" si="2"/>
        <v>337.07783289522632</v>
      </c>
      <c r="L26" s="756">
        <f t="shared" si="2"/>
        <v>0</v>
      </c>
      <c r="M26" s="756">
        <f t="shared" si="2"/>
        <v>0</v>
      </c>
      <c r="N26" s="756">
        <f t="shared" si="2"/>
        <v>0</v>
      </c>
      <c r="O26" s="756">
        <f t="shared" si="2"/>
        <v>0</v>
      </c>
      <c r="P26" s="756">
        <f t="shared" si="2"/>
        <v>0</v>
      </c>
      <c r="Q26" s="756">
        <f t="shared" si="2"/>
        <v>0</v>
      </c>
      <c r="R26" s="756">
        <f t="shared" si="2"/>
        <v>17666.921280827144</v>
      </c>
      <c r="S26" s="68"/>
    </row>
    <row r="27" spans="1:19" s="443" customFormat="1" ht="17.25" thickTop="1" thickBot="1">
      <c r="A27" s="646" t="s">
        <v>109</v>
      </c>
      <c r="B27" s="748"/>
      <c r="C27" s="647">
        <f ca="1">C22+C16+C26</f>
        <v>192984.14889035691</v>
      </c>
      <c r="D27" s="647">
        <f t="shared" ref="D27:R27" ca="1" si="3">D22+D16+D26</f>
        <v>1689.4285714285716</v>
      </c>
      <c r="E27" s="647">
        <f t="shared" ca="1" si="3"/>
        <v>178213.11242695141</v>
      </c>
      <c r="F27" s="647">
        <f t="shared" si="3"/>
        <v>4775.9698222682036</v>
      </c>
      <c r="G27" s="647">
        <f t="shared" ca="1" si="3"/>
        <v>111871.63350652767</v>
      </c>
      <c r="H27" s="647">
        <f t="shared" si="3"/>
        <v>288067.60609373223</v>
      </c>
      <c r="I27" s="647">
        <f t="shared" si="3"/>
        <v>36056.474372671473</v>
      </c>
      <c r="J27" s="647">
        <f t="shared" si="3"/>
        <v>0</v>
      </c>
      <c r="K27" s="647">
        <f t="shared" si="3"/>
        <v>2242.9877196317693</v>
      </c>
      <c r="L27" s="647">
        <f t="shared" si="3"/>
        <v>0</v>
      </c>
      <c r="M27" s="647">
        <f t="shared" ca="1" si="3"/>
        <v>0</v>
      </c>
      <c r="N27" s="647">
        <f t="shared" si="3"/>
        <v>14469.116067162964</v>
      </c>
      <c r="O27" s="647">
        <f t="shared" ca="1" si="3"/>
        <v>14799.435660929492</v>
      </c>
      <c r="P27" s="647">
        <f t="shared" si="3"/>
        <v>129.75666666666669</v>
      </c>
      <c r="Q27" s="647">
        <f t="shared" si="3"/>
        <v>438.5333333333333</v>
      </c>
      <c r="R27" s="647">
        <f t="shared" ca="1" si="3"/>
        <v>845738.2031316607</v>
      </c>
      <c r="S27" s="68"/>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332</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333</v>
      </c>
      <c r="B30" s="654"/>
      <c r="C30" s="655" t="s">
        <v>204</v>
      </c>
      <c r="D30" s="656"/>
      <c r="E30" s="656"/>
      <c r="F30" s="656"/>
      <c r="G30" s="656"/>
      <c r="H30" s="657"/>
      <c r="I30" s="658"/>
      <c r="J30" s="658"/>
      <c r="K30" s="658"/>
      <c r="L30" s="658"/>
      <c r="M30" s="658"/>
      <c r="N30" s="658"/>
      <c r="O30" s="658"/>
      <c r="P30" s="658"/>
      <c r="Q30" s="658"/>
      <c r="R30" s="658"/>
    </row>
    <row r="31" spans="1:19" ht="15" thickTop="1">
      <c r="A31" s="1055"/>
      <c r="B31" s="1055"/>
      <c r="C31" s="1055"/>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057"/>
      <c r="B35" s="763"/>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4"/>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4"/>
      <c r="C37" s="1063"/>
      <c r="D37" s="1065"/>
      <c r="E37" s="663" t="s">
        <v>192</v>
      </c>
      <c r="F37" s="663" t="s">
        <v>193</v>
      </c>
      <c r="G37" s="663" t="s">
        <v>194</v>
      </c>
      <c r="H37" s="663" t="s">
        <v>195</v>
      </c>
      <c r="I37" s="663" t="s">
        <v>113</v>
      </c>
      <c r="J37" s="663" t="s">
        <v>196</v>
      </c>
      <c r="K37" s="664" t="s">
        <v>222</v>
      </c>
      <c r="L37" s="664" t="s">
        <v>198</v>
      </c>
      <c r="M37" s="65" t="s">
        <v>199</v>
      </c>
      <c r="N37" s="66" t="s">
        <v>200</v>
      </c>
      <c r="O37" s="663" t="s">
        <v>223</v>
      </c>
      <c r="P37" s="663" t="s">
        <v>224</v>
      </c>
      <c r="Q37" s="664" t="s">
        <v>203</v>
      </c>
      <c r="R37" s="1070"/>
    </row>
    <row r="38" spans="1:18" ht="17.25" thickTop="1" thickBot="1">
      <c r="A38" s="776" t="s">
        <v>331</v>
      </c>
      <c r="B38" s="777"/>
      <c r="C38" s="665" t="s">
        <v>225</v>
      </c>
      <c r="D38" s="666"/>
      <c r="E38" s="667"/>
      <c r="F38" s="667"/>
      <c r="G38" s="667"/>
      <c r="H38" s="667"/>
      <c r="I38" s="667"/>
      <c r="J38" s="667"/>
      <c r="K38" s="667"/>
      <c r="L38" s="667"/>
      <c r="M38" s="944"/>
      <c r="N38" s="944"/>
      <c r="O38" s="667"/>
      <c r="P38" s="944"/>
      <c r="Q38" s="668"/>
      <c r="R38" s="669"/>
    </row>
    <row r="39" spans="1:18" ht="15" thickTop="1">
      <c r="A39" s="749" t="s">
        <v>212</v>
      </c>
      <c r="B39" s="773"/>
      <c r="C39" s="639">
        <f ca="1">'Eigen gebouwen'!B19</f>
        <v>0</v>
      </c>
      <c r="D39" s="639">
        <f ca="1">'Eigen gebouwen'!C19</f>
        <v>0</v>
      </c>
      <c r="E39" s="639">
        <f>'Eigen gebouwen'!D19</f>
        <v>0</v>
      </c>
      <c r="F39" s="639">
        <f>'Eigen gebouwen'!E19</f>
        <v>0</v>
      </c>
      <c r="G39" s="639">
        <f>'Eigen gebouwen'!F19</f>
        <v>0</v>
      </c>
      <c r="H39" s="639">
        <f>'Eigen gebouwen'!G19</f>
        <v>0</v>
      </c>
      <c r="I39" s="639">
        <f>'Eigen gebouwen'!H19</f>
        <v>0</v>
      </c>
      <c r="J39" s="639">
        <f>'Eigen gebouwen'!I19</f>
        <v>0</v>
      </c>
      <c r="K39" s="639">
        <f>'Eigen gebouwen'!J19</f>
        <v>0</v>
      </c>
      <c r="L39" s="639">
        <f>'Eigen gebouwen'!K19</f>
        <v>0</v>
      </c>
      <c r="M39" s="639">
        <f>'Eigen gebouwen'!L19</f>
        <v>0</v>
      </c>
      <c r="N39" s="639">
        <f>'Eigen gebouwen'!M19</f>
        <v>0</v>
      </c>
      <c r="O39" s="639">
        <f>'Eigen gebouwen'!N19</f>
        <v>0</v>
      </c>
      <c r="P39" s="639">
        <f>'Eigen gebouwen'!O19</f>
        <v>0</v>
      </c>
      <c r="Q39" s="714">
        <f>'Eigen gebouwen'!P19</f>
        <v>0</v>
      </c>
      <c r="R39" s="945">
        <f t="shared" ref="R39:R44" ca="1" si="4">SUM(C39:Q39)</f>
        <v>0</v>
      </c>
    </row>
    <row r="40" spans="1:18">
      <c r="A40" s="754" t="s">
        <v>213</v>
      </c>
      <c r="B40" s="774"/>
      <c r="C40" s="639">
        <f ca="1">tertiair!B20+'openbare verlichting'!B12</f>
        <v>3651.2767493367573</v>
      </c>
      <c r="D40" s="639">
        <f ca="1">tertiair!C20</f>
        <v>8.0927292805619153</v>
      </c>
      <c r="E40" s="639">
        <f ca="1">tertiair!D20</f>
        <v>4818.2031289032229</v>
      </c>
      <c r="F40" s="639">
        <f>tertiair!E20</f>
        <v>41.732639389572533</v>
      </c>
      <c r="G40" s="639">
        <f ca="1">tertiair!F20</f>
        <v>809.42682128932586</v>
      </c>
      <c r="H40" s="639">
        <f>tertiair!G20</f>
        <v>0</v>
      </c>
      <c r="I40" s="639">
        <f>tertiair!H20</f>
        <v>0</v>
      </c>
      <c r="J40" s="639">
        <f>tertiair!I20</f>
        <v>0</v>
      </c>
      <c r="K40" s="639">
        <f>tertiair!J20</f>
        <v>0</v>
      </c>
      <c r="L40" s="639">
        <f>tertiair!K20</f>
        <v>0</v>
      </c>
      <c r="M40" s="639">
        <f ca="1">tertiair!L20</f>
        <v>0</v>
      </c>
      <c r="N40" s="639">
        <f>tertiair!M20</f>
        <v>0</v>
      </c>
      <c r="O40" s="639">
        <f ca="1">tertiair!N20</f>
        <v>0</v>
      </c>
      <c r="P40" s="639">
        <f>tertiair!O20</f>
        <v>0</v>
      </c>
      <c r="Q40" s="714">
        <f>tertiair!P20</f>
        <v>0</v>
      </c>
      <c r="R40" s="794">
        <f t="shared" ca="1" si="4"/>
        <v>9328.7320681994406</v>
      </c>
    </row>
    <row r="41" spans="1:18">
      <c r="A41" s="766" t="s">
        <v>214</v>
      </c>
      <c r="B41" s="773"/>
      <c r="C41" s="639">
        <f ca="1">huishoudens!B12</f>
        <v>6869.1726308489388</v>
      </c>
      <c r="D41" s="639">
        <f ca="1">huishoudens!C12</f>
        <v>0</v>
      </c>
      <c r="E41" s="639">
        <f>huishoudens!D12</f>
        <v>5402.7679938781266</v>
      </c>
      <c r="F41" s="639">
        <f>huishoudens!E12</f>
        <v>521.91753845784626</v>
      </c>
      <c r="G41" s="639">
        <f>huishoudens!F12</f>
        <v>18715.583147880647</v>
      </c>
      <c r="H41" s="639">
        <f>huishoudens!G12</f>
        <v>0</v>
      </c>
      <c r="I41" s="639">
        <f>huishoudens!H12</f>
        <v>0</v>
      </c>
      <c r="J41" s="639">
        <f>huishoudens!I12</f>
        <v>0</v>
      </c>
      <c r="K41" s="639">
        <f>huishoudens!J12</f>
        <v>450.2399181174755</v>
      </c>
      <c r="L41" s="639">
        <f>huishoudens!K12</f>
        <v>0</v>
      </c>
      <c r="M41" s="639">
        <f>huishoudens!L12</f>
        <v>0</v>
      </c>
      <c r="N41" s="639">
        <f>huishoudens!M12</f>
        <v>0</v>
      </c>
      <c r="O41" s="639">
        <f>huishoudens!N12</f>
        <v>0</v>
      </c>
      <c r="P41" s="639">
        <f>huishoudens!O12</f>
        <v>0</v>
      </c>
      <c r="Q41" s="714">
        <f>huishoudens!P12</f>
        <v>0</v>
      </c>
      <c r="R41" s="794">
        <f t="shared" ca="1" si="4"/>
        <v>31959.681229183036</v>
      </c>
    </row>
    <row r="42" spans="1:18">
      <c r="A42" s="766" t="s">
        <v>501</v>
      </c>
      <c r="B42" s="773"/>
      <c r="C42" s="639">
        <f ca="1">'Eigen openbare verlichting'!B19</f>
        <v>0</v>
      </c>
      <c r="D42" s="639"/>
      <c r="E42" s="639"/>
      <c r="F42" s="639"/>
      <c r="G42" s="639"/>
      <c r="H42" s="639"/>
      <c r="I42" s="639"/>
      <c r="J42" s="639"/>
      <c r="K42" s="639"/>
      <c r="L42" s="639"/>
      <c r="M42" s="639"/>
      <c r="N42" s="639"/>
      <c r="O42" s="639"/>
      <c r="P42" s="639"/>
      <c r="Q42" s="714"/>
      <c r="R42" s="794">
        <f t="shared" ca="1" si="4"/>
        <v>0</v>
      </c>
    </row>
    <row r="43" spans="1:18">
      <c r="A43" s="766" t="s">
        <v>644</v>
      </c>
      <c r="B43" s="781" t="s">
        <v>641</v>
      </c>
      <c r="C43" s="639">
        <f ca="1">industrie!B22</f>
        <v>29510.118240476888</v>
      </c>
      <c r="D43" s="639">
        <f ca="1">industrie!C22</f>
        <v>387.84023344579737</v>
      </c>
      <c r="E43" s="639">
        <f>industrie!D22</f>
        <v>25443.769645864311</v>
      </c>
      <c r="F43" s="639">
        <f>industrie!E22</f>
        <v>288.09920967949228</v>
      </c>
      <c r="G43" s="639">
        <f>industrie!F22</f>
        <v>7335.152738348811</v>
      </c>
      <c r="H43" s="639">
        <f>industrie!G22</f>
        <v>0</v>
      </c>
      <c r="I43" s="639">
        <f>industrie!H22</f>
        <v>0</v>
      </c>
      <c r="J43" s="639">
        <f>industrie!I22</f>
        <v>0</v>
      </c>
      <c r="K43" s="639">
        <f>industrie!J22</f>
        <v>224.45218178726066</v>
      </c>
      <c r="L43" s="639">
        <f>industrie!K22</f>
        <v>0</v>
      </c>
      <c r="M43" s="639">
        <f>industrie!L22</f>
        <v>0</v>
      </c>
      <c r="N43" s="639">
        <f>industrie!M22</f>
        <v>0</v>
      </c>
      <c r="O43" s="639">
        <f>industrie!N22</f>
        <v>0</v>
      </c>
      <c r="P43" s="639">
        <f>industrie!O22</f>
        <v>0</v>
      </c>
      <c r="Q43" s="714">
        <f>industrie!P22</f>
        <v>0</v>
      </c>
      <c r="R43" s="793">
        <f t="shared" ca="1" si="4"/>
        <v>63189.432249602563</v>
      </c>
    </row>
    <row r="44" spans="1:18">
      <c r="A44" s="766"/>
      <c r="B44" s="773" t="s">
        <v>642</v>
      </c>
      <c r="C44" s="639"/>
      <c r="D44" s="639"/>
      <c r="E44" s="639"/>
      <c r="F44" s="639"/>
      <c r="G44" s="639"/>
      <c r="H44" s="639"/>
      <c r="I44" s="639"/>
      <c r="J44" s="639"/>
      <c r="K44" s="639"/>
      <c r="L44" s="639"/>
      <c r="M44" s="639"/>
      <c r="N44" s="639"/>
      <c r="O44" s="639"/>
      <c r="P44" s="639"/>
      <c r="Q44" s="714"/>
      <c r="R44" s="794">
        <f t="shared" si="4"/>
        <v>0</v>
      </c>
    </row>
    <row r="45" spans="1:18" ht="15" thickBot="1">
      <c r="A45" s="940" t="s">
        <v>845</v>
      </c>
      <c r="B45" s="946"/>
      <c r="C45" s="942"/>
      <c r="D45" s="942"/>
      <c r="E45" s="942"/>
      <c r="F45" s="942"/>
      <c r="G45" s="942"/>
      <c r="H45" s="942"/>
      <c r="I45" s="942"/>
      <c r="J45" s="942"/>
      <c r="K45" s="942"/>
      <c r="L45" s="942"/>
      <c r="M45" s="942"/>
      <c r="N45" s="942"/>
      <c r="O45" s="942"/>
      <c r="P45" s="942"/>
      <c r="Q45" s="943"/>
      <c r="R45" s="947"/>
    </row>
    <row r="46" spans="1:18" ht="15.75" thickBot="1">
      <c r="A46" s="767" t="s">
        <v>215</v>
      </c>
      <c r="B46" s="780"/>
      <c r="C46" s="672">
        <f ca="1">SUM(C39:C45)</f>
        <v>40030.567620662579</v>
      </c>
      <c r="D46" s="672">
        <f t="shared" ref="D46:Q46" ca="1" si="5">SUM(D39:D45)</f>
        <v>395.93296272635928</v>
      </c>
      <c r="E46" s="672">
        <f t="shared" ca="1" si="5"/>
        <v>35664.740768645657</v>
      </c>
      <c r="F46" s="672">
        <f t="shared" si="5"/>
        <v>851.74938752691105</v>
      </c>
      <c r="G46" s="672">
        <f t="shared" ca="1" si="5"/>
        <v>26860.162707518783</v>
      </c>
      <c r="H46" s="672">
        <f t="shared" si="5"/>
        <v>0</v>
      </c>
      <c r="I46" s="672">
        <f t="shared" si="5"/>
        <v>0</v>
      </c>
      <c r="J46" s="672">
        <f t="shared" si="5"/>
        <v>0</v>
      </c>
      <c r="K46" s="672">
        <f t="shared" si="5"/>
        <v>674.6920999047361</v>
      </c>
      <c r="L46" s="672">
        <f t="shared" si="5"/>
        <v>0</v>
      </c>
      <c r="M46" s="672">
        <f t="shared" ca="1" si="5"/>
        <v>0</v>
      </c>
      <c r="N46" s="672">
        <f t="shared" si="5"/>
        <v>0</v>
      </c>
      <c r="O46" s="672">
        <f t="shared" ca="1" si="5"/>
        <v>0</v>
      </c>
      <c r="P46" s="672">
        <f t="shared" si="5"/>
        <v>0</v>
      </c>
      <c r="Q46" s="672">
        <f t="shared" si="5"/>
        <v>0</v>
      </c>
      <c r="R46" s="672">
        <f ca="1">SUM(R39:R45)</f>
        <v>104477.84554698505</v>
      </c>
    </row>
    <row r="47" spans="1:18" ht="15.75">
      <c r="A47" s="768" t="s">
        <v>216</v>
      </c>
      <c r="B47" s="778"/>
      <c r="C47" s="665"/>
      <c r="D47" s="666"/>
      <c r="E47" s="666"/>
      <c r="F47" s="666"/>
      <c r="G47" s="666"/>
      <c r="H47" s="666"/>
      <c r="I47" s="666"/>
      <c r="J47" s="666"/>
      <c r="K47" s="666"/>
      <c r="L47" s="666"/>
      <c r="M47" s="675"/>
      <c r="N47" s="675"/>
      <c r="O47" s="666"/>
      <c r="P47" s="675"/>
      <c r="Q47" s="675"/>
      <c r="R47" s="669"/>
    </row>
    <row r="48" spans="1:18">
      <c r="A48" s="766" t="s">
        <v>217</v>
      </c>
      <c r="B48" s="773"/>
      <c r="C48" s="639">
        <f ca="1">'Eigen vloot'!B31</f>
        <v>0</v>
      </c>
      <c r="D48" s="639">
        <f>'Eigen vloot'!C31</f>
        <v>0</v>
      </c>
      <c r="E48" s="639">
        <f>'Eigen vloot'!D31</f>
        <v>0</v>
      </c>
      <c r="F48" s="639">
        <f>'Eigen vloot'!E31</f>
        <v>0</v>
      </c>
      <c r="G48" s="639">
        <f>'Eigen vloot'!F31</f>
        <v>0</v>
      </c>
      <c r="H48" s="639">
        <f>'Eigen vloot'!G31</f>
        <v>0</v>
      </c>
      <c r="I48" s="639">
        <f>'Eigen vloot'!H31</f>
        <v>0</v>
      </c>
      <c r="J48" s="639">
        <f>'Eigen vloot'!I31</f>
        <v>0</v>
      </c>
      <c r="K48" s="639">
        <f>'Eigen vloot'!J31</f>
        <v>0</v>
      </c>
      <c r="L48" s="639">
        <f>'Eigen vloot'!K31</f>
        <v>0</v>
      </c>
      <c r="M48" s="639">
        <f>'Eigen vloot'!L31</f>
        <v>0</v>
      </c>
      <c r="N48" s="639">
        <f>'Eigen vloot'!M31</f>
        <v>0</v>
      </c>
      <c r="O48" s="639">
        <f>'Eigen vloot'!N31</f>
        <v>0</v>
      </c>
      <c r="P48" s="639">
        <f>'Eigen vloot'!O31</f>
        <v>0</v>
      </c>
      <c r="Q48" s="639">
        <f>'Eigen vloot'!P31</f>
        <v>0</v>
      </c>
      <c r="R48" s="670">
        <f ca="1">SUM(C48:Q48)</f>
        <v>0</v>
      </c>
    </row>
    <row r="49" spans="1:18">
      <c r="A49" s="766" t="s">
        <v>218</v>
      </c>
      <c r="B49" s="773"/>
      <c r="C49" s="639">
        <f ca="1">transport!B58</f>
        <v>0.76383148010786839</v>
      </c>
      <c r="D49" s="639">
        <f ca="1">transport!C58</f>
        <v>0</v>
      </c>
      <c r="E49" s="639">
        <f>transport!D58</f>
        <v>0</v>
      </c>
      <c r="F49" s="639">
        <f>transport!E58</f>
        <v>0</v>
      </c>
      <c r="G49" s="639">
        <f>transport!F58</f>
        <v>0</v>
      </c>
      <c r="H49" s="639">
        <f>transport!G58</f>
        <v>191.6522777487819</v>
      </c>
      <c r="I49" s="639">
        <f>transport!H58</f>
        <v>0</v>
      </c>
      <c r="J49" s="639">
        <f>transport!I58</f>
        <v>0</v>
      </c>
      <c r="K49" s="639">
        <f>transport!J58</f>
        <v>0</v>
      </c>
      <c r="L49" s="639">
        <f>transport!K58</f>
        <v>0</v>
      </c>
      <c r="M49" s="639">
        <f>transport!L58</f>
        <v>0</v>
      </c>
      <c r="N49" s="639">
        <f>transport!M58</f>
        <v>0</v>
      </c>
      <c r="O49" s="639">
        <f>transport!N58</f>
        <v>0</v>
      </c>
      <c r="P49" s="639">
        <f>transport!O58</f>
        <v>0</v>
      </c>
      <c r="Q49" s="640">
        <f>transport!P58</f>
        <v>0</v>
      </c>
      <c r="R49" s="670">
        <f ca="1">SUM(C49:Q49)</f>
        <v>192.41610922888978</v>
      </c>
    </row>
    <row r="50" spans="1:18">
      <c r="A50" s="769" t="s">
        <v>296</v>
      </c>
      <c r="B50" s="779"/>
      <c r="C50" s="948">
        <f ca="1">transport!B18</f>
        <v>2.6184429968484877</v>
      </c>
      <c r="D50" s="948">
        <f>transport!C18</f>
        <v>0</v>
      </c>
      <c r="E50" s="948">
        <f>transport!D18</f>
        <v>2.7600854828206103</v>
      </c>
      <c r="F50" s="948">
        <f>transport!E18</f>
        <v>224.82215592457686</v>
      </c>
      <c r="G50" s="948">
        <f>transport!F18</f>
        <v>0</v>
      </c>
      <c r="H50" s="948">
        <f>transport!G18</f>
        <v>76722.398549277728</v>
      </c>
      <c r="I50" s="948">
        <f>transport!H18</f>
        <v>8978.0621187951965</v>
      </c>
      <c r="J50" s="948">
        <f>transport!I18</f>
        <v>0</v>
      </c>
      <c r="K50" s="948">
        <f>transport!J18</f>
        <v>0</v>
      </c>
      <c r="L50" s="948">
        <f>transport!K18</f>
        <v>0</v>
      </c>
      <c r="M50" s="948">
        <f>transport!L18</f>
        <v>0</v>
      </c>
      <c r="N50" s="948">
        <f>transport!M18</f>
        <v>0</v>
      </c>
      <c r="O50" s="948">
        <f>transport!N18</f>
        <v>0</v>
      </c>
      <c r="P50" s="948">
        <f>transport!O18</f>
        <v>0</v>
      </c>
      <c r="Q50" s="949">
        <f>transport!P18</f>
        <v>0</v>
      </c>
      <c r="R50" s="671">
        <f ca="1">SUM(C50:Q50)</f>
        <v>85930.661352477167</v>
      </c>
    </row>
    <row r="51" spans="1:18" ht="15" thickBot="1">
      <c r="A51" s="766" t="s">
        <v>846</v>
      </c>
      <c r="B51" s="773"/>
      <c r="C51" s="639"/>
      <c r="D51" s="639"/>
      <c r="E51" s="639"/>
      <c r="F51" s="639"/>
      <c r="G51" s="639"/>
      <c r="H51" s="639"/>
      <c r="I51" s="639"/>
      <c r="J51" s="639"/>
      <c r="K51" s="639"/>
      <c r="L51" s="639"/>
      <c r="M51" s="639"/>
      <c r="N51" s="639"/>
      <c r="O51" s="639"/>
      <c r="P51" s="639"/>
      <c r="Q51" s="640"/>
      <c r="R51" s="670"/>
    </row>
    <row r="52" spans="1:18" ht="15.75" thickBot="1">
      <c r="A52" s="767" t="s">
        <v>219</v>
      </c>
      <c r="B52" s="780"/>
      <c r="C52" s="672">
        <f ca="1">SUM(C48:C51)</f>
        <v>3.382274476956356</v>
      </c>
      <c r="D52" s="672">
        <f t="shared" ref="D52:Q52" ca="1" si="6">SUM(D48:D51)</f>
        <v>0</v>
      </c>
      <c r="E52" s="672">
        <f t="shared" si="6"/>
        <v>2.7600854828206103</v>
      </c>
      <c r="F52" s="672">
        <f t="shared" si="6"/>
        <v>224.82215592457686</v>
      </c>
      <c r="G52" s="672">
        <f t="shared" si="6"/>
        <v>0</v>
      </c>
      <c r="H52" s="672">
        <f t="shared" si="6"/>
        <v>76914.050827026513</v>
      </c>
      <c r="I52" s="672">
        <f t="shared" si="6"/>
        <v>8978.0621187951965</v>
      </c>
      <c r="J52" s="672">
        <f t="shared" si="6"/>
        <v>0</v>
      </c>
      <c r="K52" s="672">
        <f t="shared" si="6"/>
        <v>0</v>
      </c>
      <c r="L52" s="672">
        <f t="shared" si="6"/>
        <v>0</v>
      </c>
      <c r="M52" s="672">
        <f t="shared" si="6"/>
        <v>0</v>
      </c>
      <c r="N52" s="672">
        <f t="shared" si="6"/>
        <v>0</v>
      </c>
      <c r="O52" s="672">
        <f t="shared" si="6"/>
        <v>0</v>
      </c>
      <c r="P52" s="672">
        <f t="shared" si="6"/>
        <v>0</v>
      </c>
      <c r="Q52" s="672">
        <f t="shared" si="6"/>
        <v>0</v>
      </c>
      <c r="R52" s="672">
        <f ca="1">SUM(R48:R51)</f>
        <v>86123.077461706052</v>
      </c>
    </row>
    <row r="53" spans="1:18" ht="15.75">
      <c r="A53" s="768" t="s">
        <v>226</v>
      </c>
      <c r="B53" s="747"/>
      <c r="C53" s="665"/>
      <c r="D53" s="666"/>
      <c r="E53" s="666"/>
      <c r="F53" s="666"/>
      <c r="G53" s="666"/>
      <c r="H53" s="666"/>
      <c r="I53" s="666"/>
      <c r="J53" s="666"/>
      <c r="K53" s="666"/>
      <c r="L53" s="666"/>
      <c r="M53" s="675"/>
      <c r="N53" s="675"/>
      <c r="O53" s="666"/>
      <c r="P53" s="675"/>
      <c r="Q53" s="675"/>
      <c r="R53" s="669"/>
    </row>
    <row r="54" spans="1:18">
      <c r="A54" s="769" t="s">
        <v>633</v>
      </c>
      <c r="B54" s="779"/>
      <c r="C54" s="948">
        <f ca="1">+landbouw!B12</f>
        <v>717.07557345974283</v>
      </c>
      <c r="D54" s="948">
        <f ca="1">+landbouw!C12</f>
        <v>5.3442551852767357</v>
      </c>
      <c r="E54" s="948">
        <f>+landbouw!D12</f>
        <v>159.08741444538398</v>
      </c>
      <c r="F54" s="948">
        <f>+landbouw!E12</f>
        <v>7.5736062033944309</v>
      </c>
      <c r="G54" s="948">
        <f>+landbouw!F12</f>
        <v>3009.5634387241057</v>
      </c>
      <c r="H54" s="948">
        <f>+landbouw!G12</f>
        <v>0</v>
      </c>
      <c r="I54" s="948">
        <f>+landbouw!H12</f>
        <v>0</v>
      </c>
      <c r="J54" s="948">
        <f>+landbouw!I12</f>
        <v>0</v>
      </c>
      <c r="K54" s="948">
        <f>+landbouw!J12</f>
        <v>119.32555284491011</v>
      </c>
      <c r="L54" s="948">
        <f>+landbouw!K12</f>
        <v>0</v>
      </c>
      <c r="M54" s="948">
        <f>+landbouw!L12</f>
        <v>0</v>
      </c>
      <c r="N54" s="948">
        <f>+landbouw!M12</f>
        <v>0</v>
      </c>
      <c r="O54" s="948">
        <f>+landbouw!N12</f>
        <v>0</v>
      </c>
      <c r="P54" s="948">
        <f>+landbouw!O12</f>
        <v>0</v>
      </c>
      <c r="Q54" s="949">
        <f>+landbouw!P12</f>
        <v>0</v>
      </c>
      <c r="R54" s="671">
        <f ca="1">SUM(C54:Q54)</f>
        <v>4017.9698408628137</v>
      </c>
    </row>
    <row r="55" spans="1:18" ht="15" thickBot="1">
      <c r="A55" s="769" t="s">
        <v>847</v>
      </c>
      <c r="B55" s="779"/>
      <c r="C55" s="948">
        <f ca="1">C25*'EF ele_warmte'!B12</f>
        <v>208.49032607140643</v>
      </c>
      <c r="D55" s="948"/>
      <c r="E55" s="948">
        <f>E25*EF_CO2_aardgas</f>
        <v>172.46044167032417</v>
      </c>
      <c r="F55" s="948"/>
      <c r="G55" s="948"/>
      <c r="H55" s="948"/>
      <c r="I55" s="948"/>
      <c r="J55" s="948"/>
      <c r="K55" s="948"/>
      <c r="L55" s="948"/>
      <c r="M55" s="948"/>
      <c r="N55" s="948"/>
      <c r="O55" s="948"/>
      <c r="P55" s="948"/>
      <c r="Q55" s="949"/>
      <c r="R55" s="671">
        <f ca="1">SUM(C55:Q55)</f>
        <v>380.9507677417306</v>
      </c>
    </row>
    <row r="56" spans="1:18" ht="15.75" thickBot="1">
      <c r="A56" s="767" t="s">
        <v>848</v>
      </c>
      <c r="B56" s="780"/>
      <c r="C56" s="672">
        <f ca="1">SUM(C54:C55)</f>
        <v>925.56589953114928</v>
      </c>
      <c r="D56" s="672">
        <f t="shared" ref="D56:Q56" ca="1" si="7">SUM(D54:D55)</f>
        <v>5.3442551852767357</v>
      </c>
      <c r="E56" s="672">
        <f t="shared" si="7"/>
        <v>331.54785611570816</v>
      </c>
      <c r="F56" s="672">
        <f t="shared" si="7"/>
        <v>7.5736062033944309</v>
      </c>
      <c r="G56" s="672">
        <f t="shared" si="7"/>
        <v>3009.5634387241057</v>
      </c>
      <c r="H56" s="672">
        <f t="shared" si="7"/>
        <v>0</v>
      </c>
      <c r="I56" s="672">
        <f t="shared" si="7"/>
        <v>0</v>
      </c>
      <c r="J56" s="672">
        <f t="shared" si="7"/>
        <v>0</v>
      </c>
      <c r="K56" s="672">
        <f t="shared" si="7"/>
        <v>119.32555284491011</v>
      </c>
      <c r="L56" s="672">
        <f t="shared" si="7"/>
        <v>0</v>
      </c>
      <c r="M56" s="672">
        <f t="shared" si="7"/>
        <v>0</v>
      </c>
      <c r="N56" s="672">
        <f t="shared" si="7"/>
        <v>0</v>
      </c>
      <c r="O56" s="672">
        <f t="shared" si="7"/>
        <v>0</v>
      </c>
      <c r="P56" s="672">
        <f t="shared" si="7"/>
        <v>0</v>
      </c>
      <c r="Q56" s="673">
        <f t="shared" si="7"/>
        <v>0</v>
      </c>
      <c r="R56" s="674">
        <f ca="1">SUM(R54:R55)</f>
        <v>4398.9206086045442</v>
      </c>
    </row>
    <row r="57" spans="1:18" ht="15.75">
      <c r="A57" s="747" t="s">
        <v>634</v>
      </c>
      <c r="B57" s="747"/>
      <c r="C57" s="677"/>
      <c r="D57" s="666"/>
      <c r="E57" s="666"/>
      <c r="F57" s="666"/>
      <c r="G57" s="666"/>
      <c r="H57" s="666"/>
      <c r="I57" s="666"/>
      <c r="J57" s="666"/>
      <c r="K57" s="666"/>
      <c r="L57" s="666"/>
      <c r="M57" s="675"/>
      <c r="N57" s="675"/>
      <c r="O57" s="666"/>
      <c r="P57" s="675"/>
      <c r="Q57" s="675"/>
      <c r="R57" s="669"/>
    </row>
    <row r="58" spans="1:18" ht="15">
      <c r="A58" s="770" t="s">
        <v>227</v>
      </c>
      <c r="B58" s="784"/>
      <c r="C58" s="1049"/>
      <c r="D58" s="1050"/>
      <c r="E58" s="1050"/>
      <c r="F58" s="1050"/>
      <c r="G58" s="1050"/>
      <c r="H58" s="1050"/>
      <c r="I58" s="1050"/>
      <c r="J58" s="1050"/>
      <c r="K58" s="1050"/>
      <c r="L58" s="1050"/>
      <c r="M58" s="1050"/>
      <c r="N58" s="1050"/>
      <c r="O58" s="1050"/>
      <c r="P58" s="1050"/>
      <c r="Q58" s="1050"/>
      <c r="R58" s="678"/>
    </row>
    <row r="59" spans="1:18" ht="15">
      <c r="A59" s="771" t="s">
        <v>228</v>
      </c>
      <c r="B59" s="758"/>
      <c r="C59" s="1051"/>
      <c r="D59" s="1052"/>
      <c r="E59" s="1052"/>
      <c r="F59" s="1052"/>
      <c r="G59" s="1052"/>
      <c r="H59" s="1052"/>
      <c r="I59" s="1052"/>
      <c r="J59" s="1052"/>
      <c r="K59" s="1052"/>
      <c r="L59" s="1052"/>
      <c r="M59" s="1052"/>
      <c r="N59" s="1052"/>
      <c r="O59" s="1052"/>
      <c r="P59" s="1052"/>
      <c r="Q59" s="1052"/>
      <c r="R59" s="679"/>
    </row>
    <row r="60" spans="1:18" ht="15" thickBot="1">
      <c r="A60" s="782" t="s">
        <v>229</v>
      </c>
      <c r="B60" s="783"/>
      <c r="C60" s="1051"/>
      <c r="D60" s="1052"/>
      <c r="E60" s="1052"/>
      <c r="F60" s="1052"/>
      <c r="G60" s="1052"/>
      <c r="H60" s="1052"/>
      <c r="I60" s="1052"/>
      <c r="J60" s="1052"/>
      <c r="K60" s="1052"/>
      <c r="L60" s="1052"/>
      <c r="M60" s="1052"/>
      <c r="N60" s="1052"/>
      <c r="O60" s="1052"/>
      <c r="P60" s="1052"/>
      <c r="Q60" s="1052"/>
      <c r="R60" s="671"/>
    </row>
    <row r="61" spans="1:18" ht="16.5" thickBot="1">
      <c r="A61" s="785" t="s">
        <v>109</v>
      </c>
      <c r="B61" s="786"/>
      <c r="C61" s="680">
        <f ca="1">C46+C52+C56</f>
        <v>40959.515794670682</v>
      </c>
      <c r="D61" s="680">
        <f t="shared" ref="D61:Q61" ca="1" si="8">D46+D52+D56</f>
        <v>401.277217911636</v>
      </c>
      <c r="E61" s="680">
        <f t="shared" ca="1" si="8"/>
        <v>35999.048710244184</v>
      </c>
      <c r="F61" s="680">
        <f t="shared" si="8"/>
        <v>1084.1451496548823</v>
      </c>
      <c r="G61" s="680">
        <f t="shared" ca="1" si="8"/>
        <v>29869.726146242887</v>
      </c>
      <c r="H61" s="680">
        <f t="shared" si="8"/>
        <v>76914.050827026513</v>
      </c>
      <c r="I61" s="680">
        <f t="shared" si="8"/>
        <v>8978.0621187951965</v>
      </c>
      <c r="J61" s="680">
        <f t="shared" si="8"/>
        <v>0</v>
      </c>
      <c r="K61" s="680">
        <f t="shared" si="8"/>
        <v>794.01765274964623</v>
      </c>
      <c r="L61" s="680">
        <f t="shared" si="8"/>
        <v>0</v>
      </c>
      <c r="M61" s="680">
        <f t="shared" ca="1" si="8"/>
        <v>0</v>
      </c>
      <c r="N61" s="680">
        <f t="shared" si="8"/>
        <v>0</v>
      </c>
      <c r="O61" s="680">
        <f t="shared" ca="1" si="8"/>
        <v>0</v>
      </c>
      <c r="P61" s="680">
        <f t="shared" si="8"/>
        <v>0</v>
      </c>
      <c r="Q61" s="680">
        <f t="shared" si="8"/>
        <v>0</v>
      </c>
      <c r="R61" s="680">
        <f ca="1">R46+R52+R56</f>
        <v>194999.84361729564</v>
      </c>
    </row>
    <row r="62" spans="1:18" ht="15.75" thickTop="1" thickBot="1">
      <c r="A62" s="925"/>
      <c r="B62" s="925"/>
      <c r="C62" s="681"/>
      <c r="D62" s="681"/>
      <c r="E62" s="682"/>
      <c r="F62" s="682"/>
      <c r="G62" s="682"/>
      <c r="H62" s="682"/>
      <c r="I62" s="682"/>
      <c r="J62" s="682"/>
      <c r="K62" s="682"/>
      <c r="L62" s="682"/>
      <c r="M62" s="682"/>
      <c r="N62" s="682"/>
      <c r="O62" s="682"/>
      <c r="P62" s="682"/>
      <c r="Q62" s="682"/>
      <c r="R62" s="682"/>
    </row>
    <row r="63" spans="1:18" ht="20.25" thickTop="1" thickBot="1">
      <c r="A63" s="683" t="s">
        <v>335</v>
      </c>
      <c r="B63" s="765"/>
      <c r="C63" s="724">
        <f t="shared" ref="C63:Q63" ca="1" si="9">IF(ISERROR(C61/C27),0,C61/C27)</f>
        <v>0.21224290196984857</v>
      </c>
      <c r="D63" s="724">
        <f t="shared" ca="1" si="9"/>
        <v>0.23752245267896599</v>
      </c>
      <c r="E63" s="950">
        <f t="shared" ca="1" si="9"/>
        <v>0.20199999999999999</v>
      </c>
      <c r="F63" s="724">
        <f t="shared" si="9"/>
        <v>0.22700000000000001</v>
      </c>
      <c r="G63" s="724">
        <f t="shared" ca="1" si="9"/>
        <v>0.26700000000000002</v>
      </c>
      <c r="H63" s="724">
        <f t="shared" si="9"/>
        <v>0.26700000000000002</v>
      </c>
      <c r="I63" s="724">
        <f t="shared" si="9"/>
        <v>0.249</v>
      </c>
      <c r="J63" s="724">
        <f t="shared" si="9"/>
        <v>0</v>
      </c>
      <c r="K63" s="724">
        <f t="shared" si="9"/>
        <v>0.35399999999999993</v>
      </c>
      <c r="L63" s="724">
        <f t="shared" si="9"/>
        <v>0</v>
      </c>
      <c r="M63" s="724">
        <f t="shared" ca="1" si="9"/>
        <v>0</v>
      </c>
      <c r="N63" s="724">
        <f t="shared" si="9"/>
        <v>0</v>
      </c>
      <c r="O63" s="724">
        <f t="shared" ca="1" si="9"/>
        <v>0</v>
      </c>
      <c r="P63" s="724">
        <f t="shared" si="9"/>
        <v>0</v>
      </c>
      <c r="Q63" s="724">
        <f t="shared" si="9"/>
        <v>0</v>
      </c>
      <c r="R63" s="682"/>
    </row>
    <row r="64" spans="1:18" ht="33" thickTop="1" thickBot="1">
      <c r="A64" s="772" t="s">
        <v>336</v>
      </c>
      <c r="B64" s="750"/>
      <c r="C64" s="725">
        <f>'EF ele_warmte'!B6</f>
        <v>0.221</v>
      </c>
      <c r="D64" s="726"/>
      <c r="E64" s="727"/>
      <c r="F64" s="728"/>
      <c r="G64" s="728"/>
      <c r="H64" s="728"/>
      <c r="I64" s="728"/>
      <c r="J64" s="728"/>
      <c r="K64" s="728"/>
      <c r="L64" s="728"/>
      <c r="M64" s="728"/>
      <c r="N64" s="728"/>
      <c r="O64" s="728"/>
      <c r="P64" s="728"/>
      <c r="Q64" s="728"/>
      <c r="R64" s="682"/>
    </row>
    <row r="65" spans="1:18" ht="15" thickTop="1">
      <c r="A65" s="684"/>
      <c r="B65" s="684"/>
      <c r="C65" s="682"/>
      <c r="D65" s="682"/>
      <c r="E65" s="682"/>
      <c r="F65" s="682"/>
      <c r="G65" s="682"/>
      <c r="H65" s="682"/>
      <c r="I65" s="682"/>
      <c r="J65" s="682"/>
      <c r="K65" s="682"/>
      <c r="L65" s="682"/>
      <c r="M65" s="682"/>
      <c r="N65" s="682"/>
      <c r="O65" s="682"/>
      <c r="P65" s="682"/>
      <c r="Q65" s="682"/>
      <c r="R65" s="682"/>
    </row>
    <row r="66" spans="1:18" ht="18.75">
      <c r="A66" s="685" t="s">
        <v>337</v>
      </c>
      <c r="B66" s="685"/>
      <c r="C66" s="658"/>
      <c r="D66" s="686"/>
      <c r="E66" s="658"/>
      <c r="F66" s="658"/>
      <c r="G66" s="658"/>
      <c r="H66" s="658"/>
      <c r="I66" s="658"/>
      <c r="J66" s="658"/>
      <c r="K66" s="658"/>
      <c r="L66" s="658"/>
      <c r="M66" s="658"/>
      <c r="N66" s="658"/>
      <c r="O66" s="658"/>
      <c r="P66" s="687"/>
      <c r="Q66" s="687"/>
      <c r="R66" s="687"/>
    </row>
    <row r="67" spans="1:18">
      <c r="A67" s="1056"/>
      <c r="B67" s="1056"/>
      <c r="C67" s="1056"/>
      <c r="D67" s="1056"/>
      <c r="E67" s="1056"/>
      <c r="F67" s="1056"/>
      <c r="G67" s="1056"/>
      <c r="H67" s="1056"/>
      <c r="I67" s="1056"/>
      <c r="J67" s="1056"/>
      <c r="K67" s="1056"/>
      <c r="L67" s="1056"/>
      <c r="M67" s="1056"/>
      <c r="N67" s="1056"/>
      <c r="O67" s="1056"/>
      <c r="P67" s="1056"/>
      <c r="Q67" s="1056"/>
      <c r="R67" s="688"/>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51" t="s">
        <v>647</v>
      </c>
      <c r="Q69" s="1079" t="s">
        <v>646</v>
      </c>
      <c r="R69" s="1080"/>
    </row>
    <row r="70" spans="1:18" ht="61.5" thickTop="1" thickBot="1">
      <c r="A70" s="1071"/>
      <c r="B70" s="1074"/>
      <c r="C70" s="1075"/>
      <c r="D70" s="1081" t="s">
        <v>190</v>
      </c>
      <c r="E70" s="1082"/>
      <c r="F70" s="1082"/>
      <c r="G70" s="1082"/>
      <c r="H70" s="1083"/>
      <c r="I70" s="918" t="s">
        <v>235</v>
      </c>
      <c r="J70" s="918" t="s">
        <v>223</v>
      </c>
      <c r="K70" s="918" t="s">
        <v>202</v>
      </c>
      <c r="L70" s="918" t="s">
        <v>203</v>
      </c>
      <c r="M70" s="689" t="s">
        <v>234</v>
      </c>
      <c r="N70" s="918" t="s">
        <v>236</v>
      </c>
      <c r="O70" s="920" t="s">
        <v>120</v>
      </c>
      <c r="P70" s="952"/>
      <c r="Q70" s="800"/>
      <c r="R70" s="801"/>
    </row>
    <row r="71" spans="1:18" ht="95.25" customHeight="1" thickTop="1" thickBot="1">
      <c r="A71" s="1070"/>
      <c r="B71" s="923" t="s">
        <v>645</v>
      </c>
      <c r="C71" s="923" t="s">
        <v>849</v>
      </c>
      <c r="D71" s="953" t="s">
        <v>192</v>
      </c>
      <c r="E71" s="954" t="s">
        <v>193</v>
      </c>
      <c r="F71" s="918" t="s">
        <v>194</v>
      </c>
      <c r="G71" s="915" t="s">
        <v>196</v>
      </c>
      <c r="H71" s="955" t="s">
        <v>197</v>
      </c>
      <c r="I71" s="919"/>
      <c r="J71" s="919"/>
      <c r="K71" s="919"/>
      <c r="L71" s="919"/>
      <c r="M71" s="916"/>
      <c r="N71" s="919"/>
      <c r="O71" s="924"/>
      <c r="P71" s="956"/>
      <c r="Q71" s="926" t="s">
        <v>648</v>
      </c>
      <c r="R71" s="924" t="s">
        <v>649</v>
      </c>
    </row>
    <row r="72" spans="1:18" ht="15.75" thickTop="1">
      <c r="A72" s="690" t="s">
        <v>238</v>
      </c>
      <c r="B72" s="787">
        <f>'lokale energieproductie'!B4</f>
        <v>0</v>
      </c>
      <c r="C72" s="1105"/>
      <c r="D72" s="1105"/>
      <c r="E72" s="1106"/>
      <c r="F72" s="1106"/>
      <c r="G72" s="1096"/>
      <c r="H72" s="1099"/>
      <c r="I72" s="1102"/>
      <c r="J72" s="921"/>
      <c r="K72" s="1084"/>
      <c r="L72" s="1084"/>
      <c r="M72" s="1084"/>
      <c r="N72" s="1084"/>
      <c r="O72" s="1087"/>
      <c r="P72" s="795">
        <v>0</v>
      </c>
      <c r="Q72" s="957"/>
      <c r="R72" s="795">
        <v>0</v>
      </c>
    </row>
    <row r="73" spans="1:18" ht="15">
      <c r="A73" s="691" t="s">
        <v>239</v>
      </c>
      <c r="B73" s="690">
        <f>'lokale energieproductie'!B5</f>
        <v>0</v>
      </c>
      <c r="C73" s="1103"/>
      <c r="D73" s="1103"/>
      <c r="E73" s="1085"/>
      <c r="F73" s="1085"/>
      <c r="G73" s="1097"/>
      <c r="H73" s="1100"/>
      <c r="I73" s="1103"/>
      <c r="J73" s="922"/>
      <c r="K73" s="1085"/>
      <c r="L73" s="1085"/>
      <c r="M73" s="1085"/>
      <c r="N73" s="1085"/>
      <c r="O73" s="1088"/>
      <c r="P73" s="796">
        <v>0</v>
      </c>
      <c r="Q73" s="802"/>
      <c r="R73" s="796">
        <v>0</v>
      </c>
    </row>
    <row r="74" spans="1:18" ht="15">
      <c r="A74" s="691" t="s">
        <v>240</v>
      </c>
      <c r="B74" s="690">
        <f>'lokale energieproductie'!B6</f>
        <v>7734.5460861705533</v>
      </c>
      <c r="C74" s="1103"/>
      <c r="D74" s="1103"/>
      <c r="E74" s="1085"/>
      <c r="F74" s="1085"/>
      <c r="G74" s="1097"/>
      <c r="H74" s="1100"/>
      <c r="I74" s="1103"/>
      <c r="J74" s="922"/>
      <c r="K74" s="1085"/>
      <c r="L74" s="1085"/>
      <c r="M74" s="1085"/>
      <c r="N74" s="1085"/>
      <c r="O74" s="1088"/>
      <c r="P74" s="796">
        <v>0</v>
      </c>
      <c r="Q74" s="802"/>
      <c r="R74" s="796">
        <v>0</v>
      </c>
    </row>
    <row r="75" spans="1:18" ht="15.75" thickBot="1">
      <c r="A75" s="691" t="s">
        <v>844</v>
      </c>
      <c r="B75" s="690">
        <f>'lokale energieproductie'!B7</f>
        <v>0</v>
      </c>
      <c r="C75" s="1104"/>
      <c r="D75" s="1104"/>
      <c r="E75" s="1086"/>
      <c r="F75" s="1086"/>
      <c r="G75" s="1098"/>
      <c r="H75" s="1101"/>
      <c r="I75" s="1104"/>
      <c r="J75" s="958"/>
      <c r="K75" s="1086"/>
      <c r="L75" s="1086"/>
      <c r="M75" s="1086"/>
      <c r="N75" s="1086"/>
      <c r="O75" s="1089"/>
      <c r="P75" s="796">
        <v>0</v>
      </c>
      <c r="Q75" s="959"/>
      <c r="R75" s="796">
        <v>0</v>
      </c>
    </row>
    <row r="76" spans="1:18" ht="15">
      <c r="A76" s="692" t="s">
        <v>241</v>
      </c>
      <c r="B76" s="690">
        <f>'lokale energieproductie'!B8*IFERROR(SUM(I76:O76)/SUM(D76:O76),0)</f>
        <v>0</v>
      </c>
      <c r="C76" s="690">
        <f>'lokale energieproductie'!B8*IFERROR(SUM(D76:H76)/SUM(D76:O76),0)</f>
        <v>1171.3499999999999</v>
      </c>
      <c r="D76" s="960">
        <f>'lokale energieproductie'!C8</f>
        <v>1377.3362621064696</v>
      </c>
      <c r="E76" s="961">
        <f>'lokale energieproductie'!D8</f>
        <v>0</v>
      </c>
      <c r="F76" s="961">
        <f>'lokale energieproductie'!E8</f>
        <v>0</v>
      </c>
      <c r="G76" s="961">
        <f>'lokale energieproductie'!F8</f>
        <v>0</v>
      </c>
      <c r="H76" s="961">
        <f>'lokale energieproductie'!G8</f>
        <v>0</v>
      </c>
      <c r="I76" s="961">
        <f>'lokale energieproductie'!I8</f>
        <v>0</v>
      </c>
      <c r="J76" s="961">
        <f>'lokale energieproductie'!J8</f>
        <v>0</v>
      </c>
      <c r="K76" s="961">
        <f>'lokale energieproductie'!M8</f>
        <v>0</v>
      </c>
      <c r="L76" s="961">
        <f>'lokale energieproductie'!N8</f>
        <v>0</v>
      </c>
      <c r="M76" s="961">
        <f>'lokale energieproductie'!H8</f>
        <v>0</v>
      </c>
      <c r="N76" s="961">
        <f>'lokale energieproductie'!K8</f>
        <v>0</v>
      </c>
      <c r="O76" s="962">
        <f>'lokale energieproductie'!L8</f>
        <v>0</v>
      </c>
      <c r="P76" s="963"/>
      <c r="Q76" s="797">
        <f>D76*EF_CO2_aardgas+E76*EF_VLgas_CO2+'SEAP template'!F76*EF_stookolie_CO2+EF_bruinkool_CO2*'SEAP template'!G76+'SEAP template'!H76*EF_steenkool_CO2+'EF brandstof'!M4*'SEAP template'!M76+'SEAP template'!O76*EF_anderfossiel_CO2</f>
        <v>278.22192494550688</v>
      </c>
      <c r="R76" s="796">
        <v>0</v>
      </c>
    </row>
    <row r="77" spans="1:18" ht="30.75" thickBot="1">
      <c r="A77" s="693" t="s">
        <v>340</v>
      </c>
      <c r="B77" s="690">
        <f>'lokale energieproductie'!B9*IFERROR(SUM(I77:O77)/SUM(D77:O77),0)</f>
        <v>0</v>
      </c>
      <c r="C77" s="690">
        <f>'lokale energieproductie'!B9*IFERROR(SUM(D77:H77)/SUM(D77:O77),0)</f>
        <v>0</v>
      </c>
      <c r="D77" s="715">
        <f>'lokale energieproductie'!C9</f>
        <v>0</v>
      </c>
      <c r="E77" s="716">
        <f>'lokale energieproductie'!D9</f>
        <v>0</v>
      </c>
      <c r="F77" s="716">
        <f>'lokale energieproductie'!E9</f>
        <v>0</v>
      </c>
      <c r="G77" s="716">
        <f>'lokale energieproductie'!F9</f>
        <v>0</v>
      </c>
      <c r="H77" s="716">
        <f>'lokale energieproductie'!G9</f>
        <v>0</v>
      </c>
      <c r="I77" s="961">
        <f>'lokale energieproductie'!I9</f>
        <v>0</v>
      </c>
      <c r="J77" s="961">
        <f>'lokale energieproductie'!J9</f>
        <v>0</v>
      </c>
      <c r="K77" s="961">
        <f>'lokale energieproductie'!M9</f>
        <v>0</v>
      </c>
      <c r="L77" s="961">
        <f>'lokale energieproductie'!N9</f>
        <v>0</v>
      </c>
      <c r="M77" s="961">
        <f>'lokale energieproductie'!H9</f>
        <v>0</v>
      </c>
      <c r="N77" s="961">
        <f>'lokale energieproductie'!K9</f>
        <v>0</v>
      </c>
      <c r="O77" s="962">
        <f>'lokale energieproductie'!L9</f>
        <v>0</v>
      </c>
      <c r="P77" s="789"/>
      <c r="Q77" s="797">
        <f>D77*EF_CO2_aardgas+E77*EF_VLgas_CO2+'SEAP template'!F77*EF_stookolie_CO2+EF_bruinkool_CO2*'SEAP template'!G77+'SEAP template'!H77*EF_steenkool_CO2+'EF brandstof'!M4*'SEAP template'!M77+'SEAP template'!O77*EF_anderfossiel_CO2</f>
        <v>0</v>
      </c>
      <c r="R77" s="799">
        <v>0</v>
      </c>
    </row>
    <row r="78" spans="1:18" ht="16.5" thickTop="1" thickBot="1">
      <c r="A78" s="694" t="s">
        <v>109</v>
      </c>
      <c r="B78" s="695">
        <f>SUM(B72:B77)</f>
        <v>7734.5460861705533</v>
      </c>
      <c r="C78" s="695">
        <f>SUM(C72:C77)</f>
        <v>1171.3499999999999</v>
      </c>
      <c r="D78" s="696">
        <f t="shared" ref="D78:H78" si="10">SUM(D76:D77)</f>
        <v>1377.3362621064696</v>
      </c>
      <c r="E78" s="696">
        <f t="shared" si="10"/>
        <v>0</v>
      </c>
      <c r="F78" s="696">
        <f t="shared" si="10"/>
        <v>0</v>
      </c>
      <c r="G78" s="696">
        <f t="shared" si="10"/>
        <v>0</v>
      </c>
      <c r="H78" s="696">
        <f t="shared" si="10"/>
        <v>0</v>
      </c>
      <c r="I78" s="696">
        <f>SUM(I76:I77)</f>
        <v>0</v>
      </c>
      <c r="J78" s="696">
        <f>SUM(J76:J77)</f>
        <v>0</v>
      </c>
      <c r="K78" s="696">
        <f t="shared" ref="K78:L78" si="11">SUM(K76:K77)</f>
        <v>0</v>
      </c>
      <c r="L78" s="696">
        <f t="shared" si="11"/>
        <v>0</v>
      </c>
      <c r="M78" s="696">
        <f>SUM(M76:M77)</f>
        <v>0</v>
      </c>
      <c r="N78" s="696">
        <f>SUM(N76:N77)</f>
        <v>0</v>
      </c>
      <c r="O78" s="804">
        <f>SUM(O76:O77)</f>
        <v>0</v>
      </c>
      <c r="P78" s="697">
        <v>0</v>
      </c>
      <c r="Q78" s="697">
        <f>SUM(Q76:Q77)</f>
        <v>278.22192494550688</v>
      </c>
      <c r="R78" s="697">
        <f>SUM(R72:R77)</f>
        <v>0</v>
      </c>
    </row>
    <row r="79" spans="1:18" ht="15.75" thickTop="1">
      <c r="A79" s="698"/>
      <c r="B79" s="751"/>
      <c r="C79" s="699"/>
      <c r="D79" s="699"/>
      <c r="E79" s="659"/>
      <c r="F79" s="658"/>
      <c r="G79" s="658"/>
      <c r="H79" s="658"/>
      <c r="I79" s="700"/>
      <c r="J79" s="658"/>
      <c r="K79" s="658"/>
      <c r="L79" s="658"/>
      <c r="M79" s="658"/>
      <c r="N79" s="701"/>
      <c r="O79" s="658"/>
      <c r="P79" s="658"/>
      <c r="Q79" s="658"/>
      <c r="R79" s="658"/>
    </row>
    <row r="80" spans="1:18" ht="15">
      <c r="A80" s="925"/>
      <c r="B80" s="925"/>
      <c r="C80" s="699"/>
      <c r="D80" s="699"/>
      <c r="E80" s="658"/>
      <c r="F80" s="658"/>
      <c r="G80" s="658"/>
      <c r="H80" s="658"/>
      <c r="I80" s="658"/>
      <c r="J80" s="658"/>
      <c r="K80" s="658"/>
      <c r="L80" s="658"/>
      <c r="M80" s="658"/>
      <c r="N80" s="658"/>
      <c r="O80" s="658"/>
      <c r="P80" s="658"/>
      <c r="Q80" s="658"/>
      <c r="R80" s="658"/>
    </row>
    <row r="81" spans="1:19" ht="18.75">
      <c r="A81" s="702" t="s">
        <v>341</v>
      </c>
      <c r="B81" s="702"/>
      <c r="C81" s="703"/>
      <c r="D81" s="686"/>
      <c r="E81" s="658"/>
      <c r="F81" s="658"/>
      <c r="G81" s="658"/>
      <c r="H81" s="658"/>
      <c r="I81" s="658"/>
      <c r="J81" s="658"/>
      <c r="K81" s="658"/>
      <c r="L81" s="658"/>
      <c r="M81" s="658"/>
      <c r="N81" s="658"/>
      <c r="O81" s="658"/>
      <c r="P81" s="658"/>
      <c r="Q81" s="658"/>
      <c r="R81" s="658"/>
    </row>
    <row r="82" spans="1:19">
      <c r="A82" s="1056"/>
      <c r="B82" s="1056"/>
      <c r="C82" s="1056"/>
      <c r="D82" s="1056"/>
      <c r="E82" s="1056"/>
      <c r="F82" s="1056"/>
      <c r="G82" s="1056"/>
      <c r="H82" s="1056"/>
      <c r="I82" s="1056"/>
      <c r="J82" s="1056"/>
      <c r="K82" s="1056"/>
      <c r="L82" s="1056"/>
      <c r="M82" s="1056"/>
      <c r="N82" s="1056"/>
      <c r="O82" s="1056"/>
      <c r="P82" s="1056"/>
      <c r="Q82" s="688"/>
      <c r="R82" s="688"/>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51" t="s">
        <v>647</v>
      </c>
      <c r="Q84" s="1072" t="s">
        <v>646</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52"/>
      <c r="Q85" s="800"/>
      <c r="R85" s="801"/>
    </row>
    <row r="86" spans="1:19" ht="110.25" customHeight="1" thickTop="1" thickBot="1">
      <c r="A86" s="1070"/>
      <c r="B86" s="788" t="s">
        <v>645</v>
      </c>
      <c r="C86" s="788" t="s">
        <v>849</v>
      </c>
      <c r="D86" s="926" t="s">
        <v>192</v>
      </c>
      <c r="E86" s="919" t="s">
        <v>193</v>
      </c>
      <c r="F86" s="917" t="s">
        <v>194</v>
      </c>
      <c r="G86" s="919" t="s">
        <v>196</v>
      </c>
      <c r="H86" s="704" t="s">
        <v>197</v>
      </c>
      <c r="I86" s="1114"/>
      <c r="J86" s="1115"/>
      <c r="K86" s="1065"/>
      <c r="L86" s="1065"/>
      <c r="M86" s="1118"/>
      <c r="N86" s="1065"/>
      <c r="O86" s="1120"/>
      <c r="P86" s="956"/>
      <c r="Q86" s="926" t="s">
        <v>648</v>
      </c>
      <c r="R86" s="924" t="s">
        <v>649</v>
      </c>
    </row>
    <row r="87" spans="1:19" ht="15.75" thickTop="1">
      <c r="A87" s="705" t="s">
        <v>241</v>
      </c>
      <c r="B87" s="706">
        <f>'lokale energieproductie'!B17*IFERROR(SUM(I87:O87)/SUM(D87:O87),0)</f>
        <v>0</v>
      </c>
      <c r="C87" s="706">
        <f>'lokale energieproductie'!B17*IFERROR(SUM(D87:H87)/SUM(D87:O87),0)</f>
        <v>1689.4285714285716</v>
      </c>
      <c r="D87" s="717">
        <f>'lokale energieproductie'!C17</f>
        <v>1986.5208807506735</v>
      </c>
      <c r="E87" s="717">
        <f>'lokale energieproductie'!D17</f>
        <v>0</v>
      </c>
      <c r="F87" s="717">
        <f>'lokale energieproductie'!E17</f>
        <v>0</v>
      </c>
      <c r="G87" s="717">
        <f>'lokale energieproductie'!F17</f>
        <v>0</v>
      </c>
      <c r="H87" s="717">
        <f>'lokale energieproductie'!G17</f>
        <v>0</v>
      </c>
      <c r="I87" s="717">
        <f>'lokale energieproductie'!I17</f>
        <v>0</v>
      </c>
      <c r="J87" s="717">
        <f>'lokale energieproductie'!J17</f>
        <v>0</v>
      </c>
      <c r="K87" s="717">
        <f>'lokale energieproductie'!M17</f>
        <v>0</v>
      </c>
      <c r="L87" s="717">
        <f>'lokale energieproductie'!N17</f>
        <v>0</v>
      </c>
      <c r="M87" s="717">
        <f>'lokale energieproductie'!H17</f>
        <v>0</v>
      </c>
      <c r="N87" s="717">
        <f>'lokale energieproductie'!K17</f>
        <v>0</v>
      </c>
      <c r="O87" s="717">
        <f>'lokale energieproductie'!L17</f>
        <v>0</v>
      </c>
      <c r="P87" s="1107"/>
      <c r="Q87" s="803">
        <f>D87*EF_CO2_aardgas+E87*EF_VLgas_CO2+'SEAP template'!F87*EF_stookolie_CO2+EF_bruinkool_CO2*'SEAP template'!G87+'SEAP template'!H87*EF_steenkool_CO2+'EF brandstof'!M4*'SEAP template'!M87+'SEAP template'!O87*EF_anderfossiel_CO2</f>
        <v>401.27721791163606</v>
      </c>
      <c r="R87" s="790">
        <v>0</v>
      </c>
    </row>
    <row r="88" spans="1:19" ht="15">
      <c r="A88" s="707" t="s">
        <v>247</v>
      </c>
      <c r="B88" s="706">
        <f>'lokale energieproductie'!B18*IFERROR(SUM(I88:O88)/SUM(D88:O88),0)</f>
        <v>0</v>
      </c>
      <c r="C88" s="706">
        <f>'lokale energieproductie'!B18*IFERROR(SUM(D88:H88)/SUM(D88:O88),0)</f>
        <v>0</v>
      </c>
      <c r="D88" s="717">
        <f>'lokale energieproductie'!C18</f>
        <v>0</v>
      </c>
      <c r="E88" s="717">
        <f>'lokale energieproductie'!D18</f>
        <v>0</v>
      </c>
      <c r="F88" s="717">
        <f>'lokale energieproductie'!E18</f>
        <v>0</v>
      </c>
      <c r="G88" s="717">
        <f>'lokale energieproductie'!F18</f>
        <v>0</v>
      </c>
      <c r="H88" s="717">
        <f>'lokale energieproductie'!G18</f>
        <v>0</v>
      </c>
      <c r="I88" s="717">
        <f>'lokale energieproductie'!I18</f>
        <v>0</v>
      </c>
      <c r="J88" s="717">
        <f>'lokale energieproductie'!J18</f>
        <v>0</v>
      </c>
      <c r="K88" s="717">
        <f>'lokale energieproductie'!M18</f>
        <v>0</v>
      </c>
      <c r="L88" s="717">
        <f>'lokale energieproductie'!N18</f>
        <v>0</v>
      </c>
      <c r="M88" s="717">
        <f>'lokale energieproductie'!H18</f>
        <v>0</v>
      </c>
      <c r="N88" s="717">
        <f>'lokale energieproductie'!K18</f>
        <v>0</v>
      </c>
      <c r="O88" s="717">
        <f>'lokale energieproductie'!L18</f>
        <v>0</v>
      </c>
      <c r="P88" s="1108"/>
      <c r="Q88" s="797">
        <f>D88*EF_CO2_aardgas+E88*EF_VLgas_CO2+'SEAP template'!F88*EF_stookolie_CO2+EF_bruinkool_CO2*'SEAP template'!G88+'SEAP template'!H88*EF_steenkool_CO2+'EF brandstof'!M4*'SEAP template'!M88+'SEAP template'!O88*EF_anderfossiel_CO2</f>
        <v>0</v>
      </c>
      <c r="R88" s="791">
        <v>0</v>
      </c>
    </row>
    <row r="89" spans="1:19" ht="30" thickBot="1">
      <c r="A89" s="693" t="s">
        <v>340</v>
      </c>
      <c r="B89" s="706">
        <f>'lokale energieproductie'!B19*IFERROR(SUM(I89:O89)/SUM(D89:O89),0)</f>
        <v>0</v>
      </c>
      <c r="C89" s="706">
        <f>'lokale energieproductie'!B19*IFERROR(SUM(D89:H89)/SUM(D89:O89),0)</f>
        <v>0</v>
      </c>
      <c r="D89" s="717">
        <f>'lokale energieproductie'!C19</f>
        <v>0</v>
      </c>
      <c r="E89" s="717">
        <f>'lokale energieproductie'!D19</f>
        <v>0</v>
      </c>
      <c r="F89" s="717">
        <f>'lokale energieproductie'!E19</f>
        <v>0</v>
      </c>
      <c r="G89" s="717">
        <f>'lokale energieproductie'!F19</f>
        <v>0</v>
      </c>
      <c r="H89" s="717">
        <f>'lokale energieproductie'!G19</f>
        <v>0</v>
      </c>
      <c r="I89" s="717">
        <f>'lokale energieproductie'!I19</f>
        <v>0</v>
      </c>
      <c r="J89" s="717">
        <f>'lokale energieproductie'!J19</f>
        <v>0</v>
      </c>
      <c r="K89" s="717">
        <f>'lokale energieproductie'!M19</f>
        <v>0</v>
      </c>
      <c r="L89" s="717">
        <f>'lokale energieproductie'!N19</f>
        <v>0</v>
      </c>
      <c r="M89" s="717">
        <f>'lokale energieproductie'!H19</f>
        <v>0</v>
      </c>
      <c r="N89" s="717">
        <f>'lokale energieproductie'!K19</f>
        <v>0</v>
      </c>
      <c r="O89" s="717">
        <f>'lokale energieproductie'!L19</f>
        <v>0</v>
      </c>
      <c r="P89" s="1109"/>
      <c r="Q89" s="798">
        <f>D89*EF_CO2_aardgas+E89*EF_VLgas_CO2+'SEAP template'!F89*EF_stookolie_CO2+EF_bruinkool_CO2*'SEAP template'!G89+'SEAP template'!H89*EF_steenkool_CO2+'EF brandstof'!M4*'SEAP template'!M89+'SEAP template'!O89*EF_anderfossiel_CO2</f>
        <v>0</v>
      </c>
      <c r="R89" s="792">
        <v>0</v>
      </c>
    </row>
    <row r="90" spans="1:19" ht="16.5" thickTop="1" thickBot="1">
      <c r="A90" s="708" t="s">
        <v>109</v>
      </c>
      <c r="B90" s="695">
        <f>SUM(B87:B89)</f>
        <v>0</v>
      </c>
      <c r="C90" s="695">
        <f>SUM(C87:C89)</f>
        <v>1689.4285714285716</v>
      </c>
      <c r="D90" s="695">
        <f t="shared" ref="D90:H90" si="12">SUM(D87:D89)</f>
        <v>1986.5208807506735</v>
      </c>
      <c r="E90" s="695">
        <f t="shared" si="12"/>
        <v>0</v>
      </c>
      <c r="F90" s="695">
        <f t="shared" si="12"/>
        <v>0</v>
      </c>
      <c r="G90" s="695">
        <f t="shared" si="12"/>
        <v>0</v>
      </c>
      <c r="H90" s="695">
        <f t="shared" si="12"/>
        <v>0</v>
      </c>
      <c r="I90" s="695">
        <f>SUM(I87:I89)</f>
        <v>0</v>
      </c>
      <c r="J90" s="695">
        <f>SUM(J87:J89)</f>
        <v>0</v>
      </c>
      <c r="K90" s="695">
        <f t="shared" ref="K90:L90" si="13">SUM(K87:K89)</f>
        <v>0</v>
      </c>
      <c r="L90" s="695">
        <f t="shared" si="13"/>
        <v>0</v>
      </c>
      <c r="M90" s="695">
        <f>SUM(M87:M89)</f>
        <v>0</v>
      </c>
      <c r="N90" s="695">
        <f>SUM(N87:N89)</f>
        <v>0</v>
      </c>
      <c r="O90" s="695">
        <f>SUM(O87:O89)</f>
        <v>0</v>
      </c>
      <c r="P90" s="695">
        <v>0</v>
      </c>
      <c r="Q90" s="695">
        <f>SUM(Q87:Q89)</f>
        <v>401.27721791163606</v>
      </c>
      <c r="R90" s="804">
        <f>SUM(R87:R89)</f>
        <v>0</v>
      </c>
    </row>
    <row r="91" spans="1:19" ht="15.75" thickTop="1">
      <c r="A91" s="709"/>
      <c r="B91" s="709"/>
      <c r="C91" s="710"/>
      <c r="D91" s="711"/>
      <c r="E91" s="712"/>
      <c r="F91" s="700"/>
      <c r="G91" s="700"/>
      <c r="H91" s="700"/>
      <c r="I91" s="700"/>
      <c r="J91" s="700"/>
      <c r="K91" s="700"/>
      <c r="L91" s="700"/>
      <c r="M91" s="658"/>
      <c r="Q91" s="700"/>
      <c r="R91" s="658"/>
      <c r="S91" s="68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21" t="s">
        <v>549</v>
      </c>
      <c r="B1" s="1122" t="s">
        <v>545</v>
      </c>
      <c r="C1" s="1122"/>
      <c r="D1" s="1122"/>
      <c r="E1" s="1122"/>
      <c r="F1" s="1122"/>
      <c r="G1" s="1122"/>
      <c r="H1" s="1122"/>
      <c r="I1" s="1122"/>
      <c r="J1" s="1122"/>
      <c r="K1" s="1122"/>
      <c r="L1" s="1122"/>
      <c r="M1" s="1122"/>
      <c r="N1" s="1122"/>
      <c r="O1" s="1122"/>
      <c r="P1" s="1123"/>
      <c r="Q1" s="964"/>
    </row>
    <row r="2" spans="1:17">
      <c r="A2" s="1121"/>
      <c r="B2" s="1124" t="s">
        <v>20</v>
      </c>
      <c r="C2" s="1126" t="s">
        <v>189</v>
      </c>
      <c r="D2" s="1128" t="s">
        <v>190</v>
      </c>
      <c r="E2" s="1129"/>
      <c r="F2" s="1129"/>
      <c r="G2" s="1129"/>
      <c r="H2" s="1129"/>
      <c r="I2" s="1129"/>
      <c r="J2" s="1129"/>
      <c r="K2" s="1125"/>
      <c r="L2" s="1128" t="s">
        <v>191</v>
      </c>
      <c r="M2" s="1129"/>
      <c r="N2" s="1129"/>
      <c r="O2" s="1129"/>
      <c r="P2" s="1125"/>
      <c r="Q2" s="964"/>
    </row>
    <row r="3" spans="1:17" ht="45">
      <c r="A3" s="1121"/>
      <c r="B3" s="1125"/>
      <c r="C3" s="1127"/>
      <c r="D3" s="964" t="s">
        <v>192</v>
      </c>
      <c r="E3" s="964" t="s">
        <v>193</v>
      </c>
      <c r="F3" s="964" t="s">
        <v>194</v>
      </c>
      <c r="G3" s="964" t="s">
        <v>195</v>
      </c>
      <c r="H3" s="964" t="s">
        <v>113</v>
      </c>
      <c r="I3" s="964" t="s">
        <v>196</v>
      </c>
      <c r="J3" s="964" t="s">
        <v>197</v>
      </c>
      <c r="K3" s="964" t="s">
        <v>198</v>
      </c>
      <c r="L3" s="964" t="s">
        <v>199</v>
      </c>
      <c r="M3" s="964" t="s">
        <v>200</v>
      </c>
      <c r="N3" s="964" t="s">
        <v>201</v>
      </c>
      <c r="O3" s="964" t="s">
        <v>202</v>
      </c>
      <c r="P3" s="964" t="s">
        <v>203</v>
      </c>
      <c r="Q3" s="964" t="s">
        <v>109</v>
      </c>
    </row>
    <row r="4" spans="1:17">
      <c r="A4" s="446" t="s">
        <v>148</v>
      </c>
      <c r="B4" s="447">
        <f>huishoudens!B8</f>
        <v>32364.675412442193</v>
      </c>
      <c r="C4" s="447">
        <f>huishoudens!C8</f>
        <v>0</v>
      </c>
      <c r="D4" s="447">
        <f>huishoudens!D8</f>
        <v>26746.376207317458</v>
      </c>
      <c r="E4" s="447">
        <f>huishoudens!E8</f>
        <v>2299.1962046601157</v>
      </c>
      <c r="F4" s="447">
        <f>huishoudens!F8</f>
        <v>70095.817033260842</v>
      </c>
      <c r="G4" s="447">
        <f>huishoudens!G8</f>
        <v>0</v>
      </c>
      <c r="H4" s="447">
        <f>huishoudens!H8</f>
        <v>0</v>
      </c>
      <c r="I4" s="447">
        <f>huishoudens!I8</f>
        <v>0</v>
      </c>
      <c r="J4" s="447">
        <f>huishoudens!J8</f>
        <v>1271.8641754730947</v>
      </c>
      <c r="K4" s="447">
        <f>huishoudens!K8</f>
        <v>0</v>
      </c>
      <c r="L4" s="447">
        <f>huishoudens!L8</f>
        <v>0</v>
      </c>
      <c r="M4" s="447">
        <f>huishoudens!M8</f>
        <v>0</v>
      </c>
      <c r="N4" s="447">
        <f>huishoudens!N8</f>
        <v>9631.172203600674</v>
      </c>
      <c r="O4" s="447">
        <f>huishoudens!O8</f>
        <v>123.50333333333334</v>
      </c>
      <c r="P4" s="448">
        <f>huishoudens!P8</f>
        <v>400.4</v>
      </c>
      <c r="Q4" s="449">
        <f>SUM(B4:P4)</f>
        <v>142933.00457008771</v>
      </c>
    </row>
    <row r="5" spans="1:17">
      <c r="A5" s="446" t="s">
        <v>149</v>
      </c>
      <c r="B5" s="447">
        <f ca="1">tertiair!B16</f>
        <v>15930.467621090624</v>
      </c>
      <c r="C5" s="447">
        <f ca="1">tertiair!C16</f>
        <v>34.071428571428577</v>
      </c>
      <c r="D5" s="447">
        <f ca="1">tertiair!D16</f>
        <v>23852.490737144664</v>
      </c>
      <c r="E5" s="447">
        <f>tertiair!E16</f>
        <v>183.84422638578209</v>
      </c>
      <c r="F5" s="447">
        <f ca="1">tertiair!F16</f>
        <v>3031.5611284244414</v>
      </c>
      <c r="G5" s="447">
        <f>tertiair!G16</f>
        <v>0</v>
      </c>
      <c r="H5" s="447">
        <f>tertiair!H16</f>
        <v>0</v>
      </c>
      <c r="I5" s="447">
        <f>tertiair!I16</f>
        <v>0</v>
      </c>
      <c r="J5" s="447">
        <f>tertiair!J16</f>
        <v>0</v>
      </c>
      <c r="K5" s="447">
        <f>tertiair!K16</f>
        <v>0</v>
      </c>
      <c r="L5" s="447">
        <f ca="1">tertiair!L16</f>
        <v>0</v>
      </c>
      <c r="M5" s="447">
        <f>tertiair!M16</f>
        <v>0</v>
      </c>
      <c r="N5" s="447">
        <f ca="1">tertiair!N16</f>
        <v>667.11027889698516</v>
      </c>
      <c r="O5" s="447">
        <f>tertiair!O16</f>
        <v>6.2533333333333339</v>
      </c>
      <c r="P5" s="448">
        <f>tertiair!P16</f>
        <v>38.133333333333333</v>
      </c>
      <c r="Q5" s="446">
        <f t="shared" ref="Q5:Q14" ca="1" si="0">SUM(B5:P5)</f>
        <v>43743.93208718059</v>
      </c>
    </row>
    <row r="6" spans="1:17">
      <c r="A6" s="446" t="s">
        <v>187</v>
      </c>
      <c r="B6" s="447">
        <f>'openbare verlichting'!B8</f>
        <v>1272.825</v>
      </c>
      <c r="C6" s="447"/>
      <c r="D6" s="447"/>
      <c r="E6" s="447"/>
      <c r="F6" s="447"/>
      <c r="G6" s="447"/>
      <c r="H6" s="447"/>
      <c r="I6" s="447"/>
      <c r="J6" s="447"/>
      <c r="K6" s="447"/>
      <c r="L6" s="447"/>
      <c r="M6" s="447"/>
      <c r="N6" s="447"/>
      <c r="O6" s="447"/>
      <c r="P6" s="448"/>
      <c r="Q6" s="446">
        <f t="shared" si="0"/>
        <v>1272.825</v>
      </c>
    </row>
    <row r="7" spans="1:17">
      <c r="A7" s="446" t="s">
        <v>105</v>
      </c>
      <c r="B7" s="447">
        <f>landbouw!B8</f>
        <v>3378.560916782089</v>
      </c>
      <c r="C7" s="447">
        <f>landbouw!C8</f>
        <v>22.5</v>
      </c>
      <c r="D7" s="447">
        <f>landbouw!D8</f>
        <v>787.56145765041572</v>
      </c>
      <c r="E7" s="447">
        <f>landbouw!E8</f>
        <v>33.363903979711147</v>
      </c>
      <c r="F7" s="447">
        <f>landbouw!F8</f>
        <v>11271.773178741969</v>
      </c>
      <c r="G7" s="447">
        <f>landbouw!G8</f>
        <v>0</v>
      </c>
      <c r="H7" s="447">
        <f>landbouw!H8</f>
        <v>0</v>
      </c>
      <c r="I7" s="447">
        <f>landbouw!I8</f>
        <v>0</v>
      </c>
      <c r="J7" s="447">
        <f>landbouw!J8</f>
        <v>337.07783289522632</v>
      </c>
      <c r="K7" s="447">
        <f>landbouw!K8</f>
        <v>0</v>
      </c>
      <c r="L7" s="447">
        <f>landbouw!L8</f>
        <v>0</v>
      </c>
      <c r="M7" s="447">
        <f>landbouw!M8</f>
        <v>0</v>
      </c>
      <c r="N7" s="447">
        <f>landbouw!N8</f>
        <v>0</v>
      </c>
      <c r="O7" s="447">
        <f>landbouw!O8</f>
        <v>0</v>
      </c>
      <c r="P7" s="448">
        <f>landbouw!P8</f>
        <v>0</v>
      </c>
      <c r="Q7" s="446">
        <f t="shared" si="0"/>
        <v>15830.837290049411</v>
      </c>
    </row>
    <row r="8" spans="1:17">
      <c r="A8" s="446" t="s">
        <v>640</v>
      </c>
      <c r="B8" s="447">
        <f>industrie!B18</f>
        <v>139039.3646458392</v>
      </c>
      <c r="C8" s="447">
        <f>industrie!C18</f>
        <v>1632.8571428571429</v>
      </c>
      <c r="D8" s="447">
        <f>industrie!D18</f>
        <v>125959.25567259559</v>
      </c>
      <c r="E8" s="447">
        <f>industrie!E18</f>
        <v>1269.1595140065738</v>
      </c>
      <c r="F8" s="447">
        <f>industrie!F18</f>
        <v>27472.482166100413</v>
      </c>
      <c r="G8" s="447">
        <f>industrie!G18</f>
        <v>0</v>
      </c>
      <c r="H8" s="447">
        <f>industrie!H18</f>
        <v>0</v>
      </c>
      <c r="I8" s="447">
        <f>industrie!I18</f>
        <v>0</v>
      </c>
      <c r="J8" s="447">
        <f>industrie!J18</f>
        <v>634.0457112634482</v>
      </c>
      <c r="K8" s="447">
        <f>industrie!K18</f>
        <v>0</v>
      </c>
      <c r="L8" s="447">
        <f>industrie!L18</f>
        <v>0</v>
      </c>
      <c r="M8" s="447">
        <f>industrie!M18</f>
        <v>0</v>
      </c>
      <c r="N8" s="447">
        <f>industrie!N18</f>
        <v>4501.1531784318322</v>
      </c>
      <c r="O8" s="447">
        <f>industrie!O18</f>
        <v>0</v>
      </c>
      <c r="P8" s="448">
        <f>industrie!P18</f>
        <v>0</v>
      </c>
      <c r="Q8" s="446">
        <f t="shared" si="0"/>
        <v>300508.31803109421</v>
      </c>
    </row>
    <row r="9" spans="1:17" s="452" customFormat="1">
      <c r="A9" s="450" t="s">
        <v>560</v>
      </c>
      <c r="B9" s="451">
        <f>transport!B14</f>
        <v>12.337010908475353</v>
      </c>
      <c r="C9" s="451">
        <f>transport!C14</f>
        <v>0</v>
      </c>
      <c r="D9" s="451">
        <f>transport!D14</f>
        <v>13.66378951891391</v>
      </c>
      <c r="E9" s="451">
        <f>transport!E14</f>
        <v>990.4059732360214</v>
      </c>
      <c r="F9" s="451">
        <f>transport!F14</f>
        <v>0</v>
      </c>
      <c r="G9" s="451">
        <f>transport!G14</f>
        <v>287349.80730066565</v>
      </c>
      <c r="H9" s="451">
        <f>transport!H14</f>
        <v>36056.474372671473</v>
      </c>
      <c r="I9" s="451">
        <f>transport!I14</f>
        <v>0</v>
      </c>
      <c r="J9" s="451">
        <f>transport!J14</f>
        <v>0</v>
      </c>
      <c r="K9" s="451">
        <f>transport!K14</f>
        <v>0</v>
      </c>
      <c r="L9" s="451">
        <f>transport!L14</f>
        <v>0</v>
      </c>
      <c r="M9" s="451">
        <f>transport!M14</f>
        <v>14437.390124995947</v>
      </c>
      <c r="N9" s="451">
        <f>transport!N14</f>
        <v>0</v>
      </c>
      <c r="O9" s="451">
        <f>transport!O14</f>
        <v>0</v>
      </c>
      <c r="P9" s="451">
        <f>transport!P14</f>
        <v>0</v>
      </c>
      <c r="Q9" s="450">
        <f>SUM(B9:P9)</f>
        <v>338860.07857199648</v>
      </c>
    </row>
    <row r="10" spans="1:17">
      <c r="A10" s="446" t="s">
        <v>550</v>
      </c>
      <c r="B10" s="447">
        <f>transport!B54</f>
        <v>3.5988552409464267</v>
      </c>
      <c r="C10" s="447">
        <f>transport!C54</f>
        <v>0</v>
      </c>
      <c r="D10" s="447">
        <f>transport!D54</f>
        <v>0</v>
      </c>
      <c r="E10" s="447">
        <f>transport!E54</f>
        <v>0</v>
      </c>
      <c r="F10" s="447">
        <f>transport!F54</f>
        <v>0</v>
      </c>
      <c r="G10" s="447">
        <f>transport!G54</f>
        <v>717.79879306659882</v>
      </c>
      <c r="H10" s="447">
        <f>transport!H54</f>
        <v>0</v>
      </c>
      <c r="I10" s="447">
        <f>transport!I54</f>
        <v>0</v>
      </c>
      <c r="J10" s="447">
        <f>transport!J54</f>
        <v>0</v>
      </c>
      <c r="K10" s="447">
        <f>transport!K54</f>
        <v>0</v>
      </c>
      <c r="L10" s="447">
        <f>transport!L54</f>
        <v>0</v>
      </c>
      <c r="M10" s="447">
        <f>transport!M54</f>
        <v>31.725942167017173</v>
      </c>
      <c r="N10" s="447">
        <f>transport!N54</f>
        <v>0</v>
      </c>
      <c r="O10" s="447">
        <f>transport!O54</f>
        <v>0</v>
      </c>
      <c r="P10" s="448">
        <f>transport!P54</f>
        <v>0</v>
      </c>
      <c r="Q10" s="446">
        <f t="shared" si="0"/>
        <v>753.12359047456243</v>
      </c>
    </row>
    <row r="11" spans="1:17">
      <c r="A11" s="446" t="s">
        <v>551</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552</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553</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850</v>
      </c>
      <c r="B14" s="454">
        <f>'SEAP template'!C25</f>
        <v>982.319428053357</v>
      </c>
      <c r="C14" s="454"/>
      <c r="D14" s="454">
        <f>'SEAP template'!E25</f>
        <v>853.76456272437702</v>
      </c>
      <c r="E14" s="454"/>
      <c r="F14" s="454"/>
      <c r="G14" s="454"/>
      <c r="H14" s="454"/>
      <c r="I14" s="454"/>
      <c r="J14" s="454"/>
      <c r="K14" s="454"/>
      <c r="L14" s="454"/>
      <c r="M14" s="454"/>
      <c r="N14" s="454"/>
      <c r="O14" s="454"/>
      <c r="P14" s="455"/>
      <c r="Q14" s="446">
        <f t="shared" si="0"/>
        <v>1836.083990777734</v>
      </c>
    </row>
    <row r="15" spans="1:17" s="459" customFormat="1">
      <c r="A15" s="456" t="s">
        <v>554</v>
      </c>
      <c r="B15" s="457">
        <f ca="1">SUM(B4:B14)</f>
        <v>192984.14889035688</v>
      </c>
      <c r="C15" s="457">
        <f t="shared" ref="C15:Q15" ca="1" si="1">SUM(C4:C14)</f>
        <v>1689.4285714285716</v>
      </c>
      <c r="D15" s="457">
        <f t="shared" ca="1" si="1"/>
        <v>178213.11242695144</v>
      </c>
      <c r="E15" s="457">
        <f t="shared" si="1"/>
        <v>4775.9698222682036</v>
      </c>
      <c r="F15" s="457">
        <f t="shared" ca="1" si="1"/>
        <v>111871.63350652767</v>
      </c>
      <c r="G15" s="457">
        <f t="shared" si="1"/>
        <v>288067.60609373223</v>
      </c>
      <c r="H15" s="457">
        <f t="shared" si="1"/>
        <v>36056.474372671473</v>
      </c>
      <c r="I15" s="457">
        <f t="shared" si="1"/>
        <v>0</v>
      </c>
      <c r="J15" s="457">
        <f t="shared" si="1"/>
        <v>2242.9877196317693</v>
      </c>
      <c r="K15" s="457">
        <f t="shared" si="1"/>
        <v>0</v>
      </c>
      <c r="L15" s="457">
        <f t="shared" ca="1" si="1"/>
        <v>0</v>
      </c>
      <c r="M15" s="457">
        <f t="shared" si="1"/>
        <v>14469.116067162964</v>
      </c>
      <c r="N15" s="457">
        <f t="shared" ca="1" si="1"/>
        <v>14799.435660929492</v>
      </c>
      <c r="O15" s="457">
        <f t="shared" si="1"/>
        <v>129.75666666666669</v>
      </c>
      <c r="P15" s="457">
        <f t="shared" si="1"/>
        <v>438.5333333333333</v>
      </c>
      <c r="Q15" s="457">
        <f t="shared" ca="1" si="1"/>
        <v>845738.20313166082</v>
      </c>
    </row>
    <row r="17" spans="1:17">
      <c r="A17" s="460" t="s">
        <v>555</v>
      </c>
      <c r="B17" s="729">
        <f ca="1">huishoudens!B10</f>
        <v>0.21224290196984863</v>
      </c>
      <c r="C17" s="729">
        <f ca="1">huishoudens!C10</f>
        <v>0.23752245267896602</v>
      </c>
      <c r="D17" s="729">
        <f>huishoudens!D10</f>
        <v>0.20200000000000001</v>
      </c>
      <c r="E17" s="729">
        <f>huishoudens!E10</f>
        <v>0.22700000000000001</v>
      </c>
      <c r="F17" s="729">
        <f>huishoudens!F10</f>
        <v>0.26700000000000002</v>
      </c>
      <c r="G17" s="729">
        <f>huishoudens!G10</f>
        <v>0.26700000000000002</v>
      </c>
      <c r="H17" s="729">
        <f>huishoudens!H10</f>
        <v>0.249</v>
      </c>
      <c r="I17" s="729">
        <f>huishoudens!I10</f>
        <v>0.35099999999999998</v>
      </c>
      <c r="J17" s="729">
        <f>huishoudens!J10</f>
        <v>0.35399999999999998</v>
      </c>
      <c r="K17" s="729">
        <f>huishoudens!K10</f>
        <v>0.26400000000000001</v>
      </c>
      <c r="L17" s="729">
        <f>huishoudens!L10</f>
        <v>0</v>
      </c>
      <c r="M17" s="729">
        <f>huishoudens!M10</f>
        <v>0</v>
      </c>
      <c r="N17" s="729">
        <f>huishoudens!N10</f>
        <v>0</v>
      </c>
      <c r="O17" s="729">
        <f>huishoudens!O10</f>
        <v>0</v>
      </c>
      <c r="P17" s="729">
        <f>huishoudens!P10</f>
        <v>0</v>
      </c>
    </row>
    <row r="18" spans="1:17" ht="15.75" customHeight="1"/>
    <row r="19" spans="1:17" ht="15" customHeight="1">
      <c r="A19" s="1121" t="s">
        <v>557</v>
      </c>
      <c r="B19" s="1122" t="s">
        <v>556</v>
      </c>
      <c r="C19" s="1122"/>
      <c r="D19" s="1122"/>
      <c r="E19" s="1122"/>
      <c r="F19" s="1122"/>
      <c r="G19" s="1122"/>
      <c r="H19" s="1122"/>
      <c r="I19" s="1122"/>
      <c r="J19" s="1122"/>
      <c r="K19" s="1122"/>
      <c r="L19" s="1122"/>
      <c r="M19" s="1122"/>
      <c r="N19" s="1122"/>
      <c r="O19" s="1122"/>
      <c r="P19" s="1123"/>
      <c r="Q19" s="964"/>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4"/>
    </row>
    <row r="21" spans="1:17" ht="45">
      <c r="A21" s="1121"/>
      <c r="B21" s="1125"/>
      <c r="C21" s="1127"/>
      <c r="D21" s="964" t="s">
        <v>192</v>
      </c>
      <c r="E21" s="964" t="s">
        <v>193</v>
      </c>
      <c r="F21" s="964" t="s">
        <v>194</v>
      </c>
      <c r="G21" s="964" t="s">
        <v>195</v>
      </c>
      <c r="H21" s="964" t="s">
        <v>113</v>
      </c>
      <c r="I21" s="964" t="s">
        <v>196</v>
      </c>
      <c r="J21" s="964" t="s">
        <v>197</v>
      </c>
      <c r="K21" s="964" t="s">
        <v>198</v>
      </c>
      <c r="L21" s="964" t="s">
        <v>199</v>
      </c>
      <c r="M21" s="964" t="s">
        <v>200</v>
      </c>
      <c r="N21" s="964" t="s">
        <v>201</v>
      </c>
      <c r="O21" s="964" t="s">
        <v>202</v>
      </c>
      <c r="P21" s="964" t="s">
        <v>203</v>
      </c>
      <c r="Q21" s="964" t="s">
        <v>109</v>
      </c>
    </row>
    <row r="22" spans="1:17">
      <c r="A22" s="446" t="s">
        <v>148</v>
      </c>
      <c r="B22" s="447">
        <f t="shared" ref="B22:B32" ca="1" si="2">B4*$B$17</f>
        <v>6869.1726308489388</v>
      </c>
      <c r="C22" s="447">
        <f t="shared" ref="C22:C32" ca="1" si="3">C4*$C$17</f>
        <v>0</v>
      </c>
      <c r="D22" s="447">
        <f t="shared" ref="D22:D32" si="4">D4*$D$17</f>
        <v>5402.7679938781266</v>
      </c>
      <c r="E22" s="447">
        <f t="shared" ref="E22:E32" si="5">E4*$E$17</f>
        <v>521.91753845784626</v>
      </c>
      <c r="F22" s="447">
        <f t="shared" ref="F22:F32" si="6">F4*$F$17</f>
        <v>18715.583147880647</v>
      </c>
      <c r="G22" s="447">
        <f t="shared" ref="G22:G32" si="7">G4*$G$17</f>
        <v>0</v>
      </c>
      <c r="H22" s="447">
        <f t="shared" ref="H22:H32" si="8">H4*$H$17</f>
        <v>0</v>
      </c>
      <c r="I22" s="447">
        <f t="shared" ref="I22:I32" si="9">I4*$I$17</f>
        <v>0</v>
      </c>
      <c r="J22" s="447">
        <f t="shared" ref="J22:J32" si="10">J4*$J$17</f>
        <v>450.2399181174755</v>
      </c>
      <c r="K22" s="447">
        <f t="shared" ref="K22:K32" si="11">K4*$K$17</f>
        <v>0</v>
      </c>
      <c r="L22" s="447">
        <f t="shared" ref="L22:L32" si="12">L4*$L$17</f>
        <v>0</v>
      </c>
      <c r="M22" s="447">
        <f t="shared" ref="M22:M32" si="13">M4*$M$17</f>
        <v>0</v>
      </c>
      <c r="N22" s="447">
        <f t="shared" ref="N22:N32" si="14">N4*$N$17</f>
        <v>0</v>
      </c>
      <c r="O22" s="447">
        <f t="shared" ref="O22:O32" si="15">O4*$O$17</f>
        <v>0</v>
      </c>
      <c r="P22" s="965">
        <f t="shared" ref="P22:P32" si="16">P4*$P$17</f>
        <v>0</v>
      </c>
      <c r="Q22" s="449">
        <f ca="1">SUM(B22:P22)</f>
        <v>31959.681229183036</v>
      </c>
    </row>
    <row r="23" spans="1:17">
      <c r="A23" s="446" t="s">
        <v>149</v>
      </c>
      <c r="B23" s="447">
        <f t="shared" ca="1" si="2"/>
        <v>3381.1286776369848</v>
      </c>
      <c r="C23" s="447">
        <f t="shared" ca="1" si="3"/>
        <v>8.0927292805619153</v>
      </c>
      <c r="D23" s="447">
        <f t="shared" ca="1" si="4"/>
        <v>4818.2031289032229</v>
      </c>
      <c r="E23" s="447">
        <f t="shared" si="5"/>
        <v>41.732639389572533</v>
      </c>
      <c r="F23" s="447">
        <f t="shared" ca="1" si="6"/>
        <v>809.42682128932586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9058.5839964996685</v>
      </c>
    </row>
    <row r="24" spans="1:17">
      <c r="A24" s="446" t="s">
        <v>187</v>
      </c>
      <c r="B24" s="447">
        <f t="shared" ca="1" si="2"/>
        <v>270.14807169977257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270.14807169977257</v>
      </c>
    </row>
    <row r="25" spans="1:17">
      <c r="A25" s="446" t="s">
        <v>105</v>
      </c>
      <c r="B25" s="447">
        <f t="shared" ca="1" si="2"/>
        <v>717.07557345974283</v>
      </c>
      <c r="C25" s="447">
        <f t="shared" ca="1" si="3"/>
        <v>5.3442551852767357</v>
      </c>
      <c r="D25" s="447">
        <f t="shared" si="4"/>
        <v>159.08741444538398</v>
      </c>
      <c r="E25" s="447">
        <f t="shared" si="5"/>
        <v>7.5736062033944309</v>
      </c>
      <c r="F25" s="447">
        <f t="shared" si="6"/>
        <v>3009.5634387241057</v>
      </c>
      <c r="G25" s="447">
        <f t="shared" si="7"/>
        <v>0</v>
      </c>
      <c r="H25" s="447">
        <f t="shared" si="8"/>
        <v>0</v>
      </c>
      <c r="I25" s="447">
        <f t="shared" si="9"/>
        <v>0</v>
      </c>
      <c r="J25" s="447">
        <f t="shared" si="10"/>
        <v>119.32555284491011</v>
      </c>
      <c r="K25" s="447">
        <f t="shared" si="11"/>
        <v>0</v>
      </c>
      <c r="L25" s="447">
        <f t="shared" si="12"/>
        <v>0</v>
      </c>
      <c r="M25" s="447">
        <f t="shared" si="13"/>
        <v>0</v>
      </c>
      <c r="N25" s="447">
        <f t="shared" si="14"/>
        <v>0</v>
      </c>
      <c r="O25" s="447">
        <f t="shared" si="15"/>
        <v>0</v>
      </c>
      <c r="P25" s="448">
        <f t="shared" si="16"/>
        <v>0</v>
      </c>
      <c r="Q25" s="446">
        <f t="shared" ca="1" si="17"/>
        <v>4017.9698408628137</v>
      </c>
    </row>
    <row r="26" spans="1:17">
      <c r="A26" s="446" t="s">
        <v>640</v>
      </c>
      <c r="B26" s="447">
        <f t="shared" ca="1" si="2"/>
        <v>29510.118240476888</v>
      </c>
      <c r="C26" s="447">
        <f t="shared" ca="1" si="3"/>
        <v>387.84023344579737</v>
      </c>
      <c r="D26" s="447">
        <f t="shared" si="4"/>
        <v>25443.769645864311</v>
      </c>
      <c r="E26" s="447">
        <f t="shared" si="5"/>
        <v>288.09920967949228</v>
      </c>
      <c r="F26" s="447">
        <f t="shared" si="6"/>
        <v>7335.152738348811</v>
      </c>
      <c r="G26" s="447">
        <f t="shared" si="7"/>
        <v>0</v>
      </c>
      <c r="H26" s="447">
        <f t="shared" si="8"/>
        <v>0</v>
      </c>
      <c r="I26" s="447">
        <f t="shared" si="9"/>
        <v>0</v>
      </c>
      <c r="J26" s="447">
        <f t="shared" si="10"/>
        <v>224.45218178726066</v>
      </c>
      <c r="K26" s="447">
        <f t="shared" si="11"/>
        <v>0</v>
      </c>
      <c r="L26" s="447">
        <f t="shared" si="12"/>
        <v>0</v>
      </c>
      <c r="M26" s="447">
        <f t="shared" si="13"/>
        <v>0</v>
      </c>
      <c r="N26" s="447">
        <f t="shared" si="14"/>
        <v>0</v>
      </c>
      <c r="O26" s="447">
        <f t="shared" si="15"/>
        <v>0</v>
      </c>
      <c r="P26" s="448">
        <f t="shared" si="16"/>
        <v>0</v>
      </c>
      <c r="Q26" s="446">
        <f t="shared" ca="1" si="17"/>
        <v>63189.432249602563</v>
      </c>
    </row>
    <row r="27" spans="1:17" s="452" customFormat="1">
      <c r="A27" s="450" t="s">
        <v>560</v>
      </c>
      <c r="B27" s="723">
        <f t="shared" ca="1" si="2"/>
        <v>2.6184429968484877</v>
      </c>
      <c r="C27" s="451">
        <f t="shared" ca="1" si="3"/>
        <v>0</v>
      </c>
      <c r="D27" s="451">
        <f t="shared" si="4"/>
        <v>2.7600854828206103</v>
      </c>
      <c r="E27" s="451">
        <f t="shared" si="5"/>
        <v>224.82215592457686</v>
      </c>
      <c r="F27" s="451">
        <f t="shared" si="6"/>
        <v>0</v>
      </c>
      <c r="G27" s="451">
        <f t="shared" si="7"/>
        <v>76722.398549277728</v>
      </c>
      <c r="H27" s="451">
        <f t="shared" si="8"/>
        <v>8978.0621187951965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85930.661352477167</v>
      </c>
    </row>
    <row r="28" spans="1:17">
      <c r="A28" s="446" t="s">
        <v>550</v>
      </c>
      <c r="B28" s="447">
        <f t="shared" ca="1" si="2"/>
        <v>0.76383148010786839</v>
      </c>
      <c r="C28" s="447">
        <f t="shared" ca="1" si="3"/>
        <v>0</v>
      </c>
      <c r="D28" s="447">
        <f t="shared" si="4"/>
        <v>0</v>
      </c>
      <c r="E28" s="447">
        <f t="shared" si="5"/>
        <v>0</v>
      </c>
      <c r="F28" s="447">
        <f t="shared" si="6"/>
        <v>0</v>
      </c>
      <c r="G28" s="447">
        <f t="shared" si="7"/>
        <v>191.6522777487819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192.41610922888978</v>
      </c>
    </row>
    <row r="29" spans="1:17">
      <c r="A29" s="446" t="s">
        <v>551</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552</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553</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850</v>
      </c>
      <c r="B32" s="447">
        <f t="shared" ca="1" si="2"/>
        <v>208.49032607140643</v>
      </c>
      <c r="C32" s="447">
        <f t="shared" ca="1" si="3"/>
        <v>0</v>
      </c>
      <c r="D32" s="447">
        <f t="shared" si="4"/>
        <v>172.46044167032417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380.9507677417306</v>
      </c>
    </row>
    <row r="33" spans="1:17" s="459" customFormat="1">
      <c r="A33" s="456" t="s">
        <v>554</v>
      </c>
      <c r="B33" s="457">
        <f ca="1">SUM(B22:B32)</f>
        <v>40959.51579467069</v>
      </c>
      <c r="C33" s="457">
        <f t="shared" ref="C33:Q33" ca="1" si="18">SUM(C22:C32)</f>
        <v>401.277217911636</v>
      </c>
      <c r="D33" s="457">
        <f t="shared" ca="1" si="18"/>
        <v>35999.048710244184</v>
      </c>
      <c r="E33" s="457">
        <f t="shared" si="18"/>
        <v>1084.1451496548825</v>
      </c>
      <c r="F33" s="457">
        <f t="shared" ca="1" si="18"/>
        <v>29869.726146242887</v>
      </c>
      <c r="G33" s="457">
        <f t="shared" si="18"/>
        <v>76914.050827026513</v>
      </c>
      <c r="H33" s="457">
        <f t="shared" si="18"/>
        <v>8978.0621187951965</v>
      </c>
      <c r="I33" s="457">
        <f t="shared" si="18"/>
        <v>0</v>
      </c>
      <c r="J33" s="457">
        <f t="shared" si="18"/>
        <v>794.01765274964623</v>
      </c>
      <c r="K33" s="457">
        <f t="shared" si="18"/>
        <v>0</v>
      </c>
      <c r="L33" s="457">
        <f t="shared" ca="1" si="18"/>
        <v>0</v>
      </c>
      <c r="M33" s="457">
        <f t="shared" si="18"/>
        <v>0</v>
      </c>
      <c r="N33" s="457">
        <f t="shared" ca="1" si="18"/>
        <v>0</v>
      </c>
      <c r="O33" s="457">
        <f t="shared" si="18"/>
        <v>0</v>
      </c>
      <c r="P33" s="457">
        <f t="shared" si="18"/>
        <v>0</v>
      </c>
      <c r="Q33" s="457">
        <f t="shared" ca="1" si="18"/>
        <v>194999.84361729567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activeCell="K8" sqref="K8"/>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73" customFormat="1" ht="21">
      <c r="A1" s="1130" t="s">
        <v>549</v>
      </c>
      <c r="B1" s="1131" t="s">
        <v>808</v>
      </c>
      <c r="C1" s="1131"/>
      <c r="D1" s="1131"/>
      <c r="E1" s="1131"/>
      <c r="F1" s="1131"/>
      <c r="G1" s="1131"/>
      <c r="H1" s="1131"/>
      <c r="I1" s="1131"/>
      <c r="J1" s="1131"/>
      <c r="K1" s="1131"/>
      <c r="L1" s="1131"/>
      <c r="M1" s="1131"/>
      <c r="N1" s="1131"/>
      <c r="O1" s="1131"/>
      <c r="P1" s="1132"/>
      <c r="Q1" s="872"/>
    </row>
    <row r="2" spans="1:17" s="873" customFormat="1" ht="21">
      <c r="A2" s="1130"/>
      <c r="B2" s="1133" t="s">
        <v>20</v>
      </c>
      <c r="C2" s="1135" t="s">
        <v>189</v>
      </c>
      <c r="D2" s="1137" t="s">
        <v>190</v>
      </c>
      <c r="E2" s="1138"/>
      <c r="F2" s="1138"/>
      <c r="G2" s="1138"/>
      <c r="H2" s="1138"/>
      <c r="I2" s="1138"/>
      <c r="J2" s="1138"/>
      <c r="K2" s="1134"/>
      <c r="L2" s="1137" t="s">
        <v>191</v>
      </c>
      <c r="M2" s="1138"/>
      <c r="N2" s="1138"/>
      <c r="O2" s="1138"/>
      <c r="P2" s="1134"/>
      <c r="Q2" s="872"/>
    </row>
    <row r="3" spans="1:17" s="873" customFormat="1" ht="42">
      <c r="A3" s="1130"/>
      <c r="B3" s="1134"/>
      <c r="C3" s="1136"/>
      <c r="D3" s="874" t="s">
        <v>192</v>
      </c>
      <c r="E3" s="874" t="s">
        <v>193</v>
      </c>
      <c r="F3" s="874" t="s">
        <v>194</v>
      </c>
      <c r="G3" s="874" t="s">
        <v>195</v>
      </c>
      <c r="H3" s="874" t="s">
        <v>113</v>
      </c>
      <c r="I3" s="874" t="s">
        <v>196</v>
      </c>
      <c r="J3" s="874" t="s">
        <v>197</v>
      </c>
      <c r="K3" s="874" t="s">
        <v>198</v>
      </c>
      <c r="L3" s="874" t="s">
        <v>199</v>
      </c>
      <c r="M3" s="874" t="s">
        <v>200</v>
      </c>
      <c r="N3" s="874" t="s">
        <v>201</v>
      </c>
      <c r="O3" s="874" t="s">
        <v>202</v>
      </c>
      <c r="P3" s="874" t="s">
        <v>203</v>
      </c>
      <c r="Q3" s="872" t="s">
        <v>109</v>
      </c>
    </row>
    <row r="4" spans="1:17" ht="124.35" customHeight="1">
      <c r="A4" s="875" t="s">
        <v>148</v>
      </c>
      <c r="B4" s="876" t="s">
        <v>809</v>
      </c>
      <c r="C4" s="877" t="s">
        <v>810</v>
      </c>
      <c r="D4" s="878" t="s">
        <v>811</v>
      </c>
      <c r="E4" s="879" t="s">
        <v>812</v>
      </c>
      <c r="F4" s="879" t="s">
        <v>813</v>
      </c>
      <c r="G4" s="880" t="s">
        <v>816</v>
      </c>
      <c r="H4" s="880" t="s">
        <v>816</v>
      </c>
      <c r="I4" s="880" t="s">
        <v>816</v>
      </c>
      <c r="J4" s="879" t="s">
        <v>815</v>
      </c>
      <c r="K4" s="880" t="s">
        <v>816</v>
      </c>
      <c r="L4" s="880" t="s">
        <v>816</v>
      </c>
      <c r="M4" s="880" t="s">
        <v>816</v>
      </c>
      <c r="N4" s="879" t="s">
        <v>817</v>
      </c>
      <c r="O4" s="881" t="s">
        <v>818</v>
      </c>
      <c r="P4" s="882" t="s">
        <v>819</v>
      </c>
      <c r="Q4" s="883"/>
    </row>
    <row r="5" spans="1:17" ht="124.35" customHeight="1">
      <c r="A5" s="884" t="s">
        <v>149</v>
      </c>
      <c r="B5" s="885" t="s">
        <v>820</v>
      </c>
      <c r="C5" s="886" t="s">
        <v>821</v>
      </c>
      <c r="D5" s="886" t="s">
        <v>822</v>
      </c>
      <c r="E5" s="887" t="s">
        <v>823</v>
      </c>
      <c r="F5" s="887" t="s">
        <v>824</v>
      </c>
      <c r="G5" s="888" t="s">
        <v>816</v>
      </c>
      <c r="H5" s="888" t="s">
        <v>816</v>
      </c>
      <c r="I5" s="888" t="s">
        <v>816</v>
      </c>
      <c r="J5" s="887" t="s">
        <v>825</v>
      </c>
      <c r="K5" s="880" t="s">
        <v>816</v>
      </c>
      <c r="L5" s="888" t="s">
        <v>816</v>
      </c>
      <c r="M5" s="888" t="s">
        <v>816</v>
      </c>
      <c r="N5" s="887" t="s">
        <v>826</v>
      </c>
      <c r="O5" s="889" t="s">
        <v>818</v>
      </c>
      <c r="P5" s="890" t="s">
        <v>819</v>
      </c>
      <c r="Q5" s="891"/>
    </row>
    <row r="6" spans="1:17" ht="124.35" customHeight="1">
      <c r="A6" s="884" t="s">
        <v>187</v>
      </c>
      <c r="B6" s="892" t="s">
        <v>827</v>
      </c>
      <c r="C6" s="893" t="s">
        <v>814</v>
      </c>
      <c r="D6" s="888" t="s">
        <v>814</v>
      </c>
      <c r="E6" s="888" t="s">
        <v>814</v>
      </c>
      <c r="F6" s="888" t="s">
        <v>814</v>
      </c>
      <c r="G6" s="888" t="s">
        <v>814</v>
      </c>
      <c r="H6" s="888" t="s">
        <v>814</v>
      </c>
      <c r="I6" s="888" t="s">
        <v>814</v>
      </c>
      <c r="J6" s="888" t="s">
        <v>814</v>
      </c>
      <c r="K6" s="888" t="s">
        <v>814</v>
      </c>
      <c r="L6" s="888" t="s">
        <v>814</v>
      </c>
      <c r="M6" s="888" t="s">
        <v>814</v>
      </c>
      <c r="N6" s="888" t="s">
        <v>814</v>
      </c>
      <c r="O6" s="894" t="s">
        <v>814</v>
      </c>
      <c r="P6" s="895" t="s">
        <v>814</v>
      </c>
      <c r="Q6" s="896"/>
    </row>
    <row r="7" spans="1:17" ht="124.35" customHeight="1">
      <c r="A7" s="884" t="s">
        <v>105</v>
      </c>
      <c r="B7" s="892" t="s">
        <v>827</v>
      </c>
      <c r="C7" s="886" t="s">
        <v>821</v>
      </c>
      <c r="D7" s="886" t="s">
        <v>822</v>
      </c>
      <c r="E7" s="887" t="s">
        <v>823</v>
      </c>
      <c r="F7" s="887" t="s">
        <v>824</v>
      </c>
      <c r="G7" s="888" t="s">
        <v>816</v>
      </c>
      <c r="H7" s="888" t="s">
        <v>816</v>
      </c>
      <c r="I7" s="888" t="s">
        <v>816</v>
      </c>
      <c r="J7" s="887" t="s">
        <v>825</v>
      </c>
      <c r="K7" s="888" t="s">
        <v>816</v>
      </c>
      <c r="L7" s="888" t="s">
        <v>816</v>
      </c>
      <c r="M7" s="888" t="s">
        <v>816</v>
      </c>
      <c r="N7" s="897" t="s">
        <v>816</v>
      </c>
      <c r="O7" s="893" t="s">
        <v>816</v>
      </c>
      <c r="P7" s="898" t="s">
        <v>816</v>
      </c>
      <c r="Q7" s="891"/>
    </row>
    <row r="8" spans="1:17" ht="124.35" customHeight="1">
      <c r="A8" s="884" t="s">
        <v>640</v>
      </c>
      <c r="B8" s="885" t="s">
        <v>828</v>
      </c>
      <c r="C8" s="886" t="s">
        <v>821</v>
      </c>
      <c r="D8" s="886" t="s">
        <v>822</v>
      </c>
      <c r="E8" s="887" t="s">
        <v>823</v>
      </c>
      <c r="F8" s="887" t="s">
        <v>824</v>
      </c>
      <c r="G8" s="888" t="s">
        <v>816</v>
      </c>
      <c r="H8" s="888" t="s">
        <v>816</v>
      </c>
      <c r="I8" s="888" t="s">
        <v>816</v>
      </c>
      <c r="J8" s="887" t="s">
        <v>825</v>
      </c>
      <c r="K8" s="880" t="s">
        <v>816</v>
      </c>
      <c r="L8" s="888" t="s">
        <v>816</v>
      </c>
      <c r="M8" s="888" t="s">
        <v>816</v>
      </c>
      <c r="N8" s="887" t="s">
        <v>826</v>
      </c>
      <c r="O8" s="889" t="s">
        <v>818</v>
      </c>
      <c r="P8" s="890" t="s">
        <v>819</v>
      </c>
      <c r="Q8" s="891"/>
    </row>
    <row r="9" spans="1:17" s="452" customFormat="1" ht="124.35" customHeight="1">
      <c r="A9" s="899" t="s">
        <v>560</v>
      </c>
      <c r="B9" s="887" t="s">
        <v>829</v>
      </c>
      <c r="C9" s="894" t="s">
        <v>814</v>
      </c>
      <c r="D9" s="887" t="s">
        <v>830</v>
      </c>
      <c r="E9" s="887" t="s">
        <v>831</v>
      </c>
      <c r="F9" s="888" t="s">
        <v>814</v>
      </c>
      <c r="G9" s="887" t="s">
        <v>832</v>
      </c>
      <c r="H9" s="887" t="s">
        <v>833</v>
      </c>
      <c r="I9" s="888" t="s">
        <v>814</v>
      </c>
      <c r="J9" s="888" t="s">
        <v>814</v>
      </c>
      <c r="K9" s="888" t="s">
        <v>814</v>
      </c>
      <c r="L9" s="888" t="s">
        <v>814</v>
      </c>
      <c r="M9" s="887" t="s">
        <v>829</v>
      </c>
      <c r="N9" s="888" t="s">
        <v>814</v>
      </c>
      <c r="O9" s="888" t="s">
        <v>814</v>
      </c>
      <c r="P9" s="900" t="s">
        <v>814</v>
      </c>
      <c r="Q9" s="901"/>
    </row>
    <row r="10" spans="1:17" ht="124.35" customHeight="1">
      <c r="A10" s="884" t="s">
        <v>550</v>
      </c>
      <c r="B10" s="885" t="s">
        <v>841</v>
      </c>
      <c r="C10" s="894" t="s">
        <v>814</v>
      </c>
      <c r="D10" s="894" t="s">
        <v>814</v>
      </c>
      <c r="E10" s="894" t="s">
        <v>814</v>
      </c>
      <c r="F10" s="888" t="s">
        <v>814</v>
      </c>
      <c r="G10" s="885" t="s">
        <v>834</v>
      </c>
      <c r="H10" s="888" t="s">
        <v>814</v>
      </c>
      <c r="I10" s="888" t="s">
        <v>814</v>
      </c>
      <c r="J10" s="888" t="s">
        <v>814</v>
      </c>
      <c r="K10" s="888" t="s">
        <v>814</v>
      </c>
      <c r="L10" s="888" t="s">
        <v>814</v>
      </c>
      <c r="M10" s="885" t="s">
        <v>835</v>
      </c>
      <c r="N10" s="888" t="s">
        <v>814</v>
      </c>
      <c r="O10" s="888" t="s">
        <v>814</v>
      </c>
      <c r="P10" s="900" t="s">
        <v>814</v>
      </c>
      <c r="Q10" s="891"/>
    </row>
    <row r="11" spans="1:17" ht="21">
      <c r="A11" s="884" t="s">
        <v>551</v>
      </c>
      <c r="B11" s="902" t="s">
        <v>836</v>
      </c>
      <c r="C11" s="902" t="s">
        <v>836</v>
      </c>
      <c r="D11" s="902" t="s">
        <v>836</v>
      </c>
      <c r="E11" s="902" t="s">
        <v>836</v>
      </c>
      <c r="F11" s="902" t="s">
        <v>836</v>
      </c>
      <c r="G11" s="902" t="s">
        <v>836</v>
      </c>
      <c r="H11" s="902" t="s">
        <v>836</v>
      </c>
      <c r="I11" s="902" t="s">
        <v>836</v>
      </c>
      <c r="J11" s="902" t="s">
        <v>836</v>
      </c>
      <c r="K11" s="902" t="s">
        <v>836</v>
      </c>
      <c r="L11" s="902" t="s">
        <v>836</v>
      </c>
      <c r="M11" s="902" t="s">
        <v>836</v>
      </c>
      <c r="N11" s="902" t="s">
        <v>836</v>
      </c>
      <c r="O11" s="902" t="s">
        <v>836</v>
      </c>
      <c r="P11" s="972" t="s">
        <v>836</v>
      </c>
      <c r="Q11" s="973"/>
    </row>
    <row r="12" spans="1:17" ht="21">
      <c r="A12" s="884" t="s">
        <v>552</v>
      </c>
      <c r="B12" s="902" t="s">
        <v>836</v>
      </c>
      <c r="C12" s="902" t="s">
        <v>814</v>
      </c>
      <c r="D12" s="902" t="s">
        <v>814</v>
      </c>
      <c r="E12" s="902" t="s">
        <v>814</v>
      </c>
      <c r="F12" s="902" t="s">
        <v>814</v>
      </c>
      <c r="G12" s="902" t="s">
        <v>814</v>
      </c>
      <c r="H12" s="902" t="s">
        <v>814</v>
      </c>
      <c r="I12" s="902" t="s">
        <v>814</v>
      </c>
      <c r="J12" s="902" t="s">
        <v>814</v>
      </c>
      <c r="K12" s="902" t="s">
        <v>814</v>
      </c>
      <c r="L12" s="902" t="s">
        <v>814</v>
      </c>
      <c r="M12" s="902" t="s">
        <v>814</v>
      </c>
      <c r="N12" s="902" t="s">
        <v>814</v>
      </c>
      <c r="O12" s="902" t="s">
        <v>814</v>
      </c>
      <c r="P12" s="972" t="s">
        <v>814</v>
      </c>
      <c r="Q12" s="446"/>
    </row>
    <row r="13" spans="1:17" ht="21">
      <c r="A13" s="884" t="s">
        <v>553</v>
      </c>
      <c r="B13" s="902" t="s">
        <v>836</v>
      </c>
      <c r="C13" s="902" t="s">
        <v>814</v>
      </c>
      <c r="D13" s="902" t="s">
        <v>836</v>
      </c>
      <c r="E13" s="902" t="s">
        <v>836</v>
      </c>
      <c r="F13" s="902" t="s">
        <v>814</v>
      </c>
      <c r="G13" s="902" t="s">
        <v>836</v>
      </c>
      <c r="H13" s="902" t="s">
        <v>836</v>
      </c>
      <c r="I13" s="902" t="s">
        <v>814</v>
      </c>
      <c r="J13" s="902" t="s">
        <v>814</v>
      </c>
      <c r="K13" s="902" t="s">
        <v>814</v>
      </c>
      <c r="L13" s="902" t="s">
        <v>814</v>
      </c>
      <c r="M13" s="902" t="s">
        <v>836</v>
      </c>
      <c r="N13" s="902" t="s">
        <v>814</v>
      </c>
      <c r="O13" s="902" t="s">
        <v>814</v>
      </c>
      <c r="P13" s="972" t="s">
        <v>814</v>
      </c>
      <c r="Q13" s="446"/>
    </row>
    <row r="14" spans="1:17" ht="30">
      <c r="A14" s="903" t="s">
        <v>850</v>
      </c>
      <c r="B14" s="892" t="s">
        <v>827</v>
      </c>
      <c r="C14" s="902" t="s">
        <v>814</v>
      </c>
      <c r="D14" s="892" t="s">
        <v>827</v>
      </c>
      <c r="E14" s="902" t="s">
        <v>814</v>
      </c>
      <c r="F14" s="902" t="s">
        <v>814</v>
      </c>
      <c r="G14" s="902" t="s">
        <v>814</v>
      </c>
      <c r="H14" s="902" t="s">
        <v>814</v>
      </c>
      <c r="I14" s="902" t="s">
        <v>814</v>
      </c>
      <c r="J14" s="902" t="s">
        <v>814</v>
      </c>
      <c r="K14" s="902" t="s">
        <v>814</v>
      </c>
      <c r="L14" s="902" t="s">
        <v>814</v>
      </c>
      <c r="M14" s="902" t="s">
        <v>814</v>
      </c>
      <c r="N14" s="902" t="s">
        <v>814</v>
      </c>
      <c r="O14" s="902" t="s">
        <v>814</v>
      </c>
      <c r="P14" s="902" t="s">
        <v>814</v>
      </c>
      <c r="Q14" s="974"/>
    </row>
    <row r="15" spans="1:17" s="459" customFormat="1" ht="21">
      <c r="A15" s="904" t="s">
        <v>554</v>
      </c>
      <c r="B15" s="457"/>
      <c r="C15" s="457"/>
      <c r="D15" s="457"/>
      <c r="E15" s="457"/>
      <c r="F15" s="457"/>
      <c r="G15" s="457"/>
      <c r="H15" s="457"/>
      <c r="I15" s="457"/>
      <c r="J15" s="457"/>
      <c r="K15" s="457"/>
      <c r="L15" s="457"/>
      <c r="M15" s="905"/>
      <c r="N15" s="457"/>
      <c r="O15" s="457"/>
      <c r="P15" s="458"/>
      <c r="Q15" s="906"/>
    </row>
    <row r="16" spans="1:17">
      <c r="M16" s="907"/>
    </row>
    <row r="17" spans="1:4">
      <c r="B17" s="908">
        <v>1</v>
      </c>
      <c r="C17" s="909">
        <v>2</v>
      </c>
      <c r="D17" s="910">
        <v>3</v>
      </c>
    </row>
    <row r="18" spans="1:4" ht="252">
      <c r="A18" s="911" t="s">
        <v>837</v>
      </c>
      <c r="B18" s="912" t="s">
        <v>838</v>
      </c>
      <c r="C18" s="913" t="s">
        <v>839</v>
      </c>
      <c r="D18" s="914" t="s">
        <v>840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40" bestFit="1" customWidth="1"/>
    <col min="2" max="2" width="27" style="840" customWidth="1"/>
    <col min="3" max="3" width="30.42578125" style="840" customWidth="1"/>
    <col min="4" max="4" width="9.140625" style="840"/>
    <col min="5" max="5" width="15" style="840" customWidth="1"/>
    <col min="6" max="6" width="17" style="840" customWidth="1"/>
    <col min="7" max="7" width="18.140625" style="840" customWidth="1"/>
    <col min="8" max="8" width="16.140625" style="840" customWidth="1"/>
    <col min="9" max="15" width="9.140625" style="840"/>
    <col min="16" max="16" width="26.4257812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60">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c r="A4" s="976" t="s">
        <v>238</v>
      </c>
      <c r="B4" s="977">
        <f>'SEAP template'!B72</f>
        <v>0</v>
      </c>
      <c r="C4" s="977"/>
      <c r="D4" s="977"/>
      <c r="E4" s="977"/>
      <c r="F4" s="977"/>
      <c r="G4" s="977"/>
      <c r="H4" s="977"/>
      <c r="I4" s="977"/>
      <c r="J4" s="977"/>
      <c r="K4" s="977"/>
      <c r="L4" s="977"/>
      <c r="M4" s="977"/>
      <c r="N4" s="977"/>
      <c r="O4" s="977"/>
      <c r="P4" s="978">
        <f>'SEAP template'!Q72</f>
        <v>0</v>
      </c>
    </row>
    <row r="5" spans="1:16">
      <c r="A5" s="979" t="s">
        <v>239</v>
      </c>
      <c r="B5" s="977">
        <f>'SEAP template'!B73</f>
        <v>0</v>
      </c>
      <c r="C5" s="977"/>
      <c r="D5" s="977"/>
      <c r="E5" s="977"/>
      <c r="F5" s="977"/>
      <c r="G5" s="977"/>
      <c r="H5" s="977"/>
      <c r="I5" s="977"/>
      <c r="J5" s="977"/>
      <c r="K5" s="977"/>
      <c r="L5" s="977"/>
      <c r="M5" s="977"/>
      <c r="N5" s="977"/>
      <c r="O5" s="977"/>
      <c r="P5" s="978">
        <f>'SEAP template'!Q73</f>
        <v>0</v>
      </c>
    </row>
    <row r="6" spans="1:16">
      <c r="A6" s="979" t="s">
        <v>240</v>
      </c>
      <c r="B6" s="977">
        <f>'SEAP template'!B74</f>
        <v>7734.5460861705533</v>
      </c>
      <c r="C6" s="977"/>
      <c r="D6" s="977"/>
      <c r="E6" s="977"/>
      <c r="F6" s="977"/>
      <c r="G6" s="977"/>
      <c r="H6" s="977"/>
      <c r="I6" s="977"/>
      <c r="J6" s="977"/>
      <c r="K6" s="977"/>
      <c r="L6" s="977"/>
      <c r="M6" s="977"/>
      <c r="N6" s="977"/>
      <c r="O6" s="977"/>
      <c r="P6" s="978">
        <f>'SEAP template'!Q74</f>
        <v>0</v>
      </c>
    </row>
    <row r="7" spans="1:16">
      <c r="A7" s="979" t="s">
        <v>844</v>
      </c>
      <c r="B7" s="977">
        <f>'SEAP template'!B75</f>
        <v>0</v>
      </c>
      <c r="C7" s="977"/>
      <c r="D7" s="977"/>
      <c r="E7" s="977"/>
      <c r="F7" s="977"/>
      <c r="G7" s="977"/>
      <c r="H7" s="977"/>
      <c r="I7" s="977"/>
      <c r="J7" s="977"/>
      <c r="K7" s="977"/>
      <c r="L7" s="977"/>
      <c r="M7" s="977"/>
      <c r="N7" s="977"/>
      <c r="O7" s="977"/>
      <c r="P7" s="978">
        <f>'SEAP template'!Q75</f>
        <v>0</v>
      </c>
    </row>
    <row r="8" spans="1:16">
      <c r="A8" s="976" t="s">
        <v>241</v>
      </c>
      <c r="B8" s="977">
        <f>'SEAP template'!B76</f>
        <v>0</v>
      </c>
      <c r="C8" s="977">
        <f>'SEAP template'!C76</f>
        <v>1171.3499999999999</v>
      </c>
      <c r="D8" s="977">
        <f>'SEAP template'!D76</f>
        <v>1377.3362621064696</v>
      </c>
      <c r="E8" s="977">
        <f>'SEAP template'!E76</f>
        <v>0</v>
      </c>
      <c r="F8" s="977">
        <f>'SEAP template'!F76</f>
        <v>0</v>
      </c>
      <c r="G8" s="977">
        <f>'SEAP template'!G76</f>
        <v>0</v>
      </c>
      <c r="H8" s="977">
        <f>'SEAP template'!H76</f>
        <v>0</v>
      </c>
      <c r="I8" s="977">
        <f>'SEAP template'!I76</f>
        <v>0</v>
      </c>
      <c r="J8" s="977">
        <f>'SEAP template'!J76</f>
        <v>0</v>
      </c>
      <c r="K8" s="977">
        <f>'SEAP template'!K76</f>
        <v>0</v>
      </c>
      <c r="L8" s="977">
        <f>'SEAP template'!L76</f>
        <v>0</v>
      </c>
      <c r="M8" s="977">
        <f>'SEAP template'!M76</f>
        <v>0</v>
      </c>
      <c r="N8" s="977">
        <f>'SEAP template'!N76</f>
        <v>0</v>
      </c>
      <c r="O8" s="977">
        <f>'SEAP template'!O76</f>
        <v>0</v>
      </c>
      <c r="P8" s="978">
        <f>'SEAP template'!Q76</f>
        <v>278.22192494550688</v>
      </c>
    </row>
    <row r="9" spans="1:16">
      <c r="A9" s="980" t="s">
        <v>859</v>
      </c>
      <c r="B9" s="977">
        <f>'SEAP template'!B77</f>
        <v>0</v>
      </c>
      <c r="C9" s="977">
        <f>'SEAP template'!C77</f>
        <v>0</v>
      </c>
      <c r="D9" s="977">
        <f>'SEAP template'!D77</f>
        <v>0</v>
      </c>
      <c r="E9" s="977">
        <f>'SEAP template'!E77</f>
        <v>0</v>
      </c>
      <c r="F9" s="977">
        <f>'SEAP template'!F77</f>
        <v>0</v>
      </c>
      <c r="G9" s="977">
        <f>'SEAP template'!G77</f>
        <v>0</v>
      </c>
      <c r="H9" s="977">
        <f>'SEAP template'!H77</f>
        <v>0</v>
      </c>
      <c r="I9" s="977">
        <f>'SEAP template'!I77</f>
        <v>0</v>
      </c>
      <c r="J9" s="977">
        <f>'SEAP template'!J77</f>
        <v>0</v>
      </c>
      <c r="K9" s="977">
        <f>'SEAP template'!K77</f>
        <v>0</v>
      </c>
      <c r="L9" s="977">
        <f>'SEAP template'!L77</f>
        <v>0</v>
      </c>
      <c r="M9" s="977">
        <f>'SEAP template'!M77</f>
        <v>0</v>
      </c>
      <c r="N9" s="977">
        <f>'SEAP template'!N77</f>
        <v>0</v>
      </c>
      <c r="O9" s="977">
        <f>'SEAP template'!O77</f>
        <v>0</v>
      </c>
      <c r="P9" s="978">
        <f>'SEAP template'!Q77</f>
        <v>0</v>
      </c>
    </row>
    <row r="10" spans="1:16">
      <c r="A10" s="979" t="s">
        <v>109</v>
      </c>
      <c r="B10" s="981">
        <f>SUM(B4:B9)</f>
        <v>7734.5460861705533</v>
      </c>
      <c r="C10" s="981">
        <f>SUM(C4:C9)</f>
        <v>1171.3499999999999</v>
      </c>
      <c r="D10" s="981">
        <f t="shared" ref="D10:H10" si="0">SUM(D8:D9)</f>
        <v>1377.3362621064696</v>
      </c>
      <c r="E10" s="981">
        <f t="shared" si="0"/>
        <v>0</v>
      </c>
      <c r="F10" s="981">
        <f t="shared" si="0"/>
        <v>0</v>
      </c>
      <c r="G10" s="981">
        <f t="shared" si="0"/>
        <v>0</v>
      </c>
      <c r="H10" s="981">
        <f t="shared" si="0"/>
        <v>0</v>
      </c>
      <c r="I10" s="981">
        <f>SUM(I8:I9)</f>
        <v>0</v>
      </c>
      <c r="J10" s="981">
        <f>SUM(J8:J9)</f>
        <v>0</v>
      </c>
      <c r="K10" s="981">
        <f t="shared" ref="K10:L10" si="1">SUM(K8:K9)</f>
        <v>0</v>
      </c>
      <c r="L10" s="981">
        <f t="shared" si="1"/>
        <v>0</v>
      </c>
      <c r="M10" s="981">
        <f>SUM(M8:M9)</f>
        <v>0</v>
      </c>
      <c r="N10" s="981">
        <f>SUM(N8:N9)</f>
        <v>0</v>
      </c>
      <c r="O10" s="981">
        <f>SUM(O8:O9)</f>
        <v>0</v>
      </c>
      <c r="P10" s="981">
        <f>SUM(P8:P9)</f>
        <v>278.22192494550688</v>
      </c>
    </row>
    <row r="11" spans="1:16">
      <c r="A11" s="982"/>
      <c r="B11" s="982"/>
      <c r="C11" s="982"/>
      <c r="D11" s="982"/>
      <c r="E11" s="982"/>
      <c r="F11" s="982"/>
      <c r="G11" s="982"/>
      <c r="H11" s="982"/>
      <c r="I11" s="982"/>
      <c r="J11" s="982"/>
      <c r="K11" s="982"/>
      <c r="L11" s="982"/>
      <c r="M11" s="982"/>
      <c r="N11" s="982"/>
      <c r="O11" s="982"/>
      <c r="P11" s="982"/>
    </row>
    <row r="12" spans="1:16">
      <c r="A12" s="460" t="s">
        <v>860</v>
      </c>
      <c r="B12" s="729" t="s">
        <v>861</v>
      </c>
      <c r="C12" s="729">
        <f ca="1">'EF ele_warmte'!B12</f>
        <v>0.21224290196984863</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c r="A17" s="983" t="s">
        <v>241</v>
      </c>
      <c r="B17" s="984">
        <f>'SEAP template'!B87</f>
        <v>0</v>
      </c>
      <c r="C17" s="984">
        <f>'SEAP template'!C87</f>
        <v>1689.4285714285716</v>
      </c>
      <c r="D17" s="978">
        <f>'SEAP template'!D87</f>
        <v>1986.5208807506735</v>
      </c>
      <c r="E17" s="978">
        <f>'SEAP template'!E87</f>
        <v>0</v>
      </c>
      <c r="F17" s="978">
        <f>'SEAP template'!F87</f>
        <v>0</v>
      </c>
      <c r="G17" s="978">
        <f>'SEAP template'!G87</f>
        <v>0</v>
      </c>
      <c r="H17" s="978">
        <f>'SEAP template'!H87</f>
        <v>0</v>
      </c>
      <c r="I17" s="978">
        <f>'SEAP template'!I87</f>
        <v>0</v>
      </c>
      <c r="J17" s="978">
        <f>'SEAP template'!J87</f>
        <v>0</v>
      </c>
      <c r="K17" s="978">
        <f>'SEAP template'!K87</f>
        <v>0</v>
      </c>
      <c r="L17" s="978">
        <f>'SEAP template'!L87</f>
        <v>0</v>
      </c>
      <c r="M17" s="978">
        <f>'SEAP template'!M87</f>
        <v>0</v>
      </c>
      <c r="N17" s="978">
        <f>'SEAP template'!N87</f>
        <v>0</v>
      </c>
      <c r="O17" s="978">
        <f>'SEAP template'!O87</f>
        <v>0</v>
      </c>
      <c r="P17" s="978">
        <f>'SEAP template'!Q87</f>
        <v>401.27721791163606</v>
      </c>
    </row>
    <row r="18" spans="1:16">
      <c r="A18" s="985" t="s">
        <v>247</v>
      </c>
      <c r="B18" s="984">
        <f>'SEAP template'!B88</f>
        <v>0</v>
      </c>
      <c r="C18" s="984">
        <f>'SEAP template'!C88</f>
        <v>0</v>
      </c>
      <c r="D18" s="978">
        <f>'SEAP template'!D88</f>
        <v>0</v>
      </c>
      <c r="E18" s="978">
        <f>'SEAP template'!E88</f>
        <v>0</v>
      </c>
      <c r="F18" s="978">
        <f>'SEAP template'!F88</f>
        <v>0</v>
      </c>
      <c r="G18" s="978">
        <f>'SEAP template'!G88</f>
        <v>0</v>
      </c>
      <c r="H18" s="978">
        <f>'SEAP template'!H88</f>
        <v>0</v>
      </c>
      <c r="I18" s="978">
        <f>'SEAP template'!I88</f>
        <v>0</v>
      </c>
      <c r="J18" s="978">
        <f>'SEAP template'!J88</f>
        <v>0</v>
      </c>
      <c r="K18" s="978">
        <f>'SEAP template'!K88</f>
        <v>0</v>
      </c>
      <c r="L18" s="978">
        <f>'SEAP template'!L88</f>
        <v>0</v>
      </c>
      <c r="M18" s="978">
        <f>'SEAP template'!M88</f>
        <v>0</v>
      </c>
      <c r="N18" s="978">
        <f>'SEAP template'!N88</f>
        <v>0</v>
      </c>
      <c r="O18" s="978">
        <f>'SEAP template'!O88</f>
        <v>0</v>
      </c>
      <c r="P18" s="978">
        <f>'SEAP template'!Q88</f>
        <v>0</v>
      </c>
    </row>
    <row r="19" spans="1:16">
      <c r="A19" s="980" t="s">
        <v>866</v>
      </c>
      <c r="B19" s="984">
        <f>'SEAP template'!B89</f>
        <v>0</v>
      </c>
      <c r="C19" s="984">
        <f>'SEAP template'!C89</f>
        <v>0</v>
      </c>
      <c r="D19" s="978">
        <f>'SEAP template'!D89</f>
        <v>0</v>
      </c>
      <c r="E19" s="978">
        <f>'SEAP template'!E89</f>
        <v>0</v>
      </c>
      <c r="F19" s="978">
        <f>'SEAP template'!F89</f>
        <v>0</v>
      </c>
      <c r="G19" s="978">
        <f>'SEAP template'!G89</f>
        <v>0</v>
      </c>
      <c r="H19" s="978">
        <f>'SEAP template'!H89</f>
        <v>0</v>
      </c>
      <c r="I19" s="978">
        <f>'SEAP template'!I89</f>
        <v>0</v>
      </c>
      <c r="J19" s="978">
        <f>'SEAP template'!J89</f>
        <v>0</v>
      </c>
      <c r="K19" s="978">
        <f>'SEAP template'!K89</f>
        <v>0</v>
      </c>
      <c r="L19" s="978">
        <f>'SEAP template'!L89</f>
        <v>0</v>
      </c>
      <c r="M19" s="978">
        <f>'SEAP template'!M89</f>
        <v>0</v>
      </c>
      <c r="N19" s="978">
        <f>'SEAP template'!N89</f>
        <v>0</v>
      </c>
      <c r="O19" s="978">
        <f>'SEAP template'!O89</f>
        <v>0</v>
      </c>
      <c r="P19" s="978">
        <f>'SEAP template'!Q89</f>
        <v>0</v>
      </c>
    </row>
    <row r="20" spans="1:16">
      <c r="A20" s="986" t="s">
        <v>109</v>
      </c>
      <c r="B20" s="981">
        <f>SUM(B17:B19)</f>
        <v>0</v>
      </c>
      <c r="C20" s="981">
        <f>SUM(C17:C19)</f>
        <v>1689.4285714285716</v>
      </c>
      <c r="D20" s="981">
        <f t="shared" ref="D20:H20" si="2">SUM(D17:D19)</f>
        <v>1986.5208807506735</v>
      </c>
      <c r="E20" s="981">
        <f t="shared" si="2"/>
        <v>0</v>
      </c>
      <c r="F20" s="981">
        <f t="shared" si="2"/>
        <v>0</v>
      </c>
      <c r="G20" s="981">
        <f t="shared" si="2"/>
        <v>0</v>
      </c>
      <c r="H20" s="981">
        <f t="shared" si="2"/>
        <v>0</v>
      </c>
      <c r="I20" s="981">
        <f>SUM(I17:I19)</f>
        <v>0</v>
      </c>
      <c r="J20" s="981">
        <f>SUM(J17:J19)</f>
        <v>0</v>
      </c>
      <c r="K20" s="981">
        <f t="shared" ref="K20:L20" si="3">SUM(K17:K19)</f>
        <v>0</v>
      </c>
      <c r="L20" s="981">
        <f t="shared" si="3"/>
        <v>0</v>
      </c>
      <c r="M20" s="981">
        <f>SUM(M17:M19)</f>
        <v>0</v>
      </c>
      <c r="N20" s="981">
        <f>SUM(N17:N19)</f>
        <v>0</v>
      </c>
      <c r="O20" s="981">
        <f>SUM(O17:O19)</f>
        <v>0</v>
      </c>
      <c r="P20" s="981">
        <f>SUM(P17:P19)</f>
        <v>401.27721791163606</v>
      </c>
    </row>
    <row r="22" spans="1:16">
      <c r="A22" s="460" t="s">
        <v>867</v>
      </c>
      <c r="B22" s="729" t="s">
        <v>861</v>
      </c>
      <c r="C22" s="729">
        <f ca="1">'EF ele_warmte'!B22</f>
        <v>0.23752245267896602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topLeftCell="A5" workbookViewId="0">
      <selection activeCell="D5" sqref="D5"/>
    </sheetView>
  </sheetViews>
  <sheetFormatPr defaultColWidth="9.140625" defaultRowHeight="15"/>
  <cols>
    <col min="1" max="1" width="49.5703125" style="840" customWidth="1"/>
    <col min="2" max="2" width="23.5703125" style="840" customWidth="1"/>
    <col min="3" max="3" width="25.28515625" style="840" customWidth="1"/>
    <col min="4" max="10" width="18.42578125" style="840" bestFit="1" customWidth="1"/>
    <col min="11" max="11" width="24.28515625" style="840" bestFit="1" customWidth="1"/>
    <col min="12" max="12" width="22.42578125" style="840" bestFit="1" customWidth="1"/>
    <col min="13" max="13" width="18.42578125" style="840" bestFit="1" customWidth="1"/>
    <col min="14" max="14" width="28.42578125" style="840" bestFit="1" customWidth="1"/>
    <col min="15" max="15" width="18.42578125" style="840" bestFit="1" customWidth="1"/>
    <col min="16" max="16" width="16.710937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15.75">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ht="135">
      <c r="A4" s="987" t="s">
        <v>238</v>
      </c>
      <c r="B4" s="988" t="s">
        <v>927</v>
      </c>
      <c r="C4" s="989" t="s">
        <v>814</v>
      </c>
      <c r="D4" s="989" t="s">
        <v>814</v>
      </c>
      <c r="E4" s="989" t="s">
        <v>814</v>
      </c>
      <c r="F4" s="989" t="s">
        <v>814</v>
      </c>
      <c r="G4" s="989" t="s">
        <v>814</v>
      </c>
      <c r="H4" s="989" t="s">
        <v>814</v>
      </c>
      <c r="I4" s="989" t="s">
        <v>814</v>
      </c>
      <c r="J4" s="989" t="s">
        <v>814</v>
      </c>
      <c r="K4" s="989" t="s">
        <v>814</v>
      </c>
      <c r="L4" s="989" t="s">
        <v>814</v>
      </c>
      <c r="M4" s="989" t="s">
        <v>814</v>
      </c>
      <c r="N4" s="989" t="s">
        <v>814</v>
      </c>
      <c r="O4" s="989" t="s">
        <v>814</v>
      </c>
      <c r="P4" s="990" t="s">
        <v>868</v>
      </c>
    </row>
    <row r="5" spans="1:16" ht="135">
      <c r="A5" s="991" t="s">
        <v>239</v>
      </c>
      <c r="B5" s="988" t="s">
        <v>927</v>
      </c>
      <c r="C5" s="989" t="s">
        <v>814</v>
      </c>
      <c r="D5" s="989" t="s">
        <v>814</v>
      </c>
      <c r="E5" s="989" t="s">
        <v>814</v>
      </c>
      <c r="F5" s="989" t="s">
        <v>814</v>
      </c>
      <c r="G5" s="989" t="s">
        <v>814</v>
      </c>
      <c r="H5" s="989" t="s">
        <v>814</v>
      </c>
      <c r="I5" s="989" t="s">
        <v>814</v>
      </c>
      <c r="J5" s="989" t="s">
        <v>814</v>
      </c>
      <c r="K5" s="989" t="s">
        <v>814</v>
      </c>
      <c r="L5" s="989" t="s">
        <v>814</v>
      </c>
      <c r="M5" s="989" t="s">
        <v>814</v>
      </c>
      <c r="N5" s="989" t="s">
        <v>814</v>
      </c>
      <c r="O5" s="989" t="s">
        <v>814</v>
      </c>
      <c r="P5" s="990" t="s">
        <v>868</v>
      </c>
    </row>
    <row r="6" spans="1:16" ht="135">
      <c r="A6" s="991" t="s">
        <v>240</v>
      </c>
      <c r="B6" s="988" t="s">
        <v>927</v>
      </c>
      <c r="C6" s="989" t="s">
        <v>814</v>
      </c>
      <c r="D6" s="989" t="s">
        <v>814</v>
      </c>
      <c r="E6" s="989" t="s">
        <v>814</v>
      </c>
      <c r="F6" s="989" t="s">
        <v>814</v>
      </c>
      <c r="G6" s="989" t="s">
        <v>814</v>
      </c>
      <c r="H6" s="989" t="s">
        <v>814</v>
      </c>
      <c r="I6" s="989" t="s">
        <v>814</v>
      </c>
      <c r="J6" s="989" t="s">
        <v>814</v>
      </c>
      <c r="K6" s="989" t="s">
        <v>814</v>
      </c>
      <c r="L6" s="989" t="s">
        <v>814</v>
      </c>
      <c r="M6" s="989" t="s">
        <v>814</v>
      </c>
      <c r="N6" s="989" t="s">
        <v>814</v>
      </c>
      <c r="O6" s="989" t="s">
        <v>814</v>
      </c>
      <c r="P6" s="990" t="s">
        <v>868</v>
      </c>
    </row>
    <row r="7" spans="1:16" ht="135">
      <c r="A7" s="991" t="s">
        <v>844</v>
      </c>
      <c r="B7" s="989" t="s">
        <v>814</v>
      </c>
      <c r="C7" s="989" t="s">
        <v>814</v>
      </c>
      <c r="D7" s="989" t="s">
        <v>814</v>
      </c>
      <c r="E7" s="989" t="s">
        <v>814</v>
      </c>
      <c r="F7" s="989" t="s">
        <v>814</v>
      </c>
      <c r="G7" s="989" t="s">
        <v>814</v>
      </c>
      <c r="H7" s="989" t="s">
        <v>814</v>
      </c>
      <c r="I7" s="989" t="s">
        <v>814</v>
      </c>
      <c r="J7" s="989" t="s">
        <v>814</v>
      </c>
      <c r="K7" s="989" t="s">
        <v>814</v>
      </c>
      <c r="L7" s="989" t="s">
        <v>814</v>
      </c>
      <c r="M7" s="989" t="s">
        <v>814</v>
      </c>
      <c r="N7" s="989" t="s">
        <v>814</v>
      </c>
      <c r="O7" s="989" t="s">
        <v>814</v>
      </c>
      <c r="P7" s="990" t="s">
        <v>868</v>
      </c>
    </row>
    <row r="8" spans="1:16" ht="210">
      <c r="A8" s="987" t="s">
        <v>241</v>
      </c>
      <c r="B8" s="988" t="s">
        <v>869</v>
      </c>
      <c r="C8" s="988" t="s">
        <v>869</v>
      </c>
      <c r="D8" s="988" t="s">
        <v>869</v>
      </c>
      <c r="E8" s="988" t="s">
        <v>869</v>
      </c>
      <c r="F8" s="988" t="s">
        <v>869</v>
      </c>
      <c r="G8" s="988" t="s">
        <v>869</v>
      </c>
      <c r="H8" s="988" t="s">
        <v>869</v>
      </c>
      <c r="I8" s="988" t="s">
        <v>869</v>
      </c>
      <c r="J8" s="988" t="s">
        <v>869</v>
      </c>
      <c r="K8" s="989" t="s">
        <v>814</v>
      </c>
      <c r="L8" s="989" t="s">
        <v>814</v>
      </c>
      <c r="M8" s="989" t="s">
        <v>814</v>
      </c>
      <c r="N8" s="988" t="s">
        <v>870</v>
      </c>
      <c r="O8" s="988" t="s">
        <v>870</v>
      </c>
      <c r="P8" s="992"/>
    </row>
    <row r="9" spans="1:16" ht="210">
      <c r="A9" s="993" t="s">
        <v>859</v>
      </c>
      <c r="B9" s="988" t="s">
        <v>870</v>
      </c>
      <c r="C9" s="988" t="s">
        <v>870</v>
      </c>
      <c r="D9" s="988" t="s">
        <v>870</v>
      </c>
      <c r="E9" s="988" t="s">
        <v>870</v>
      </c>
      <c r="F9" s="988" t="s">
        <v>870</v>
      </c>
      <c r="G9" s="988" t="s">
        <v>870</v>
      </c>
      <c r="H9" s="988" t="s">
        <v>870</v>
      </c>
      <c r="I9" s="988" t="s">
        <v>870</v>
      </c>
      <c r="J9" s="988" t="s">
        <v>870</v>
      </c>
      <c r="K9" s="989" t="s">
        <v>814</v>
      </c>
      <c r="L9" s="988" t="s">
        <v>870</v>
      </c>
      <c r="M9" s="988" t="s">
        <v>870</v>
      </c>
      <c r="N9" s="988" t="s">
        <v>870</v>
      </c>
      <c r="O9" s="988" t="s">
        <v>870</v>
      </c>
      <c r="P9" s="992"/>
    </row>
    <row r="10" spans="1:16">
      <c r="A10" s="991" t="s">
        <v>109</v>
      </c>
      <c r="B10" s="994"/>
      <c r="C10" s="994"/>
      <c r="D10" s="994"/>
      <c r="E10" s="994"/>
      <c r="F10" s="994"/>
      <c r="G10" s="994"/>
      <c r="H10" s="994"/>
      <c r="I10" s="994"/>
      <c r="J10" s="994"/>
      <c r="K10" s="994"/>
      <c r="L10" s="994"/>
      <c r="M10" s="994"/>
      <c r="N10" s="994"/>
      <c r="O10" s="994"/>
      <c r="P10" s="994"/>
    </row>
    <row r="11" spans="1:16">
      <c r="A11" s="982"/>
      <c r="B11" s="982"/>
      <c r="C11" s="982"/>
      <c r="D11" s="982"/>
      <c r="E11" s="982"/>
      <c r="F11" s="982"/>
      <c r="G11" s="982"/>
      <c r="H11" s="982"/>
      <c r="I11" s="982"/>
      <c r="J11" s="982"/>
      <c r="K11" s="982"/>
      <c r="L11" s="982"/>
      <c r="M11" s="982"/>
      <c r="N11" s="982"/>
      <c r="O11" s="982"/>
      <c r="P11" s="982"/>
    </row>
    <row r="12" spans="1:16" ht="150">
      <c r="A12" s="460" t="s">
        <v>860</v>
      </c>
      <c r="B12" s="729" t="s">
        <v>861</v>
      </c>
      <c r="C12" s="995" t="s">
        <v>871</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ht="210">
      <c r="A17" s="983" t="s">
        <v>241</v>
      </c>
      <c r="B17" s="988" t="s">
        <v>870</v>
      </c>
      <c r="C17" s="988" t="s">
        <v>870</v>
      </c>
      <c r="D17" s="988" t="s">
        <v>870</v>
      </c>
      <c r="E17" s="988" t="s">
        <v>870</v>
      </c>
      <c r="F17" s="988" t="s">
        <v>870</v>
      </c>
      <c r="G17" s="988" t="s">
        <v>870</v>
      </c>
      <c r="H17" s="988" t="s">
        <v>870</v>
      </c>
      <c r="I17" s="988" t="s">
        <v>870</v>
      </c>
      <c r="J17" s="988" t="s">
        <v>870</v>
      </c>
      <c r="K17" s="989" t="s">
        <v>814</v>
      </c>
      <c r="L17" s="989" t="s">
        <v>814</v>
      </c>
      <c r="M17" s="989" t="s">
        <v>814</v>
      </c>
      <c r="N17" s="988" t="s">
        <v>870</v>
      </c>
      <c r="O17" s="988" t="s">
        <v>870</v>
      </c>
      <c r="P17" s="996"/>
    </row>
    <row r="18" spans="1:16" ht="45">
      <c r="A18" s="985" t="s">
        <v>247</v>
      </c>
      <c r="B18" s="990" t="s">
        <v>836</v>
      </c>
      <c r="C18" s="990" t="s">
        <v>836</v>
      </c>
      <c r="D18" s="990" t="s">
        <v>836</v>
      </c>
      <c r="E18" s="990" t="s">
        <v>836</v>
      </c>
      <c r="F18" s="990" t="s">
        <v>836</v>
      </c>
      <c r="G18" s="990" t="s">
        <v>836</v>
      </c>
      <c r="H18" s="990" t="s">
        <v>836</v>
      </c>
      <c r="I18" s="990" t="s">
        <v>836</v>
      </c>
      <c r="J18" s="990" t="s">
        <v>836</v>
      </c>
      <c r="K18" s="990" t="s">
        <v>836</v>
      </c>
      <c r="L18" s="990" t="s">
        <v>836</v>
      </c>
      <c r="M18" s="990" t="s">
        <v>836</v>
      </c>
      <c r="N18" s="990" t="s">
        <v>836</v>
      </c>
      <c r="O18" s="990" t="s">
        <v>836</v>
      </c>
      <c r="P18" s="990" t="s">
        <v>836</v>
      </c>
    </row>
    <row r="19" spans="1:16" ht="45">
      <c r="A19" s="980" t="s">
        <v>866</v>
      </c>
      <c r="B19" s="990" t="s">
        <v>836</v>
      </c>
      <c r="C19" s="990" t="s">
        <v>836</v>
      </c>
      <c r="D19" s="990" t="s">
        <v>836</v>
      </c>
      <c r="E19" s="990" t="s">
        <v>836</v>
      </c>
      <c r="F19" s="990" t="s">
        <v>836</v>
      </c>
      <c r="G19" s="990" t="s">
        <v>836</v>
      </c>
      <c r="H19" s="990" t="s">
        <v>836</v>
      </c>
      <c r="I19" s="990" t="s">
        <v>836</v>
      </c>
      <c r="J19" s="990" t="s">
        <v>836</v>
      </c>
      <c r="K19" s="990" t="s">
        <v>836</v>
      </c>
      <c r="L19" s="990" t="s">
        <v>836</v>
      </c>
      <c r="M19" s="990" t="s">
        <v>836</v>
      </c>
      <c r="N19" s="990" t="s">
        <v>836</v>
      </c>
      <c r="O19" s="990" t="s">
        <v>836</v>
      </c>
      <c r="P19" s="990" t="s">
        <v>836</v>
      </c>
    </row>
    <row r="20" spans="1:16">
      <c r="A20" s="986" t="s">
        <v>109</v>
      </c>
      <c r="B20" s="981"/>
      <c r="C20" s="981"/>
      <c r="D20" s="981"/>
      <c r="E20" s="981"/>
      <c r="F20" s="981"/>
      <c r="G20" s="981"/>
      <c r="H20" s="981"/>
      <c r="I20" s="981"/>
      <c r="J20" s="981"/>
      <c r="K20" s="981"/>
      <c r="L20" s="981"/>
      <c r="M20" s="981"/>
      <c r="N20" s="981"/>
      <c r="O20" s="981"/>
      <c r="P20" s="981"/>
    </row>
    <row r="22" spans="1:16" ht="90">
      <c r="A22" s="460" t="s">
        <v>867</v>
      </c>
      <c r="B22" s="729" t="s">
        <v>861</v>
      </c>
      <c r="C22" s="995" t="s">
        <v>872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4"/>
  <sheetViews>
    <sheetView showGridLines="0" workbookViewId="0">
      <selection activeCell="B17" sqref="B17"/>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577</v>
      </c>
      <c r="B6" s="76" t="s">
        <v>578</v>
      </c>
      <c r="C6" s="430" t="s">
        <v>561</v>
      </c>
    </row>
    <row r="7" spans="1:3">
      <c r="A7" s="126"/>
      <c r="B7" s="130"/>
      <c r="C7" s="123"/>
    </row>
    <row r="8" spans="1:3">
      <c r="A8" s="114" t="s">
        <v>580</v>
      </c>
      <c r="B8" s="76" t="s">
        <v>579</v>
      </c>
      <c r="C8" s="430" t="s">
        <v>376</v>
      </c>
    </row>
    <row r="9" spans="1:3">
      <c r="A9" s="126"/>
      <c r="B9" s="130"/>
      <c r="C9" s="123"/>
    </row>
    <row r="10" spans="1:3">
      <c r="A10" s="114" t="s">
        <v>316</v>
      </c>
      <c r="B10" s="76" t="s">
        <v>374</v>
      </c>
      <c r="C10" s="115" t="s">
        <v>376</v>
      </c>
    </row>
    <row r="11" spans="1:3">
      <c r="A11" s="126"/>
      <c r="B11" s="130"/>
      <c r="C11" s="123"/>
    </row>
    <row r="12" spans="1:3" ht="30">
      <c r="A12" s="114" t="s">
        <v>406</v>
      </c>
      <c r="B12" s="76" t="s">
        <v>520</v>
      </c>
      <c r="C12" s="309" t="s">
        <v>591</v>
      </c>
    </row>
    <row r="13" spans="1:3">
      <c r="A13" s="142"/>
      <c r="B13" s="125"/>
      <c r="C13" s="297"/>
    </row>
    <row r="14" spans="1:3" ht="21">
      <c r="A14" s="127" t="s">
        <v>470</v>
      </c>
      <c r="B14" s="126"/>
      <c r="C14"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34" t="s">
        <v>586</v>
      </c>
      <c r="B4" s="462"/>
      <c r="C4" s="462"/>
      <c r="D4" s="462"/>
      <c r="E4" s="462"/>
      <c r="F4" s="462"/>
      <c r="G4" s="494"/>
      <c r="H4" s="494"/>
      <c r="I4" s="462"/>
      <c r="J4" s="462"/>
      <c r="K4" s="462"/>
      <c r="L4" s="462"/>
      <c r="M4" s="462"/>
      <c r="N4" s="462"/>
      <c r="O4" s="462"/>
      <c r="P4" s="462"/>
    </row>
    <row r="5" spans="1:16" outlineLevel="1">
      <c r="A5" s="634" t="s">
        <v>587</v>
      </c>
      <c r="B5" s="462"/>
      <c r="C5" s="462"/>
      <c r="D5" s="462"/>
      <c r="E5" s="462"/>
      <c r="F5" s="462"/>
      <c r="G5" s="494"/>
      <c r="H5" s="494"/>
      <c r="I5" s="462"/>
      <c r="J5" s="462"/>
      <c r="K5" s="462"/>
      <c r="L5" s="462"/>
      <c r="M5" s="462"/>
      <c r="N5" s="462"/>
      <c r="O5" s="462"/>
      <c r="P5" s="462"/>
    </row>
    <row r="6" spans="1:16" outlineLevel="1">
      <c r="A6" s="634"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35"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575</v>
      </c>
      <c r="B13" s="447"/>
      <c r="C13" s="466"/>
      <c r="D13" s="466"/>
      <c r="E13" s="466"/>
      <c r="F13" s="466"/>
      <c r="G13" s="466"/>
      <c r="H13" s="466"/>
      <c r="I13" s="466"/>
      <c r="J13" s="466"/>
      <c r="K13" s="466"/>
      <c r="L13" s="466"/>
      <c r="M13" s="466"/>
      <c r="N13" s="466"/>
      <c r="O13" s="730" t="s">
        <v>612</v>
      </c>
      <c r="P13" s="730" t="s">
        <v>611</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0.21224290196984863</v>
      </c>
      <c r="C17" s="496">
        <f ca="1">'EF ele_warmte'!B22</f>
        <v>0.23752245267896602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483</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47" t="s">
        <v>695</v>
      </c>
      <c r="E24" s="448"/>
    </row>
    <row r="25" spans="1:16" s="447" customFormat="1" outlineLevel="1">
      <c r="A25" s="483" t="s">
        <v>450</v>
      </c>
      <c r="B25" s="49">
        <v>4.2</v>
      </c>
      <c r="C25" s="484"/>
      <c r="D25" s="485" t="s">
        <v>507</v>
      </c>
      <c r="E25" s="461"/>
    </row>
    <row r="26" spans="1:16" s="447" customFormat="1" outlineLevel="1">
      <c r="A26" s="735" t="s">
        <v>451</v>
      </c>
      <c r="B26" s="736">
        <f>1.34/3.6</f>
        <v>0.37222222222222223</v>
      </c>
      <c r="C26" s="484" t="s">
        <v>208</v>
      </c>
      <c r="D26" s="485" t="s">
        <v>507</v>
      </c>
      <c r="E26" s="461"/>
    </row>
    <row r="27" spans="1:16" s="447" customFormat="1" outlineLevel="1">
      <c r="A27" s="486" t="s">
        <v>598</v>
      </c>
      <c r="B27" s="738">
        <f>B24*B25*B26</f>
        <v>0</v>
      </c>
      <c r="C27" s="487" t="s">
        <v>599</v>
      </c>
      <c r="D27" s="488"/>
      <c r="E27" s="489"/>
    </row>
    <row r="28" spans="1:16" s="447" customFormat="1" outlineLevel="1">
      <c r="A28" s="49"/>
      <c r="B28" s="49"/>
      <c r="C28" s="490"/>
      <c r="D28" s="484"/>
    </row>
    <row r="29" spans="1:16" s="447" customFormat="1" outlineLevel="1">
      <c r="A29" s="491" t="s">
        <v>484</v>
      </c>
      <c r="B29" s="475"/>
      <c r="C29" s="476"/>
      <c r="D29" s="477"/>
      <c r="E29" s="478"/>
    </row>
    <row r="30" spans="1:16" s="49" customFormat="1" outlineLevel="1">
      <c r="A30" s="492"/>
      <c r="B30" s="480"/>
      <c r="C30" s="481" t="s">
        <v>366</v>
      </c>
      <c r="D30" s="481" t="s">
        <v>175</v>
      </c>
      <c r="E30" s="482"/>
    </row>
    <row r="31" spans="1:16" s="447" customFormat="1" outlineLevel="1">
      <c r="A31" s="483" t="s">
        <v>449</v>
      </c>
      <c r="B31" s="48">
        <f>EigenWP</f>
        <v>0</v>
      </c>
      <c r="C31" s="484"/>
      <c r="D31" s="847" t="s">
        <v>401</v>
      </c>
      <c r="E31" s="448"/>
    </row>
    <row r="32" spans="1:16" s="447" customFormat="1" outlineLevel="1">
      <c r="A32" s="483" t="s">
        <v>447</v>
      </c>
      <c r="B32" s="49">
        <v>13</v>
      </c>
      <c r="C32" s="490" t="s">
        <v>252</v>
      </c>
      <c r="D32" s="485" t="s">
        <v>507</v>
      </c>
      <c r="E32" s="448"/>
    </row>
    <row r="33" spans="1:5" s="447" customFormat="1" outlineLevel="1">
      <c r="A33" s="483" t="s">
        <v>448</v>
      </c>
      <c r="B33" s="49">
        <v>2000</v>
      </c>
      <c r="C33" s="490" t="s">
        <v>254</v>
      </c>
      <c r="D33" s="485" t="s">
        <v>507</v>
      </c>
      <c r="E33" s="448"/>
    </row>
    <row r="34" spans="1:5" s="447" customFormat="1" outlineLevel="1">
      <c r="A34" s="735" t="s">
        <v>371</v>
      </c>
      <c r="B34" s="49">
        <v>3.75</v>
      </c>
      <c r="C34" s="490"/>
      <c r="D34" s="485" t="s">
        <v>507</v>
      </c>
      <c r="E34" s="448"/>
    </row>
    <row r="35" spans="1:5" s="447" customFormat="1" outlineLevel="1">
      <c r="A35" s="486" t="s">
        <v>598</v>
      </c>
      <c r="B35" s="737">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35"/>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575</v>
      </c>
      <c r="B13" s="447"/>
      <c r="C13" s="466"/>
      <c r="D13" s="466"/>
      <c r="E13" s="466"/>
      <c r="F13" s="466"/>
      <c r="G13" s="466"/>
      <c r="H13" s="466"/>
      <c r="I13" s="466"/>
      <c r="J13" s="466"/>
      <c r="K13" s="466"/>
      <c r="L13" s="466"/>
      <c r="M13" s="466"/>
      <c r="N13" s="466"/>
      <c r="O13" s="1151"/>
      <c r="P13" s="1151"/>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0.21224290196984863</v>
      </c>
      <c r="C17" s="496">
        <f ca="1">'EF ele_warmte'!B22</f>
        <v>0.23752245267896602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575</v>
      </c>
    </row>
    <row r="26" spans="1:16" s="459" customFormat="1">
      <c r="A26" s="467" t="s">
        <v>524</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581</v>
      </c>
      <c r="B27" s="467">
        <f>B26</f>
        <v>0</v>
      </c>
      <c r="C27" s="467"/>
      <c r="D27" s="467">
        <f>D26</f>
        <v>0</v>
      </c>
      <c r="E27" s="467">
        <f>E26</f>
        <v>0</v>
      </c>
      <c r="F27" s="467"/>
      <c r="G27" s="467">
        <f>(1-transport!C35)*'Eigen vloot'!G26</f>
        <v>0</v>
      </c>
      <c r="H27" s="467">
        <f>(1-transport!C42)*'Eigen vloot'!H26</f>
        <v>0</v>
      </c>
      <c r="I27" s="467"/>
      <c r="J27" s="467"/>
      <c r="K27" s="467"/>
      <c r="L27" s="467"/>
      <c r="M27" s="636">
        <f>G26*transport!C35+'Eigen vloot'!H26*transport!C42</f>
        <v>0</v>
      </c>
      <c r="N27" s="467"/>
      <c r="O27" s="467"/>
      <c r="P27" s="467"/>
    </row>
    <row r="29" spans="1:16">
      <c r="A29" s="472" t="s">
        <v>584</v>
      </c>
      <c r="B29" s="497">
        <f ca="1">'EF ele_warmte'!B12</f>
        <v>0.21224290196984863</v>
      </c>
      <c r="C29" s="497">
        <f ca="1">'EF ele_warmte'!B22</f>
        <v>0.23752245267896602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37">
        <f ca="1">B27*B29</f>
        <v>0</v>
      </c>
      <c r="C31" s="637"/>
      <c r="D31" s="637">
        <f>D27*D29</f>
        <v>0</v>
      </c>
      <c r="E31" s="637">
        <f>E27*E29</f>
        <v>0</v>
      </c>
      <c r="F31" s="637"/>
      <c r="G31" s="637">
        <f>G27*G29</f>
        <v>0</v>
      </c>
      <c r="H31" s="637">
        <f>H27*H29</f>
        <v>0</v>
      </c>
      <c r="I31" s="637"/>
      <c r="J31" s="637"/>
      <c r="K31" s="637"/>
      <c r="L31" s="637"/>
      <c r="M31" s="637">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521</v>
      </c>
      <c r="B2" s="498"/>
      <c r="C2" s="185"/>
      <c r="D2" s="186"/>
    </row>
    <row r="3" spans="1:11">
      <c r="A3" s="102"/>
      <c r="B3" s="499"/>
      <c r="C3" s="143" t="s">
        <v>175</v>
      </c>
      <c r="D3" s="146" t="s">
        <v>380</v>
      </c>
    </row>
    <row r="4" spans="1:11">
      <c r="A4" s="45" t="s">
        <v>441</v>
      </c>
      <c r="B4" s="48"/>
      <c r="C4" s="33"/>
      <c r="D4" s="145" t="s">
        <v>382</v>
      </c>
    </row>
    <row r="5" spans="1:11">
      <c r="A5" s="45"/>
      <c r="B5" s="49"/>
      <c r="C5" s="33"/>
      <c r="D5" s="145"/>
    </row>
    <row r="6" spans="1:11" s="11" customFormat="1" ht="21.75" thickBot="1">
      <c r="A6" s="189" t="s">
        <v>474</v>
      </c>
      <c r="B6" s="500"/>
      <c r="C6" s="190"/>
      <c r="D6" s="191"/>
    </row>
    <row r="7" spans="1:11" s="44" customFormat="1" ht="15.75" thickBot="1">
      <c r="B7" s="447"/>
    </row>
    <row r="8" spans="1:11" s="44" customFormat="1">
      <c r="A8" s="184" t="s">
        <v>534</v>
      </c>
      <c r="B8" s="498"/>
      <c r="C8" s="185"/>
      <c r="D8" s="186"/>
    </row>
    <row r="9" spans="1:11" s="33" customFormat="1">
      <c r="A9" s="47"/>
      <c r="B9" s="501"/>
      <c r="C9" s="43"/>
      <c r="D9" s="298"/>
    </row>
    <row r="10" spans="1:11">
      <c r="A10" s="299" t="s">
        <v>563</v>
      </c>
      <c r="B10" s="499"/>
      <c r="C10" s="143" t="s">
        <v>175</v>
      </c>
      <c r="D10" s="146" t="s">
        <v>380</v>
      </c>
      <c r="I10" s="1152"/>
      <c r="K10" s="59"/>
    </row>
    <row r="11" spans="1:11" s="44" customFormat="1">
      <c r="A11" s="45" t="s">
        <v>564</v>
      </c>
      <c r="B11" s="48"/>
      <c r="D11" s="144" t="s">
        <v>381</v>
      </c>
      <c r="I11" s="1152"/>
      <c r="K11" s="59"/>
    </row>
    <row r="12" spans="1:11" s="44" customFormat="1">
      <c r="A12" s="45" t="s">
        <v>565</v>
      </c>
      <c r="B12" s="48"/>
      <c r="D12" s="144" t="s">
        <v>381</v>
      </c>
      <c r="I12" s="1152"/>
      <c r="K12" s="59"/>
    </row>
    <row r="13" spans="1:11" s="44" customFormat="1">
      <c r="A13" s="45"/>
      <c r="B13" s="447"/>
      <c r="D13" s="97"/>
      <c r="I13" s="1152"/>
    </row>
    <row r="14" spans="1:11" s="44" customFormat="1">
      <c r="A14" s="299" t="s">
        <v>562</v>
      </c>
      <c r="B14" s="499"/>
      <c r="C14" s="143" t="s">
        <v>175</v>
      </c>
      <c r="D14" s="146" t="s">
        <v>380</v>
      </c>
      <c r="I14" s="1152"/>
    </row>
    <row r="15" spans="1:11" s="44" customFormat="1">
      <c r="A15" s="45" t="s">
        <v>70</v>
      </c>
      <c r="B15" s="48"/>
      <c r="D15" s="144" t="s">
        <v>381</v>
      </c>
      <c r="I15" s="1152"/>
      <c r="J15" s="1152"/>
    </row>
    <row r="16" spans="1:11" s="44" customFormat="1">
      <c r="A16" s="45" t="s">
        <v>526</v>
      </c>
      <c r="B16" s="48"/>
      <c r="D16" s="144" t="s">
        <v>381</v>
      </c>
      <c r="I16" s="1152"/>
      <c r="J16" s="1152"/>
    </row>
    <row r="17" spans="1:11" s="44" customFormat="1">
      <c r="A17" s="45" t="s">
        <v>77</v>
      </c>
      <c r="B17" s="48"/>
      <c r="D17" s="144" t="s">
        <v>381</v>
      </c>
      <c r="I17" s="1152"/>
      <c r="J17" s="1152"/>
    </row>
    <row r="18" spans="1:11" s="44" customFormat="1">
      <c r="A18" s="45" t="s">
        <v>527</v>
      </c>
      <c r="B18" s="48"/>
      <c r="D18" s="144" t="s">
        <v>381</v>
      </c>
      <c r="I18" s="1152"/>
      <c r="J18" s="1152"/>
      <c r="K18" s="59"/>
    </row>
    <row r="19" spans="1:11" s="44" customFormat="1">
      <c r="A19" s="45" t="s">
        <v>76</v>
      </c>
      <c r="B19" s="48"/>
      <c r="D19" s="144" t="s">
        <v>381</v>
      </c>
      <c r="I19" s="1152"/>
      <c r="J19" s="1153"/>
      <c r="K19" s="59"/>
    </row>
    <row r="20" spans="1:11" s="44" customFormat="1">
      <c r="A20" s="33" t="s">
        <v>528</v>
      </c>
      <c r="B20" s="48"/>
      <c r="D20" s="144" t="s">
        <v>381</v>
      </c>
      <c r="I20" s="300"/>
      <c r="J20" s="301"/>
      <c r="K20" s="59"/>
    </row>
    <row r="21" spans="1:11" s="44" customFormat="1">
      <c r="A21" s="33" t="s">
        <v>529</v>
      </c>
      <c r="B21" s="48"/>
      <c r="D21" s="144" t="s">
        <v>381</v>
      </c>
      <c r="I21" s="300"/>
      <c r="J21" s="301"/>
      <c r="K21" s="59"/>
    </row>
    <row r="22" spans="1:11" s="44" customFormat="1">
      <c r="A22" s="33" t="s">
        <v>530</v>
      </c>
      <c r="B22" s="48"/>
      <c r="D22" s="144" t="s">
        <v>381</v>
      </c>
      <c r="I22" s="300"/>
      <c r="J22" s="301"/>
      <c r="K22" s="59"/>
    </row>
    <row r="23" spans="1:11">
      <c r="A23" s="33" t="s">
        <v>531</v>
      </c>
      <c r="B23" s="48"/>
      <c r="C23" s="44"/>
      <c r="D23" s="144" t="s">
        <v>381</v>
      </c>
      <c r="I23" s="59"/>
      <c r="J23" s="59"/>
      <c r="K23" s="59"/>
    </row>
    <row r="24" spans="1:11">
      <c r="A24" s="33" t="s">
        <v>532</v>
      </c>
      <c r="B24" s="48"/>
      <c r="C24" s="44"/>
      <c r="D24" s="144" t="s">
        <v>381</v>
      </c>
      <c r="I24" s="59"/>
      <c r="J24" s="59"/>
      <c r="K24" s="59"/>
    </row>
    <row r="25" spans="1:11">
      <c r="A25" s="59"/>
      <c r="B25" s="49"/>
      <c r="C25" s="44"/>
      <c r="D25" s="144"/>
      <c r="I25" s="59"/>
      <c r="J25" s="59"/>
      <c r="K25" s="59"/>
    </row>
    <row r="26" spans="1:11" ht="21.75" thickBot="1">
      <c r="A26" s="189" t="s">
        <v>573</v>
      </c>
      <c r="B26" s="502"/>
      <c r="C26" s="109"/>
      <c r="D26" s="110"/>
      <c r="I26" s="59"/>
      <c r="J26" s="59"/>
      <c r="K26" s="59"/>
    </row>
    <row r="28" spans="1:11" ht="15.75" thickBot="1"/>
    <row r="29" spans="1:11" s="44" customFormat="1">
      <c r="A29" s="184" t="s">
        <v>522</v>
      </c>
      <c r="B29" s="498"/>
      <c r="C29" s="185"/>
      <c r="D29" s="186"/>
    </row>
    <row r="30" spans="1:11" s="33" customFormat="1">
      <c r="A30" s="47"/>
      <c r="B30" s="501"/>
      <c r="C30" s="43"/>
      <c r="D30" s="298"/>
    </row>
    <row r="31" spans="1:11">
      <c r="A31" s="299" t="s">
        <v>563</v>
      </c>
      <c r="B31" s="499"/>
      <c r="C31" s="143" t="s">
        <v>175</v>
      </c>
      <c r="D31" s="146" t="s">
        <v>380</v>
      </c>
    </row>
    <row r="32" spans="1:11">
      <c r="A32" s="437" t="s">
        <v>564</v>
      </c>
      <c r="B32" s="48"/>
      <c r="C32" s="49"/>
      <c r="D32" s="144" t="s">
        <v>381</v>
      </c>
    </row>
    <row r="33" spans="1:11">
      <c r="A33" s="45"/>
      <c r="B33" s="49"/>
      <c r="C33" s="49"/>
      <c r="D33" s="144"/>
    </row>
    <row r="34" spans="1:11" s="44" customFormat="1">
      <c r="A34" s="299" t="s">
        <v>562</v>
      </c>
      <c r="B34" s="499"/>
      <c r="C34" s="143" t="s">
        <v>175</v>
      </c>
      <c r="D34" s="146" t="s">
        <v>380</v>
      </c>
      <c r="I34"/>
    </row>
    <row r="35" spans="1:11" s="44" customFormat="1">
      <c r="A35" s="436" t="s">
        <v>70</v>
      </c>
      <c r="B35" s="48"/>
      <c r="D35" s="144" t="s">
        <v>381</v>
      </c>
      <c r="I35" s="1152"/>
      <c r="J35" s="1152"/>
    </row>
    <row r="36" spans="1:11" s="44" customFormat="1">
      <c r="A36" s="436" t="s">
        <v>526</v>
      </c>
      <c r="B36" s="48"/>
      <c r="D36" s="144" t="s">
        <v>381</v>
      </c>
      <c r="I36" s="1152"/>
      <c r="J36" s="1152"/>
    </row>
    <row r="37" spans="1:11" s="44" customFormat="1">
      <c r="A37" s="436" t="s">
        <v>77</v>
      </c>
      <c r="B37" s="48"/>
      <c r="D37" s="144" t="s">
        <v>381</v>
      </c>
      <c r="I37" s="1152"/>
      <c r="J37" s="1152"/>
    </row>
    <row r="38" spans="1:11" s="44" customFormat="1">
      <c r="A38" s="436" t="s">
        <v>527</v>
      </c>
      <c r="B38" s="48"/>
      <c r="D38" s="144" t="s">
        <v>381</v>
      </c>
      <c r="I38" s="1152"/>
      <c r="J38" s="1152"/>
      <c r="K38" s="59"/>
    </row>
    <row r="39" spans="1:11" s="44" customFormat="1">
      <c r="A39" s="436" t="s">
        <v>76</v>
      </c>
      <c r="B39" s="48"/>
      <c r="D39" s="144" t="s">
        <v>381</v>
      </c>
      <c r="I39" s="1152"/>
      <c r="J39" s="1153"/>
      <c r="K39" s="59"/>
    </row>
    <row r="40" spans="1:11" s="44" customFormat="1">
      <c r="A40" s="181" t="s">
        <v>528</v>
      </c>
      <c r="B40" s="49"/>
      <c r="D40" s="144" t="s">
        <v>381</v>
      </c>
      <c r="I40" s="300"/>
      <c r="J40" s="301"/>
      <c r="K40" s="59"/>
    </row>
    <row r="41" spans="1:11" s="44" customFormat="1">
      <c r="A41" s="181" t="s">
        <v>529</v>
      </c>
      <c r="B41" s="48"/>
      <c r="D41" s="144" t="s">
        <v>381</v>
      </c>
      <c r="I41" s="300"/>
      <c r="J41" s="301"/>
      <c r="K41" s="59"/>
    </row>
    <row r="42" spans="1:11" s="44" customFormat="1">
      <c r="A42" s="181" t="s">
        <v>530</v>
      </c>
      <c r="B42" s="48"/>
      <c r="D42" s="144" t="s">
        <v>381</v>
      </c>
      <c r="I42" s="300"/>
      <c r="J42" s="301"/>
      <c r="K42" s="59"/>
    </row>
    <row r="43" spans="1:11">
      <c r="A43" s="181" t="s">
        <v>531</v>
      </c>
      <c r="B43" s="48"/>
      <c r="C43" s="44"/>
      <c r="D43" s="144" t="s">
        <v>381</v>
      </c>
      <c r="I43" s="59"/>
      <c r="J43" s="59"/>
      <c r="K43" s="59"/>
    </row>
    <row r="44" spans="1:11">
      <c r="A44" s="181" t="s">
        <v>532</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566</v>
      </c>
      <c r="B50" s="48"/>
      <c r="C50" s="33"/>
      <c r="D50" s="145" t="s">
        <v>382</v>
      </c>
    </row>
    <row r="51" spans="1:4">
      <c r="A51" s="45" t="s">
        <v>567</v>
      </c>
      <c r="B51" s="48"/>
      <c r="C51" s="33"/>
      <c r="D51" s="145" t="s">
        <v>382</v>
      </c>
    </row>
    <row r="52" spans="1:4" ht="15.75" thickBot="1">
      <c r="A52" s="46"/>
      <c r="B52" s="187"/>
      <c r="C52" s="156"/>
      <c r="D52" s="192"/>
    </row>
    <row r="54" spans="1:4" ht="15.75" thickBot="1"/>
    <row r="55" spans="1:4" s="44" customFormat="1">
      <c r="A55" s="184" t="s">
        <v>523</v>
      </c>
      <c r="B55" s="498"/>
      <c r="C55" s="185"/>
      <c r="D55" s="186"/>
    </row>
    <row r="56" spans="1:4">
      <c r="A56" s="102"/>
      <c r="B56" s="499"/>
      <c r="C56" s="143" t="s">
        <v>175</v>
      </c>
      <c r="D56" s="146" t="s">
        <v>380</v>
      </c>
    </row>
    <row r="57" spans="1:4">
      <c r="A57" s="45" t="s">
        <v>568</v>
      </c>
      <c r="B57" s="48"/>
      <c r="C57" s="33"/>
      <c r="D57" s="144" t="s">
        <v>148</v>
      </c>
    </row>
    <row r="58" spans="1:4">
      <c r="A58" s="45" t="s">
        <v>569</v>
      </c>
      <c r="B58" s="48"/>
      <c r="C58" s="33"/>
      <c r="D58" s="144" t="s">
        <v>149</v>
      </c>
    </row>
    <row r="59" spans="1:4">
      <c r="A59" s="45" t="s">
        <v>570</v>
      </c>
      <c r="B59" s="48"/>
      <c r="C59" s="49"/>
      <c r="D59" s="144" t="s">
        <v>378</v>
      </c>
    </row>
    <row r="60" spans="1:4">
      <c r="A60" s="45" t="s">
        <v>571</v>
      </c>
      <c r="B60" s="48"/>
      <c r="C60" s="49"/>
      <c r="D60" s="144" t="s">
        <v>105</v>
      </c>
    </row>
    <row r="61" spans="1:4">
      <c r="A61" s="45"/>
      <c r="B61" s="49"/>
      <c r="C61" s="49"/>
      <c r="D61" s="144"/>
    </row>
    <row r="62" spans="1:4" ht="21.75" thickBot="1">
      <c r="A62" s="189" t="s">
        <v>525</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439</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452</v>
      </c>
      <c r="B6" s="131" t="s">
        <v>453</v>
      </c>
      <c r="C6" s="132" t="s">
        <v>455</v>
      </c>
    </row>
    <row r="7" spans="1:3" s="12" customFormat="1">
      <c r="A7" s="124"/>
      <c r="B7" s="161"/>
      <c r="C7" s="162" t="s">
        <v>585</v>
      </c>
    </row>
    <row r="8" spans="1:3" s="12" customFormat="1">
      <c r="A8" s="133"/>
      <c r="B8" s="134"/>
      <c r="C8" s="135"/>
    </row>
    <row r="9" spans="1:3" s="12" customFormat="1">
      <c r="A9" s="114" t="s">
        <v>454</v>
      </c>
      <c r="B9" s="131" t="s">
        <v>457</v>
      </c>
      <c r="C9" s="132" t="s">
        <v>510</v>
      </c>
    </row>
    <row r="10" spans="1:3" s="12" customFormat="1">
      <c r="A10" s="133"/>
      <c r="B10" s="134"/>
      <c r="C10" s="135"/>
    </row>
    <row r="11" spans="1:3" s="12" customFormat="1" ht="18">
      <c r="A11" s="114" t="s">
        <v>456</v>
      </c>
      <c r="B11" s="131" t="s">
        <v>458</v>
      </c>
      <c r="C11" s="159" t="s">
        <v>508</v>
      </c>
    </row>
    <row r="12" spans="1:3" s="12" customFormat="1">
      <c r="A12" s="133"/>
      <c r="B12" s="134"/>
      <c r="C12" s="135"/>
    </row>
    <row r="13" spans="1:3" s="12" customFormat="1" ht="18">
      <c r="A13" s="114" t="s">
        <v>459</v>
      </c>
      <c r="B13" s="131" t="s">
        <v>460</v>
      </c>
      <c r="C13" s="160" t="s">
        <v>509</v>
      </c>
    </row>
    <row r="14" spans="1:3" s="12" customFormat="1">
      <c r="A14" s="133"/>
      <c r="B14" s="134"/>
      <c r="C14" s="135"/>
    </row>
    <row r="15" spans="1:3" s="12" customFormat="1" ht="18">
      <c r="A15" s="114" t="s">
        <v>461</v>
      </c>
      <c r="B15" t="s">
        <v>465</v>
      </c>
      <c r="C15" s="132" t="s">
        <v>511</v>
      </c>
    </row>
    <row r="16" spans="1:3" s="12" customFormat="1">
      <c r="A16" s="133"/>
      <c r="B16" s="134"/>
      <c r="C16" s="135"/>
    </row>
    <row r="17" spans="1:3" s="12" customFormat="1" ht="30">
      <c r="A17" s="114" t="s">
        <v>382</v>
      </c>
      <c r="B17" s="131" t="s">
        <v>466</v>
      </c>
      <c r="C17" s="132" t="s">
        <v>512</v>
      </c>
    </row>
    <row r="18" spans="1:3" s="12" customFormat="1">
      <c r="A18" s="133"/>
      <c r="B18" s="134"/>
      <c r="C18" s="135" t="s">
        <v>462</v>
      </c>
    </row>
    <row r="19" spans="1:3" s="12" customFormat="1" ht="30">
      <c r="A19" s="114" t="s">
        <v>463</v>
      </c>
      <c r="B19" s="131" t="s">
        <v>467</v>
      </c>
      <c r="C19" s="132" t="s">
        <v>513</v>
      </c>
    </row>
    <row r="20" spans="1:3" s="12" customFormat="1">
      <c r="A20" s="133"/>
      <c r="B20" s="134"/>
      <c r="C20" s="135"/>
    </row>
    <row r="21" spans="1:3" s="12" customFormat="1" ht="30">
      <c r="A21" s="114" t="s">
        <v>464</v>
      </c>
      <c r="B21" s="131" t="s">
        <v>626</v>
      </c>
      <c r="C21" s="132" t="s">
        <v>576</v>
      </c>
    </row>
    <row r="22" spans="1:3" s="12" customFormat="1">
      <c r="A22" s="142"/>
      <c r="B22" s="161"/>
      <c r="C22" s="162"/>
    </row>
    <row r="23" spans="1:3" ht="21">
      <c r="A23" s="127" t="s">
        <v>469</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19" bestFit="1" customWidth="1"/>
    <col min="2" max="2" width="59.42578125" style="1019" bestFit="1" customWidth="1"/>
    <col min="3" max="4" width="28.7109375" style="1019" customWidth="1"/>
    <col min="5" max="5" width="44.28515625" style="1019" customWidth="1"/>
    <col min="6" max="6" width="35" style="1019" bestFit="1" customWidth="1"/>
    <col min="7" max="16384" width="9.140625" style="1019"/>
  </cols>
  <sheetData>
    <row r="1" spans="1:6" ht="62.45" customHeight="1" thickTop="1" thickBot="1">
      <c r="A1" s="137" t="s">
        <v>937</v>
      </c>
      <c r="B1" s="1245">
        <v>2012</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937</v>
      </c>
      <c r="B4" s="327"/>
      <c r="C4" s="327"/>
      <c r="D4" s="327"/>
      <c r="E4" s="327"/>
      <c r="F4" s="327"/>
    </row>
    <row r="5" spans="1:6" ht="22.5">
      <c r="A5" s="1249" t="s">
        <v>938</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6123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735</v>
      </c>
      <c r="B14" s="1259">
        <v>4611</v>
      </c>
      <c r="C14" s="327"/>
      <c r="D14" s="327"/>
      <c r="E14" s="327"/>
      <c r="F14" s="327"/>
    </row>
    <row r="15" spans="1:6">
      <c r="A15" s="1258" t="s">
        <v>177</v>
      </c>
      <c r="B15" s="1259">
        <v>41</v>
      </c>
      <c r="C15" s="327"/>
      <c r="D15" s="327"/>
      <c r="E15" s="327"/>
      <c r="F15" s="327"/>
    </row>
    <row r="16" spans="1:6">
      <c r="A16" s="1258" t="s">
        <v>6</v>
      </c>
      <c r="B16" s="1259">
        <v>1098</v>
      </c>
      <c r="C16" s="327"/>
      <c r="D16" s="327"/>
      <c r="E16" s="327"/>
      <c r="F16" s="327"/>
    </row>
    <row r="17" spans="1:6">
      <c r="A17" s="1258" t="s">
        <v>7</v>
      </c>
      <c r="B17" s="1259">
        <v>1410</v>
      </c>
      <c r="C17" s="327"/>
      <c r="D17" s="327"/>
      <c r="E17" s="327"/>
      <c r="F17" s="327"/>
    </row>
    <row r="18" spans="1:6">
      <c r="A18" s="1258" t="s">
        <v>8</v>
      </c>
      <c r="B18" s="1259">
        <v>1667</v>
      </c>
      <c r="C18" s="327"/>
      <c r="D18" s="327"/>
      <c r="E18" s="327"/>
      <c r="F18" s="327"/>
    </row>
    <row r="19" spans="1:6">
      <c r="A19" s="1258" t="s">
        <v>9</v>
      </c>
      <c r="B19" s="1259">
        <v>1635</v>
      </c>
      <c r="C19" s="327"/>
      <c r="D19" s="327"/>
      <c r="E19" s="327"/>
      <c r="F19" s="327"/>
    </row>
    <row r="20" spans="1:6">
      <c r="A20" s="1258" t="s">
        <v>10</v>
      </c>
      <c r="B20" s="1259">
        <v>1271</v>
      </c>
      <c r="C20" s="327"/>
      <c r="D20" s="327"/>
      <c r="E20" s="327"/>
      <c r="F20" s="327"/>
    </row>
    <row r="21" spans="1:6">
      <c r="A21" s="1258" t="s">
        <v>11</v>
      </c>
      <c r="B21" s="1259">
        <v>6105</v>
      </c>
      <c r="C21" s="327"/>
      <c r="D21" s="327"/>
      <c r="E21" s="327"/>
      <c r="F21" s="327"/>
    </row>
    <row r="22" spans="1:6">
      <c r="A22" s="1258" t="s">
        <v>12</v>
      </c>
      <c r="B22" s="1259">
        <v>13903</v>
      </c>
      <c r="C22" s="327"/>
      <c r="D22" s="327"/>
      <c r="E22" s="327"/>
      <c r="F22" s="327"/>
    </row>
    <row r="23" spans="1:6">
      <c r="A23" s="1258" t="s">
        <v>13</v>
      </c>
      <c r="B23" s="1259">
        <v>420</v>
      </c>
      <c r="C23" s="327"/>
      <c r="D23" s="327"/>
      <c r="E23" s="327"/>
      <c r="F23" s="327"/>
    </row>
    <row r="24" spans="1:6">
      <c r="A24" s="1258" t="s">
        <v>14</v>
      </c>
      <c r="B24" s="1259">
        <v>20</v>
      </c>
      <c r="C24" s="327"/>
      <c r="D24" s="327"/>
      <c r="E24" s="327"/>
      <c r="F24" s="327"/>
    </row>
    <row r="25" spans="1:6">
      <c r="A25" s="1258" t="s">
        <v>15</v>
      </c>
      <c r="B25" s="1259">
        <v>2497</v>
      </c>
      <c r="C25" s="327"/>
      <c r="D25" s="327"/>
      <c r="E25" s="327"/>
      <c r="F25" s="327"/>
    </row>
    <row r="26" spans="1:6">
      <c r="A26" s="1258" t="s">
        <v>16</v>
      </c>
      <c r="B26" s="1259">
        <v>219</v>
      </c>
      <c r="C26" s="327"/>
      <c r="D26" s="327"/>
      <c r="E26" s="327"/>
      <c r="F26" s="327"/>
    </row>
    <row r="27" spans="1:6">
      <c r="A27" s="1258" t="s">
        <v>17</v>
      </c>
      <c r="B27" s="1259">
        <v>11</v>
      </c>
      <c r="C27" s="327"/>
      <c r="D27" s="327"/>
      <c r="E27" s="327"/>
      <c r="F27" s="327"/>
    </row>
    <row r="28" spans="1:6">
      <c r="A28" s="1258" t="s">
        <v>18</v>
      </c>
      <c r="B28" s="1260">
        <v>129699</v>
      </c>
      <c r="C28" s="327"/>
      <c r="D28" s="327"/>
      <c r="E28" s="327"/>
      <c r="F28" s="327"/>
    </row>
    <row r="29" spans="1:6">
      <c r="A29" s="1258" t="s">
        <v>939</v>
      </c>
      <c r="B29" s="1260">
        <v>236</v>
      </c>
      <c r="C29" s="327"/>
      <c r="D29" s="327"/>
      <c r="E29" s="327"/>
      <c r="F29" s="327"/>
    </row>
    <row r="30" spans="1:6">
      <c r="A30" s="1253" t="s">
        <v>940</v>
      </c>
      <c r="B30" s="1261">
        <v>45</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0</v>
      </c>
      <c r="F35" s="1259">
        <v>0</v>
      </c>
    </row>
    <row r="36" spans="1:6">
      <c r="A36" s="1258" t="s">
        <v>24</v>
      </c>
      <c r="B36" s="1258" t="s">
        <v>26</v>
      </c>
      <c r="C36" s="1259">
        <v>0</v>
      </c>
      <c r="D36" s="1259">
        <v>0</v>
      </c>
      <c r="E36" s="1259">
        <v>0</v>
      </c>
      <c r="F36" s="1259">
        <v>0</v>
      </c>
    </row>
    <row r="37" spans="1:6">
      <c r="A37" s="1258" t="s">
        <v>24</v>
      </c>
      <c r="B37" s="1258" t="s">
        <v>27</v>
      </c>
      <c r="C37" s="1259">
        <v>0</v>
      </c>
      <c r="D37" s="1259">
        <v>0</v>
      </c>
      <c r="E37" s="1259">
        <v>0</v>
      </c>
      <c r="F37" s="1259">
        <v>0</v>
      </c>
    </row>
    <row r="38" spans="1:6">
      <c r="A38" s="1258" t="s">
        <v>24</v>
      </c>
      <c r="B38" s="1258" t="s">
        <v>28</v>
      </c>
      <c r="C38" s="1259">
        <v>0</v>
      </c>
      <c r="D38" s="1259">
        <v>0</v>
      </c>
      <c r="E38" s="1259">
        <v>2</v>
      </c>
      <c r="F38" s="1259">
        <v>41257.861624276004</v>
      </c>
    </row>
    <row r="39" spans="1:6">
      <c r="A39" s="1258" t="s">
        <v>29</v>
      </c>
      <c r="B39" s="1258" t="s">
        <v>30</v>
      </c>
      <c r="C39" s="1259">
        <v>1770</v>
      </c>
      <c r="D39" s="1259">
        <v>29652301.781948403</v>
      </c>
      <c r="E39" s="1259">
        <v>5785</v>
      </c>
      <c r="F39" s="1259">
        <v>29551916.9351869</v>
      </c>
    </row>
    <row r="40" spans="1:6">
      <c r="A40" s="1258" t="s">
        <v>29</v>
      </c>
      <c r="B40" s="1258" t="s">
        <v>28</v>
      </c>
      <c r="C40" s="1259">
        <v>0</v>
      </c>
      <c r="D40" s="1259">
        <v>0</v>
      </c>
      <c r="E40" s="1259">
        <v>0</v>
      </c>
      <c r="F40" s="1259">
        <v>0</v>
      </c>
    </row>
    <row r="41" spans="1:6">
      <c r="A41" s="1258" t="s">
        <v>31</v>
      </c>
      <c r="B41" s="1258" t="s">
        <v>32</v>
      </c>
      <c r="C41" s="1259">
        <v>18</v>
      </c>
      <c r="D41" s="1259">
        <v>366736.12234220898</v>
      </c>
      <c r="E41" s="1259">
        <v>162</v>
      </c>
      <c r="F41" s="1259">
        <v>2436603.2861873098</v>
      </c>
    </row>
    <row r="42" spans="1:6">
      <c r="A42" s="1258" t="s">
        <v>31</v>
      </c>
      <c r="B42" s="1258" t="s">
        <v>33</v>
      </c>
      <c r="C42" s="1259">
        <v>0</v>
      </c>
      <c r="D42" s="1259">
        <v>0</v>
      </c>
      <c r="E42" s="1259">
        <v>0</v>
      </c>
      <c r="F42" s="1259">
        <v>0</v>
      </c>
    </row>
    <row r="43" spans="1:6">
      <c r="A43" s="1258" t="s">
        <v>31</v>
      </c>
      <c r="B43" s="1258" t="s">
        <v>34</v>
      </c>
      <c r="C43" s="1259">
        <v>0</v>
      </c>
      <c r="D43" s="1259">
        <v>0</v>
      </c>
      <c r="E43" s="1259">
        <v>0</v>
      </c>
      <c r="F43" s="1259">
        <v>0</v>
      </c>
    </row>
    <row r="44" spans="1:6">
      <c r="A44" s="1258" t="s">
        <v>31</v>
      </c>
      <c r="B44" s="1258" t="s">
        <v>35</v>
      </c>
      <c r="C44" s="1259">
        <v>0</v>
      </c>
      <c r="D44" s="1259">
        <v>0</v>
      </c>
      <c r="E44" s="1259">
        <v>25</v>
      </c>
      <c r="F44" s="1259">
        <v>1486653.4756256351</v>
      </c>
    </row>
    <row r="45" spans="1:6">
      <c r="A45" s="1258" t="s">
        <v>31</v>
      </c>
      <c r="B45" s="1258" t="s">
        <v>36</v>
      </c>
      <c r="C45" s="1259">
        <v>0</v>
      </c>
      <c r="D45" s="1259">
        <v>0</v>
      </c>
      <c r="E45" s="1259">
        <v>0</v>
      </c>
      <c r="F45" s="1259">
        <v>0</v>
      </c>
    </row>
    <row r="46" spans="1:6">
      <c r="A46" s="1258" t="s">
        <v>31</v>
      </c>
      <c r="B46" s="1258" t="s">
        <v>37</v>
      </c>
      <c r="C46" s="1259">
        <v>0</v>
      </c>
      <c r="D46" s="1259">
        <v>0</v>
      </c>
      <c r="E46" s="1259">
        <v>0</v>
      </c>
      <c r="F46" s="1259">
        <v>0</v>
      </c>
    </row>
    <row r="47" spans="1:6">
      <c r="A47" s="1258" t="s">
        <v>31</v>
      </c>
      <c r="B47" s="1258" t="s">
        <v>38</v>
      </c>
      <c r="C47" s="1259">
        <v>0</v>
      </c>
      <c r="D47" s="1259">
        <v>0</v>
      </c>
      <c r="E47" s="1259">
        <v>3</v>
      </c>
      <c r="F47" s="1259">
        <v>1139695.1100246899</v>
      </c>
    </row>
    <row r="48" spans="1:6">
      <c r="A48" s="1258" t="s">
        <v>31</v>
      </c>
      <c r="B48" s="1258" t="s">
        <v>28</v>
      </c>
      <c r="C48" s="1259">
        <v>51</v>
      </c>
      <c r="D48" s="1259">
        <v>142861319.59941158</v>
      </c>
      <c r="E48" s="1259">
        <v>73</v>
      </c>
      <c r="F48" s="1259">
        <v>121180860.53603902</v>
      </c>
    </row>
    <row r="49" spans="1:6">
      <c r="A49" s="1258" t="s">
        <v>31</v>
      </c>
      <c r="B49" s="1258" t="s">
        <v>39</v>
      </c>
      <c r="C49" s="1259">
        <v>0</v>
      </c>
      <c r="D49" s="1259">
        <v>0</v>
      </c>
      <c r="E49" s="1259">
        <v>3</v>
      </c>
      <c r="F49" s="1259">
        <v>95316.215175516307</v>
      </c>
    </row>
    <row r="50" spans="1:6">
      <c r="A50" s="1258" t="s">
        <v>31</v>
      </c>
      <c r="B50" s="1258" t="s">
        <v>40</v>
      </c>
      <c r="C50" s="1259">
        <v>3</v>
      </c>
      <c r="D50" s="1259">
        <v>36877.713179574399</v>
      </c>
      <c r="E50" s="1259">
        <v>17</v>
      </c>
      <c r="F50" s="1259">
        <v>11557236.022787029</v>
      </c>
    </row>
    <row r="51" spans="1:6">
      <c r="A51" s="1258" t="s">
        <v>41</v>
      </c>
      <c r="B51" s="1258" t="s">
        <v>42</v>
      </c>
      <c r="C51" s="1259">
        <v>0</v>
      </c>
      <c r="D51" s="1259">
        <v>0</v>
      </c>
      <c r="E51" s="1259">
        <v>167</v>
      </c>
      <c r="F51" s="1259">
        <v>3089027.1270543491</v>
      </c>
    </row>
    <row r="52" spans="1:6">
      <c r="A52" s="1258" t="s">
        <v>41</v>
      </c>
      <c r="B52" s="1258" t="s">
        <v>28</v>
      </c>
      <c r="C52" s="1259">
        <v>9</v>
      </c>
      <c r="D52" s="1259">
        <v>906387.4253330552</v>
      </c>
      <c r="E52" s="1259">
        <v>12</v>
      </c>
      <c r="F52" s="1259">
        <v>289533.78972774011</v>
      </c>
    </row>
    <row r="53" spans="1:6">
      <c r="A53" s="1258" t="s">
        <v>43</v>
      </c>
      <c r="B53" s="1258" t="s">
        <v>44</v>
      </c>
      <c r="C53" s="1259">
        <v>37</v>
      </c>
      <c r="D53" s="1259">
        <v>853764.56272437703</v>
      </c>
      <c r="E53" s="1259">
        <v>144</v>
      </c>
      <c r="F53" s="1259">
        <v>982319.42805335706</v>
      </c>
    </row>
    <row r="54" spans="1:6">
      <c r="A54" s="1258" t="s">
        <v>45</v>
      </c>
      <c r="B54" s="1258" t="s">
        <v>46</v>
      </c>
      <c r="C54" s="1259">
        <v>0</v>
      </c>
      <c r="D54" s="1259">
        <v>0</v>
      </c>
      <c r="E54" s="1259">
        <v>3</v>
      </c>
      <c r="F54" s="1259">
        <v>1272825</v>
      </c>
    </row>
    <row r="55" spans="1:6">
      <c r="A55" s="1258" t="s">
        <v>45</v>
      </c>
      <c r="B55" s="1258" t="s">
        <v>28</v>
      </c>
      <c r="C55" s="1259">
        <v>0</v>
      </c>
      <c r="D55" s="1259">
        <v>0</v>
      </c>
      <c r="E55" s="1259">
        <v>0</v>
      </c>
      <c r="F55" s="1259">
        <v>0</v>
      </c>
    </row>
    <row r="56" spans="1:6">
      <c r="A56" s="1258" t="s">
        <v>47</v>
      </c>
      <c r="B56" s="1258" t="s">
        <v>28</v>
      </c>
      <c r="C56" s="1259">
        <v>0</v>
      </c>
      <c r="D56" s="1259">
        <v>0</v>
      </c>
      <c r="E56" s="1259">
        <v>0</v>
      </c>
      <c r="F56" s="1259">
        <v>0</v>
      </c>
    </row>
    <row r="57" spans="1:6">
      <c r="A57" s="1258" t="s">
        <v>48</v>
      </c>
      <c r="B57" s="1258" t="s">
        <v>49</v>
      </c>
      <c r="C57" s="1259">
        <v>7</v>
      </c>
      <c r="D57" s="1259">
        <v>537611.8071670247</v>
      </c>
      <c r="E57" s="1259">
        <v>52</v>
      </c>
      <c r="F57" s="1259">
        <v>657617.29746439308</v>
      </c>
    </row>
    <row r="58" spans="1:6">
      <c r="A58" s="1258" t="s">
        <v>48</v>
      </c>
      <c r="B58" s="1258" t="s">
        <v>50</v>
      </c>
      <c r="C58" s="1259">
        <v>0</v>
      </c>
      <c r="D58" s="1259">
        <v>0</v>
      </c>
      <c r="E58" s="1259">
        <v>30</v>
      </c>
      <c r="F58" s="1259">
        <v>258865.98539258301</v>
      </c>
    </row>
    <row r="59" spans="1:6">
      <c r="A59" s="1258" t="s">
        <v>48</v>
      </c>
      <c r="B59" s="1258" t="s">
        <v>51</v>
      </c>
      <c r="C59" s="1259">
        <v>13</v>
      </c>
      <c r="D59" s="1259">
        <v>780385.16374203202</v>
      </c>
      <c r="E59" s="1259">
        <v>162</v>
      </c>
      <c r="F59" s="1259">
        <v>5187978.5367464395</v>
      </c>
    </row>
    <row r="60" spans="1:6">
      <c r="A60" s="1258" t="s">
        <v>48</v>
      </c>
      <c r="B60" s="1258" t="s">
        <v>52</v>
      </c>
      <c r="C60" s="1259">
        <v>24</v>
      </c>
      <c r="D60" s="1259">
        <v>695413.65878974996</v>
      </c>
      <c r="E60" s="1259">
        <v>58</v>
      </c>
      <c r="F60" s="1259">
        <v>1946433.0396232721</v>
      </c>
    </row>
    <row r="61" spans="1:6">
      <c r="A61" s="1258" t="s">
        <v>48</v>
      </c>
      <c r="B61" s="1258" t="s">
        <v>53</v>
      </c>
      <c r="C61" s="1259">
        <v>45</v>
      </c>
      <c r="D61" s="1259">
        <v>2247852.355530662</v>
      </c>
      <c r="E61" s="1259">
        <v>214</v>
      </c>
      <c r="F61" s="1259">
        <v>2482695.6539309672</v>
      </c>
    </row>
    <row r="62" spans="1:6">
      <c r="A62" s="1258" t="s">
        <v>48</v>
      </c>
      <c r="B62" s="1258" t="s">
        <v>54</v>
      </c>
      <c r="C62" s="1259">
        <v>0</v>
      </c>
      <c r="D62" s="1259">
        <v>0</v>
      </c>
      <c r="E62" s="1259">
        <v>0</v>
      </c>
      <c r="F62" s="1259">
        <v>0</v>
      </c>
    </row>
    <row r="63" spans="1:6">
      <c r="A63" s="1258" t="s">
        <v>48</v>
      </c>
      <c r="B63" s="1258" t="s">
        <v>28</v>
      </c>
      <c r="C63" s="1259">
        <v>121</v>
      </c>
      <c r="D63" s="1259">
        <v>22258286.454113681</v>
      </c>
      <c r="E63" s="1259">
        <v>258</v>
      </c>
      <c r="F63" s="1259">
        <v>5373027.1079329699</v>
      </c>
    </row>
    <row r="64" spans="1:6">
      <c r="A64" s="1258" t="s">
        <v>55</v>
      </c>
      <c r="B64" s="1258" t="s">
        <v>56</v>
      </c>
      <c r="C64" s="1259">
        <v>0</v>
      </c>
      <c r="D64" s="1259">
        <v>0</v>
      </c>
      <c r="E64" s="1259">
        <v>0</v>
      </c>
      <c r="F64" s="1259">
        <v>0</v>
      </c>
    </row>
    <row r="65" spans="1:6">
      <c r="A65" s="1258" t="s">
        <v>55</v>
      </c>
      <c r="B65" s="1258" t="s">
        <v>28</v>
      </c>
      <c r="C65" s="1259">
        <v>1</v>
      </c>
      <c r="D65" s="1259">
        <v>36665.294300197798</v>
      </c>
      <c r="E65" s="1259">
        <v>4</v>
      </c>
      <c r="F65" s="1259">
        <v>16214.403737181299</v>
      </c>
    </row>
    <row r="66" spans="1:6">
      <c r="A66" s="1258" t="s">
        <v>55</v>
      </c>
      <c r="B66" s="1258" t="s">
        <v>57</v>
      </c>
      <c r="C66" s="1259">
        <v>0</v>
      </c>
      <c r="D66" s="1259">
        <v>0</v>
      </c>
      <c r="E66" s="1259">
        <v>0</v>
      </c>
      <c r="F66" s="1259">
        <v>0</v>
      </c>
    </row>
    <row r="67" spans="1:6">
      <c r="A67" s="1258" t="s">
        <v>55</v>
      </c>
      <c r="B67" s="1258" t="s">
        <v>58</v>
      </c>
      <c r="C67" s="1259">
        <v>0</v>
      </c>
      <c r="D67" s="1259">
        <v>0</v>
      </c>
      <c r="E67" s="1259">
        <v>0</v>
      </c>
      <c r="F67" s="1259">
        <v>0</v>
      </c>
    </row>
    <row r="68" spans="1:6">
      <c r="A68" s="1253" t="s">
        <v>55</v>
      </c>
      <c r="B68" s="1253" t="s">
        <v>59</v>
      </c>
      <c r="C68" s="1261">
        <v>0</v>
      </c>
      <c r="D68" s="1261">
        <v>0</v>
      </c>
      <c r="E68" s="1261">
        <v>8</v>
      </c>
      <c r="F68" s="1261">
        <v>192754.02938795599</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442</v>
      </c>
      <c r="E71" s="1278"/>
      <c r="F71" s="334"/>
    </row>
    <row r="72" spans="1:6" ht="16.5" thickTop="1" thickBot="1">
      <c r="A72" s="1255" t="s">
        <v>61</v>
      </c>
      <c r="B72" s="1256" t="s">
        <v>62</v>
      </c>
      <c r="C72" s="1269" t="s">
        <v>716</v>
      </c>
      <c r="D72" s="1270"/>
      <c r="E72" s="1270"/>
      <c r="F72" s="1257"/>
    </row>
    <row r="73" spans="1:6">
      <c r="A73" s="1258" t="s">
        <v>63</v>
      </c>
      <c r="B73" s="1258" t="s">
        <v>723</v>
      </c>
      <c r="C73" s="1271" t="s">
        <v>717</v>
      </c>
      <c r="D73" s="1259">
        <v>102880335</v>
      </c>
      <c r="E73" s="445"/>
      <c r="F73" s="327"/>
    </row>
    <row r="74" spans="1:6">
      <c r="A74" s="1258" t="s">
        <v>63</v>
      </c>
      <c r="B74" s="1258" t="s">
        <v>724</v>
      </c>
      <c r="C74" s="1271" t="s">
        <v>718</v>
      </c>
      <c r="D74" s="1259">
        <v>9754948.1206974387</v>
      </c>
      <c r="E74" s="445"/>
      <c r="F74" s="327"/>
    </row>
    <row r="75" spans="1:6">
      <c r="A75" s="1258" t="s">
        <v>64</v>
      </c>
      <c r="B75" s="1258" t="s">
        <v>723</v>
      </c>
      <c r="C75" s="1271" t="s">
        <v>719</v>
      </c>
      <c r="D75" s="1259">
        <v>22854480</v>
      </c>
      <c r="E75" s="445"/>
      <c r="F75" s="327"/>
    </row>
    <row r="76" spans="1:6">
      <c r="A76" s="1258" t="s">
        <v>64</v>
      </c>
      <c r="B76" s="1258" t="s">
        <v>724</v>
      </c>
      <c r="C76" s="1271" t="s">
        <v>720</v>
      </c>
      <c r="D76" s="1259">
        <v>588278.12069743825</v>
      </c>
      <c r="E76" s="445"/>
      <c r="F76" s="327"/>
    </row>
    <row r="77" spans="1:6">
      <c r="A77" s="1258" t="s">
        <v>65</v>
      </c>
      <c r="B77" s="1258" t="s">
        <v>723</v>
      </c>
      <c r="C77" s="1271" t="s">
        <v>721</v>
      </c>
      <c r="D77" s="1259">
        <v>161979501</v>
      </c>
      <c r="E77" s="445"/>
      <c r="F77" s="327"/>
    </row>
    <row r="78" spans="1:6">
      <c r="A78" s="1253" t="s">
        <v>65</v>
      </c>
      <c r="B78" s="1253" t="s">
        <v>724</v>
      </c>
      <c r="C78" s="1253" t="s">
        <v>722</v>
      </c>
      <c r="D78" s="1261">
        <v>44003860</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198271.75860512353</v>
      </c>
      <c r="C83" s="445"/>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547</v>
      </c>
      <c r="B89" s="1259">
        <v>0</v>
      </c>
      <c r="C89" s="327"/>
      <c r="D89" s="327"/>
      <c r="E89" s="327"/>
      <c r="F89" s="327"/>
    </row>
    <row r="90" spans="1:6">
      <c r="A90" s="1258" t="s">
        <v>548</v>
      </c>
      <c r="B90" s="1259">
        <v>0</v>
      </c>
      <c r="C90" s="327"/>
      <c r="D90" s="327"/>
      <c r="E90" s="327"/>
      <c r="F90" s="327"/>
    </row>
    <row r="91" spans="1:6">
      <c r="A91" s="1258" t="s">
        <v>67</v>
      </c>
      <c r="B91" s="1259">
        <v>2812.7584772552955</v>
      </c>
      <c r="C91" s="327"/>
      <c r="D91" s="327"/>
      <c r="E91" s="327"/>
      <c r="F91" s="327"/>
    </row>
    <row r="92" spans="1:6">
      <c r="A92" s="1253" t="s">
        <v>68</v>
      </c>
      <c r="B92" s="1254">
        <v>4921.7876089152578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432</v>
      </c>
      <c r="C97" s="327"/>
      <c r="D97" s="327"/>
      <c r="E97" s="327"/>
      <c r="F97" s="327"/>
    </row>
    <row r="98" spans="1:6">
      <c r="A98" s="1258" t="s">
        <v>71</v>
      </c>
      <c r="B98" s="1259">
        <v>0</v>
      </c>
      <c r="C98" s="327"/>
      <c r="D98" s="327"/>
      <c r="E98" s="327"/>
      <c r="F98" s="327"/>
    </row>
    <row r="99" spans="1:6">
      <c r="A99" s="1258" t="s">
        <v>72</v>
      </c>
      <c r="B99" s="1259">
        <v>143</v>
      </c>
      <c r="C99" s="327"/>
      <c r="D99" s="327"/>
      <c r="E99" s="327"/>
      <c r="F99" s="327"/>
    </row>
    <row r="100" spans="1:6">
      <c r="A100" s="1258" t="s">
        <v>73</v>
      </c>
      <c r="B100" s="1259">
        <v>608</v>
      </c>
      <c r="C100" s="327"/>
      <c r="D100" s="327"/>
      <c r="E100" s="327"/>
      <c r="F100" s="327"/>
    </row>
    <row r="101" spans="1:6">
      <c r="A101" s="1258" t="s">
        <v>74</v>
      </c>
      <c r="B101" s="1259">
        <v>139</v>
      </c>
      <c r="C101" s="327"/>
      <c r="D101" s="327"/>
      <c r="E101" s="327"/>
      <c r="F101" s="327"/>
    </row>
    <row r="102" spans="1:6">
      <c r="A102" s="1258" t="s">
        <v>75</v>
      </c>
      <c r="B102" s="1259">
        <v>101</v>
      </c>
      <c r="C102" s="327"/>
      <c r="D102" s="327"/>
      <c r="E102" s="327"/>
      <c r="F102" s="327"/>
    </row>
    <row r="103" spans="1:6">
      <c r="A103" s="1258" t="s">
        <v>76</v>
      </c>
      <c r="B103" s="1259">
        <v>230</v>
      </c>
      <c r="C103" s="327"/>
      <c r="D103" s="327"/>
      <c r="E103" s="327"/>
      <c r="F103" s="327"/>
    </row>
    <row r="104" spans="1:6">
      <c r="A104" s="1258" t="s">
        <v>77</v>
      </c>
      <c r="B104" s="1259">
        <v>3777</v>
      </c>
      <c r="C104" s="327"/>
      <c r="D104" s="327"/>
      <c r="E104" s="327"/>
      <c r="F104" s="327"/>
    </row>
    <row r="105" spans="1:6">
      <c r="A105" s="1253" t="s">
        <v>78</v>
      </c>
      <c r="B105" s="1261">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661</v>
      </c>
      <c r="B108" s="328"/>
      <c r="C108" s="328"/>
      <c r="D108" s="328"/>
      <c r="E108" s="328"/>
      <c r="F108" s="332"/>
    </row>
    <row r="109" spans="1:6" ht="16.5" thickTop="1" thickBot="1">
      <c r="A109" s="1255" t="s">
        <v>4</v>
      </c>
      <c r="B109" s="1256" t="s">
        <v>5</v>
      </c>
      <c r="C109" s="1256"/>
      <c r="D109" s="1256"/>
      <c r="E109" s="1256"/>
      <c r="F109" s="1257"/>
    </row>
    <row r="110" spans="1:6">
      <c r="A110" s="1258" t="s">
        <v>662</v>
      </c>
      <c r="B110" s="1259">
        <v>0</v>
      </c>
      <c r="C110" s="327"/>
      <c r="D110" s="327"/>
      <c r="E110" s="327"/>
      <c r="F110" s="327"/>
    </row>
    <row r="111" spans="1:6">
      <c r="A111" s="1276" t="s">
        <v>663</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0</v>
      </c>
      <c r="C121" s="1259">
        <v>0</v>
      </c>
      <c r="D121" s="327"/>
      <c r="E121" s="327"/>
      <c r="F121" s="327"/>
    </row>
    <row r="122" spans="1:6">
      <c r="A122" s="1258" t="s">
        <v>86</v>
      </c>
      <c r="B122" s="1259">
        <v>0</v>
      </c>
      <c r="C122" s="1259">
        <v>0</v>
      </c>
      <c r="D122" s="327"/>
      <c r="E122" s="327"/>
      <c r="F122" s="327"/>
    </row>
    <row r="123" spans="1:6">
      <c r="A123" s="1258" t="s">
        <v>87</v>
      </c>
      <c r="B123" s="1259">
        <v>12</v>
      </c>
      <c r="C123" s="1259">
        <v>9</v>
      </c>
      <c r="D123" s="327"/>
      <c r="E123" s="327"/>
      <c r="F123" s="327"/>
    </row>
    <row r="124" spans="1:6">
      <c r="A124" s="1258" t="s">
        <v>88</v>
      </c>
      <c r="B124" s="1259">
        <v>0</v>
      </c>
      <c r="C124" s="1259">
        <v>0</v>
      </c>
      <c r="D124" s="327"/>
      <c r="E124" s="327"/>
      <c r="F124" s="327"/>
    </row>
    <row r="125" spans="1:6">
      <c r="A125" s="1253" t="s">
        <v>887</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70</v>
      </c>
      <c r="C129" s="327"/>
      <c r="D129" s="327"/>
      <c r="E129" s="327"/>
      <c r="F129" s="327"/>
    </row>
    <row r="130" spans="1:6">
      <c r="A130" s="1258" t="s">
        <v>284</v>
      </c>
      <c r="B130" s="1259">
        <v>4</v>
      </c>
      <c r="C130" s="327"/>
      <c r="D130" s="327"/>
      <c r="E130" s="327"/>
      <c r="F130" s="327"/>
    </row>
    <row r="131" spans="1:6">
      <c r="A131" s="1258" t="s">
        <v>285</v>
      </c>
      <c r="B131" s="1259">
        <v>2</v>
      </c>
      <c r="C131" s="327"/>
      <c r="D131" s="327"/>
      <c r="E131" s="327"/>
      <c r="F131" s="327"/>
    </row>
    <row r="132" spans="1:6">
      <c r="A132" s="1253" t="s">
        <v>286</v>
      </c>
      <c r="B132" s="1254">
        <v>9</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890</v>
      </c>
      <c r="B2" s="504"/>
    </row>
    <row r="3" spans="1:12">
      <c r="A3" s="45"/>
      <c r="B3" s="504"/>
    </row>
    <row r="4" spans="1:12" ht="18">
      <c r="A4" s="138" t="s">
        <v>174</v>
      </c>
      <c r="B4" s="505" t="s">
        <v>377</v>
      </c>
    </row>
    <row r="5" spans="1:12" ht="21">
      <c r="A5" s="117" t="s">
        <v>176</v>
      </c>
      <c r="B5" s="506"/>
      <c r="D5" s="632"/>
      <c r="E5" s="9"/>
      <c r="F5" s="10"/>
      <c r="G5" s="10"/>
      <c r="H5" s="10"/>
      <c r="I5" s="10"/>
      <c r="J5" s="10"/>
    </row>
    <row r="6" spans="1:12">
      <c r="A6" s="118" t="s">
        <v>177</v>
      </c>
      <c r="B6" s="507">
        <v>4.0513950503279288</v>
      </c>
      <c r="D6" s="632"/>
      <c r="E6" s="11"/>
      <c r="F6" s="11"/>
      <c r="G6" s="11"/>
      <c r="H6" s="11"/>
      <c r="I6" s="11"/>
      <c r="J6" s="11"/>
      <c r="K6" s="11"/>
      <c r="L6" s="11"/>
    </row>
    <row r="7" spans="1:12">
      <c r="A7" s="118" t="s">
        <v>6</v>
      </c>
      <c r="B7" s="507">
        <v>122.79365082154247</v>
      </c>
      <c r="D7" s="632"/>
      <c r="K7" s="11"/>
      <c r="L7" s="11"/>
    </row>
    <row r="8" spans="1:12">
      <c r="A8" s="118" t="s">
        <v>7</v>
      </c>
      <c r="B8" s="507">
        <v>68.93039719873984</v>
      </c>
      <c r="D8" s="632"/>
      <c r="K8" s="11"/>
      <c r="L8" s="11"/>
    </row>
    <row r="9" spans="1:12">
      <c r="A9" s="118" t="s">
        <v>8</v>
      </c>
      <c r="B9" s="507">
        <v>31.909886478760502</v>
      </c>
      <c r="D9" s="632"/>
      <c r="E9" s="11"/>
      <c r="F9" s="11"/>
      <c r="G9" s="11"/>
      <c r="H9" s="11"/>
      <c r="I9" s="11"/>
      <c r="J9" s="11"/>
      <c r="K9" s="11"/>
      <c r="L9" s="11"/>
    </row>
    <row r="10" spans="1:12">
      <c r="A10" s="118" t="s">
        <v>9</v>
      </c>
      <c r="B10" s="507">
        <v>47.849994776441498</v>
      </c>
      <c r="D10" s="632"/>
      <c r="E10" s="12"/>
      <c r="F10" s="12"/>
      <c r="G10" s="12"/>
      <c r="H10" s="12"/>
      <c r="I10" s="12"/>
      <c r="J10" s="12"/>
      <c r="K10" s="11"/>
      <c r="L10" s="11"/>
    </row>
    <row r="11" spans="1:12">
      <c r="A11" s="118" t="s">
        <v>10</v>
      </c>
      <c r="B11" s="507">
        <v>41.361552447157969</v>
      </c>
      <c r="D11" s="632"/>
      <c r="F11" s="12"/>
      <c r="G11" s="12"/>
      <c r="H11" s="12"/>
      <c r="I11" s="12"/>
      <c r="J11" s="12"/>
      <c r="K11" s="11"/>
      <c r="L11" s="11"/>
    </row>
    <row r="12" spans="1:12">
      <c r="A12" s="119" t="s">
        <v>16</v>
      </c>
      <c r="B12" s="507">
        <v>8</v>
      </c>
      <c r="D12" s="632"/>
      <c r="E12" s="12"/>
      <c r="F12" s="11"/>
      <c r="G12" s="11"/>
      <c r="H12" s="11"/>
      <c r="I12" s="11"/>
      <c r="J12" s="11"/>
      <c r="K12" s="11"/>
      <c r="L12" s="11"/>
    </row>
    <row r="13" spans="1:12">
      <c r="A13" s="119" t="s">
        <v>17</v>
      </c>
      <c r="B13" s="507">
        <v>5</v>
      </c>
      <c r="D13" s="632"/>
      <c r="E13" s="11"/>
      <c r="F13" s="11"/>
      <c r="G13" s="11"/>
      <c r="H13" s="11"/>
      <c r="I13" s="11"/>
      <c r="J13" s="11"/>
      <c r="K13" s="11"/>
      <c r="L13" s="11"/>
    </row>
    <row r="14" spans="1:12">
      <c r="A14" s="119" t="s">
        <v>178</v>
      </c>
      <c r="B14" s="507">
        <v>1.5</v>
      </c>
      <c r="D14" s="632"/>
      <c r="E14" s="11"/>
      <c r="F14" s="11"/>
      <c r="G14" s="11"/>
      <c r="H14" s="11"/>
      <c r="I14" s="11"/>
      <c r="J14" s="11"/>
      <c r="K14" s="11"/>
      <c r="L14" s="11"/>
    </row>
    <row r="15" spans="1:12">
      <c r="A15" s="119" t="s">
        <v>179</v>
      </c>
      <c r="B15" s="507">
        <v>18</v>
      </c>
      <c r="D15" s="632"/>
      <c r="E15" s="11"/>
      <c r="F15" s="11"/>
      <c r="G15" s="11"/>
      <c r="H15" s="11"/>
      <c r="I15" s="11"/>
      <c r="J15" s="11"/>
      <c r="K15" s="11"/>
      <c r="L15" s="11"/>
    </row>
    <row r="16" spans="1:12">
      <c r="A16" s="119" t="s">
        <v>180</v>
      </c>
      <c r="B16" s="508">
        <v>10</v>
      </c>
      <c r="D16" s="632"/>
      <c r="E16" s="11"/>
      <c r="F16" s="11"/>
      <c r="G16" s="11"/>
      <c r="H16" s="11"/>
      <c r="I16" s="11"/>
      <c r="J16" s="11"/>
      <c r="K16" s="11"/>
      <c r="L16" s="11"/>
    </row>
    <row r="17" spans="1:12" s="44" customFormat="1" ht="15.75" thickBot="1">
      <c r="A17" s="120"/>
      <c r="B17" s="509"/>
      <c r="D17" s="633"/>
      <c r="E17" s="157"/>
      <c r="F17" s="157"/>
      <c r="G17" s="157"/>
      <c r="H17" s="157"/>
      <c r="I17" s="157"/>
      <c r="J17" s="157"/>
      <c r="K17" s="157"/>
      <c r="L17" s="157"/>
    </row>
    <row r="18" spans="1:12" s="44" customFormat="1" ht="15.75" thickBot="1">
      <c r="A18" s="195"/>
      <c r="B18" s="510"/>
      <c r="D18" s="633"/>
      <c r="E18" s="157"/>
      <c r="F18" s="157"/>
      <c r="G18" s="157"/>
      <c r="H18" s="157"/>
      <c r="I18" s="157"/>
      <c r="J18" s="157"/>
      <c r="K18" s="157"/>
      <c r="L18" s="157"/>
    </row>
    <row r="19" spans="1:12" ht="18.75" thickBot="1">
      <c r="A19" s="122" t="s">
        <v>181</v>
      </c>
      <c r="B19" s="503"/>
      <c r="D19" s="632"/>
      <c r="E19" s="11"/>
      <c r="F19" s="11"/>
      <c r="G19" s="11"/>
      <c r="H19" s="11"/>
      <c r="I19" s="11"/>
      <c r="J19" s="11"/>
      <c r="K19" s="11"/>
      <c r="L19" s="11"/>
    </row>
    <row r="20" spans="1:12">
      <c r="A20" s="45" t="s">
        <v>890</v>
      </c>
      <c r="B20" s="504"/>
      <c r="D20" s="632"/>
      <c r="E20" s="11"/>
      <c r="F20" s="11"/>
      <c r="G20" s="11"/>
      <c r="H20" s="11"/>
      <c r="I20" s="11"/>
      <c r="J20" s="11"/>
      <c r="K20" s="11"/>
      <c r="L20" s="11"/>
    </row>
    <row r="21" spans="1:12">
      <c r="A21" s="45"/>
      <c r="B21" s="504"/>
      <c r="D21" s="632"/>
      <c r="E21" s="11"/>
      <c r="F21" s="11"/>
      <c r="G21" s="11"/>
      <c r="H21" s="11"/>
      <c r="I21" s="11"/>
      <c r="J21" s="11"/>
      <c r="K21" s="11"/>
      <c r="L21" s="11"/>
    </row>
    <row r="22" spans="1:12" ht="18">
      <c r="A22" s="139" t="s">
        <v>174</v>
      </c>
      <c r="B22" s="511" t="s">
        <v>377</v>
      </c>
      <c r="D22" s="632"/>
      <c r="E22" s="11"/>
      <c r="F22" s="11"/>
      <c r="G22" s="11"/>
      <c r="H22" s="11"/>
      <c r="I22" s="11"/>
      <c r="J22" s="11"/>
      <c r="K22" s="11"/>
      <c r="L22" s="11"/>
    </row>
    <row r="23" spans="1:12" s="73" customFormat="1">
      <c r="A23" s="119" t="s">
        <v>176</v>
      </c>
      <c r="B23" s="507">
        <v>8.3866327608678333</v>
      </c>
      <c r="D23" s="848"/>
    </row>
    <row r="24" spans="1:12">
      <c r="A24" s="118" t="s">
        <v>177</v>
      </c>
      <c r="B24" s="507">
        <v>4.2231090152811745</v>
      </c>
      <c r="D24" s="632"/>
      <c r="E24" s="11"/>
      <c r="F24" s="11"/>
      <c r="G24" s="11"/>
      <c r="H24" s="11"/>
      <c r="I24" s="11"/>
      <c r="J24" s="11"/>
      <c r="K24" s="11"/>
      <c r="L24" s="11"/>
    </row>
    <row r="25" spans="1:12">
      <c r="A25" s="118" t="s">
        <v>6</v>
      </c>
      <c r="B25" s="507">
        <v>30.534074199610561</v>
      </c>
      <c r="D25" s="632"/>
      <c r="E25" s="11"/>
      <c r="F25" s="11"/>
      <c r="G25" s="11"/>
      <c r="H25" s="11"/>
      <c r="I25" s="11"/>
      <c r="J25" s="11"/>
      <c r="K25" s="11"/>
      <c r="L25" s="11"/>
    </row>
    <row r="26" spans="1:12">
      <c r="A26" s="118" t="s">
        <v>7</v>
      </c>
      <c r="B26" s="507">
        <v>1.9411368027258669</v>
      </c>
      <c r="D26" s="632"/>
      <c r="E26" s="11"/>
      <c r="F26" s="11"/>
      <c r="G26" s="11"/>
      <c r="H26" s="11"/>
      <c r="I26" s="11"/>
      <c r="J26" s="11"/>
      <c r="K26" s="11"/>
      <c r="L26" s="11"/>
    </row>
    <row r="27" spans="1:12">
      <c r="A27" s="118" t="s">
        <v>8</v>
      </c>
      <c r="B27" s="507">
        <v>1.1866727390714367</v>
      </c>
      <c r="D27" s="632"/>
      <c r="E27" s="11"/>
      <c r="F27" s="11"/>
      <c r="G27" s="11"/>
      <c r="H27" s="11"/>
      <c r="I27" s="11"/>
      <c r="J27" s="11"/>
      <c r="K27" s="11"/>
      <c r="L27" s="11"/>
    </row>
    <row r="28" spans="1:12">
      <c r="A28" s="118" t="s">
        <v>9</v>
      </c>
      <c r="B28" s="507">
        <v>4.7483867345306097</v>
      </c>
      <c r="D28" s="632"/>
      <c r="E28" s="11"/>
      <c r="F28" s="11"/>
      <c r="G28" s="11"/>
      <c r="H28" s="11"/>
      <c r="I28" s="11"/>
      <c r="J28" s="11"/>
      <c r="K28" s="11"/>
      <c r="L28" s="11"/>
    </row>
    <row r="29" spans="1:12">
      <c r="A29" s="118" t="s">
        <v>10</v>
      </c>
      <c r="B29" s="507">
        <v>3.3232292777158934</v>
      </c>
      <c r="D29" s="632"/>
      <c r="E29" s="11"/>
      <c r="F29" s="11"/>
      <c r="G29" s="11"/>
      <c r="H29" s="11"/>
      <c r="I29" s="11"/>
      <c r="J29" s="11"/>
      <c r="K29" s="11"/>
      <c r="L29" s="11"/>
    </row>
    <row r="30" spans="1:12">
      <c r="A30" s="119" t="s">
        <v>178</v>
      </c>
      <c r="B30" s="507">
        <v>4.4956114382378773</v>
      </c>
      <c r="D30" s="632"/>
      <c r="E30" s="11"/>
      <c r="F30" s="11"/>
      <c r="G30" s="11"/>
      <c r="H30" s="11"/>
      <c r="I30" s="11"/>
      <c r="J30" s="11"/>
      <c r="K30" s="11"/>
      <c r="L30" s="11"/>
    </row>
    <row r="31" spans="1:12">
      <c r="A31" s="118" t="s">
        <v>11</v>
      </c>
      <c r="B31" s="507">
        <v>1.6075002802320004</v>
      </c>
      <c r="D31" s="632"/>
      <c r="E31" s="11"/>
      <c r="F31" s="11"/>
      <c r="G31" s="11"/>
      <c r="H31" s="11"/>
      <c r="I31" s="11"/>
      <c r="J31" s="11"/>
      <c r="K31" s="11"/>
      <c r="L31" s="11"/>
    </row>
    <row r="32" spans="1:12">
      <c r="A32" s="118" t="s">
        <v>12</v>
      </c>
      <c r="B32" s="507">
        <v>4.8225008406960006</v>
      </c>
      <c r="D32" s="632"/>
      <c r="E32" s="11"/>
      <c r="F32" s="11"/>
      <c r="G32" s="11"/>
      <c r="H32" s="11"/>
      <c r="I32" s="11"/>
      <c r="J32" s="11"/>
      <c r="K32" s="11"/>
      <c r="L32" s="11"/>
    </row>
    <row r="33" spans="1:14">
      <c r="A33" s="118" t="s">
        <v>13</v>
      </c>
      <c r="B33" s="507">
        <v>6.3685027042560023</v>
      </c>
      <c r="D33" s="632"/>
      <c r="E33" s="11"/>
      <c r="F33" s="11"/>
      <c r="G33" s="11"/>
      <c r="H33" s="11"/>
      <c r="I33" s="11"/>
      <c r="J33" s="11"/>
      <c r="K33" s="11"/>
      <c r="L33" s="11"/>
    </row>
    <row r="34" spans="1:14">
      <c r="A34" s="118" t="s">
        <v>14</v>
      </c>
      <c r="B34" s="507">
        <v>4.6362973013280016</v>
      </c>
      <c r="D34" s="632"/>
      <c r="E34" s="11"/>
      <c r="F34" s="11"/>
      <c r="G34" s="11"/>
      <c r="H34" s="11"/>
      <c r="I34" s="11"/>
      <c r="J34" s="11"/>
      <c r="K34" s="11"/>
      <c r="L34" s="11"/>
    </row>
    <row r="35" spans="1:14">
      <c r="A35" s="118" t="s">
        <v>15</v>
      </c>
      <c r="B35" s="507">
        <v>12.338973989496003</v>
      </c>
      <c r="D35" s="632"/>
      <c r="E35" s="11"/>
      <c r="F35" s="11"/>
      <c r="G35" s="11"/>
      <c r="H35" s="11"/>
      <c r="I35" s="11"/>
      <c r="J35" s="11"/>
      <c r="K35" s="11"/>
      <c r="L35" s="11"/>
    </row>
    <row r="36" spans="1:14">
      <c r="A36" s="119" t="s">
        <v>16</v>
      </c>
      <c r="B36" s="507">
        <v>0.19</v>
      </c>
      <c r="D36" s="632"/>
      <c r="E36" s="11"/>
      <c r="F36" s="11"/>
      <c r="G36" s="11"/>
      <c r="H36" s="11"/>
      <c r="I36" s="11"/>
      <c r="J36" s="11"/>
      <c r="K36" s="11"/>
      <c r="L36" s="11"/>
    </row>
    <row r="37" spans="1:14">
      <c r="A37" s="119" t="s">
        <v>17</v>
      </c>
      <c r="B37" s="507">
        <v>0.13</v>
      </c>
      <c r="D37" s="632"/>
    </row>
    <row r="38" spans="1:14">
      <c r="A38" s="119" t="s">
        <v>179</v>
      </c>
      <c r="B38" s="507">
        <v>1.56</v>
      </c>
      <c r="D38" s="632"/>
    </row>
    <row r="39" spans="1:14">
      <c r="A39" s="119" t="s">
        <v>180</v>
      </c>
      <c r="B39" s="507">
        <v>0.76</v>
      </c>
      <c r="D39" s="632"/>
    </row>
    <row r="40" spans="1:14">
      <c r="A40" s="119" t="s">
        <v>18</v>
      </c>
      <c r="B40" s="508">
        <v>2.3643595928349682E-2</v>
      </c>
      <c r="D40" s="632"/>
    </row>
    <row r="41" spans="1:14" ht="15.75" thickBot="1">
      <c r="A41" s="120"/>
      <c r="B41" s="512"/>
      <c r="D41" s="632"/>
    </row>
    <row r="42" spans="1:14" s="44" customFormat="1" ht="15.75" thickBot="1">
      <c r="A42" s="196"/>
      <c r="B42" s="510"/>
      <c r="D42" s="633"/>
      <c r="E42" s="197"/>
      <c r="F42" s="197"/>
      <c r="G42" s="197"/>
      <c r="H42" s="197"/>
      <c r="I42" s="197"/>
      <c r="J42" s="197"/>
      <c r="K42" s="197"/>
      <c r="L42" s="197"/>
      <c r="M42" s="197"/>
      <c r="N42" s="197"/>
    </row>
    <row r="43" spans="1:14" ht="15.75" thickBot="1">
      <c r="A43" s="122" t="s">
        <v>182</v>
      </c>
      <c r="B43" s="513"/>
      <c r="D43" s="632"/>
    </row>
    <row r="44" spans="1:14">
      <c r="A44" s="45" t="s">
        <v>704</v>
      </c>
      <c r="B44" s="504"/>
      <c r="D44" s="632"/>
    </row>
    <row r="45" spans="1:14">
      <c r="A45" s="45"/>
      <c r="B45" s="504"/>
      <c r="D45" s="632"/>
    </row>
    <row r="46" spans="1:14" ht="18">
      <c r="A46" s="138" t="s">
        <v>183</v>
      </c>
      <c r="B46" s="505" t="s">
        <v>574</v>
      </c>
      <c r="D46" s="632"/>
    </row>
    <row r="47" spans="1:14">
      <c r="A47" s="117" t="s">
        <v>184</v>
      </c>
      <c r="B47" s="514">
        <v>0.91157113899502651</v>
      </c>
      <c r="D47" s="632"/>
    </row>
    <row r="48" spans="1:14">
      <c r="A48" s="119" t="s">
        <v>185</v>
      </c>
      <c r="B48" s="507">
        <v>0.92103501901379137</v>
      </c>
      <c r="D48" s="632"/>
    </row>
    <row r="49" spans="1:12">
      <c r="A49" s="119" t="s">
        <v>178</v>
      </c>
      <c r="B49" s="507">
        <v>3.3606404879796568E-2</v>
      </c>
      <c r="D49" s="632"/>
    </row>
    <row r="50" spans="1:12">
      <c r="A50" s="119" t="s">
        <v>18</v>
      </c>
      <c r="B50" s="507">
        <v>9.7262583974202599E-4</v>
      </c>
      <c r="D50" s="632"/>
      <c r="E50" s="11"/>
      <c r="F50" s="11"/>
      <c r="G50" s="11"/>
      <c r="H50" s="11"/>
      <c r="I50" s="11"/>
      <c r="J50" s="11"/>
      <c r="K50" s="11"/>
      <c r="L50" s="11"/>
    </row>
    <row r="51" spans="1:12">
      <c r="A51" s="119" t="s">
        <v>16</v>
      </c>
      <c r="B51" s="507">
        <v>6.3875808661971742E-3</v>
      </c>
      <c r="D51" s="632"/>
      <c r="E51" s="11"/>
      <c r="F51" s="11"/>
      <c r="G51" s="11"/>
      <c r="H51" s="11"/>
      <c r="I51" s="11"/>
      <c r="J51" s="11"/>
      <c r="K51" s="11"/>
      <c r="L51" s="11"/>
    </row>
    <row r="52" spans="1:12" ht="15.75" thickBot="1">
      <c r="A52" s="120" t="s">
        <v>120</v>
      </c>
      <c r="B52" s="515">
        <v>0.10299339703014961</v>
      </c>
      <c r="D52" s="632"/>
    </row>
    <row r="53" spans="1:12">
      <c r="B53" s="51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603</v>
      </c>
      <c r="B1" s="518"/>
      <c r="C1" s="519"/>
    </row>
    <row r="2" spans="1:3" s="327" customFormat="1">
      <c r="A2" s="364"/>
      <c r="B2" s="484"/>
      <c r="C2" s="521"/>
    </row>
    <row r="3" spans="1:3" s="327" customFormat="1">
      <c r="A3" s="362"/>
      <c r="B3" s="522">
        <v>2012</v>
      </c>
      <c r="C3" s="365" t="s">
        <v>175</v>
      </c>
    </row>
    <row r="4" spans="1:3">
      <c r="A4" s="121" t="s">
        <v>290</v>
      </c>
      <c r="B4" s="523">
        <v>3704.1355821353</v>
      </c>
      <c r="C4" s="140" t="s">
        <v>703</v>
      </c>
    </row>
    <row r="5" spans="1:3" ht="15.75" thickBot="1">
      <c r="A5" s="116" t="s">
        <v>602</v>
      </c>
      <c r="B5" s="524">
        <v>671603</v>
      </c>
      <c r="C5" s="141" t="s">
        <v>600</v>
      </c>
    </row>
    <row r="11" spans="1:3">
      <c r="B11" s="742"/>
    </row>
    <row r="19" spans="4:4">
      <c r="D19" s="5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443</v>
      </c>
      <c r="B1" s="361"/>
    </row>
    <row r="2" spans="1:2" s="327" customFormat="1">
      <c r="A2" s="352"/>
      <c r="B2" s="359"/>
    </row>
    <row r="3" spans="1:2" s="327" customFormat="1" ht="18">
      <c r="A3" s="362"/>
      <c r="B3" s="363" t="s">
        <v>446</v>
      </c>
    </row>
    <row r="4" spans="1:2" ht="18">
      <c r="A4" s="121" t="s">
        <v>444</v>
      </c>
      <c r="B4" s="525">
        <v>310</v>
      </c>
    </row>
    <row r="5" spans="1:2" ht="18.75" thickBot="1">
      <c r="A5" s="116" t="s">
        <v>445</v>
      </c>
      <c r="B5" s="526">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433</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434</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40" customWidth="1"/>
    <col min="3" max="3" width="12" style="840" customWidth="1"/>
    <col min="4" max="4" width="9.140625" style="840"/>
    <col min="5" max="5" width="50.42578125" style="840" customWidth="1"/>
    <col min="6" max="6" width="19.28515625" style="840" customWidth="1"/>
    <col min="7" max="7" width="9.140625" style="840"/>
    <col min="8" max="8" width="23.42578125" style="840" customWidth="1"/>
    <col min="9" max="10" width="9.140625" style="840"/>
    <col min="11" max="11" width="80.140625" style="840" customWidth="1"/>
    <col min="12" max="16384" width="9.140625" style="840"/>
  </cols>
  <sheetData>
    <row r="1" spans="1:11">
      <c r="A1" s="351" t="s">
        <v>485</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503</v>
      </c>
      <c r="B3" s="50">
        <f ca="1">IF(ISERROR('SEAP template'!C27),0,'SEAP template'!C27)</f>
        <v>192984.14889035691</v>
      </c>
      <c r="C3" s="44" t="s">
        <v>163</v>
      </c>
      <c r="D3" s="44"/>
      <c r="E3" s="157"/>
      <c r="F3" s="44"/>
      <c r="G3" s="44"/>
      <c r="H3" s="44"/>
      <c r="I3" s="44"/>
      <c r="J3" s="44"/>
      <c r="K3" s="97"/>
    </row>
    <row r="4" spans="1:11">
      <c r="A4" s="352" t="s">
        <v>164</v>
      </c>
      <c r="B4" s="50">
        <f>IF(ISERROR('SEAP template'!B78+'SEAP template'!C78),0,'SEAP template'!B78+'SEAP template'!C78)</f>
        <v>8905.8960861705527</v>
      </c>
      <c r="C4" s="44" t="s">
        <v>163</v>
      </c>
      <c r="D4" s="44"/>
      <c r="E4" s="44"/>
      <c r="F4" s="44"/>
      <c r="G4" s="44"/>
      <c r="H4" s="44"/>
      <c r="I4" s="44"/>
      <c r="J4" s="44"/>
      <c r="K4" s="97"/>
    </row>
    <row r="5" spans="1:11">
      <c r="A5" s="352" t="s">
        <v>535</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871">
        <v>0.221</v>
      </c>
      <c r="F6" s="44" t="s">
        <v>775</v>
      </c>
      <c r="G6" s="44" t="s">
        <v>781</v>
      </c>
      <c r="H6" s="44"/>
      <c r="I6" s="44"/>
      <c r="J6" s="44"/>
      <c r="K6" s="97"/>
    </row>
    <row r="7" spans="1:11">
      <c r="A7" s="352"/>
      <c r="B7" s="447"/>
      <c r="C7" s="44"/>
      <c r="D7" s="44"/>
      <c r="E7" s="44"/>
      <c r="F7" s="49"/>
      <c r="G7" s="44"/>
      <c r="H7" s="44"/>
      <c r="I7" s="44"/>
      <c r="J7" s="44"/>
      <c r="K7" s="97"/>
    </row>
    <row r="8" spans="1:11">
      <c r="A8" s="352"/>
      <c r="B8" s="447"/>
      <c r="C8" s="44"/>
      <c r="D8" s="44"/>
      <c r="E8" s="44"/>
      <c r="F8" s="49"/>
      <c r="G8" s="44"/>
      <c r="H8" s="870"/>
      <c r="I8" s="158"/>
      <c r="J8" s="44"/>
      <c r="K8" s="97"/>
    </row>
    <row r="9" spans="1:11">
      <c r="A9" s="352" t="s">
        <v>168</v>
      </c>
      <c r="B9" s="50">
        <f>IF(ISERROR('SEAP template'!Q78),0,'SEAP template'!Q78)</f>
        <v>278.22192494550688</v>
      </c>
      <c r="C9" s="44" t="s">
        <v>167</v>
      </c>
      <c r="D9" s="44"/>
      <c r="E9" s="44"/>
      <c r="F9" s="44"/>
      <c r="G9" s="44"/>
      <c r="H9" s="44"/>
      <c r="I9" s="44"/>
      <c r="J9" s="44"/>
      <c r="K9" s="97"/>
    </row>
    <row r="10" spans="1:11">
      <c r="A10" s="352" t="s">
        <v>407</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0.21224290196984863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486</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401.27721791163606</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504</v>
      </c>
      <c r="B20" s="50">
        <f ca="1">IF(ISERROR('SEAP template'!D27),0,('SEAP template'!D27))</f>
        <v>1689.4285714285716</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0.23752245267896602</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41"/>
  </cols>
  <sheetData>
    <row r="1" spans="1:8" s="311" customFormat="1">
      <c r="A1" s="841" t="s">
        <v>716</v>
      </c>
      <c r="B1" s="841" t="s">
        <v>297</v>
      </c>
      <c r="C1" s="841" t="s">
        <v>301</v>
      </c>
      <c r="D1" s="841" t="s">
        <v>302</v>
      </c>
      <c r="E1" s="841" t="s">
        <v>303</v>
      </c>
      <c r="F1" s="841" t="s">
        <v>304</v>
      </c>
      <c r="H1" s="1012" t="s">
        <v>933</v>
      </c>
    </row>
    <row r="2" spans="1:8">
      <c r="A2" s="311" t="str">
        <f>CONCATENATE(TableECFTransport[[#This Row],[Voertuigtype]],"_",TableECFTransport[[#This Row],[Wegtype]],"_",TableECFTransport[[#This Row],[Brandstoftechnologie]],"_",TableECFTransport[[#This Row],[Brandstof]])</f>
        <v>Tram_gemiddeld_Electric_Electric</v>
      </c>
      <c r="B2" s="1011" t="s">
        <v>318</v>
      </c>
      <c r="C2" s="1011" t="s">
        <v>329</v>
      </c>
      <c r="D2" s="1011" t="s">
        <v>299</v>
      </c>
      <c r="E2" s="1011" t="s">
        <v>299</v>
      </c>
      <c r="F2" s="1000">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11" t="s">
        <v>723</v>
      </c>
      <c r="C3" s="1011" t="s">
        <v>64</v>
      </c>
      <c r="D3" s="1011" t="s">
        <v>892</v>
      </c>
      <c r="E3" s="1011" t="s">
        <v>893</v>
      </c>
      <c r="F3" s="1000">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1" t="s">
        <v>723</v>
      </c>
      <c r="C4" s="1011" t="s">
        <v>63</v>
      </c>
      <c r="D4" s="1011" t="s">
        <v>892</v>
      </c>
      <c r="E4" s="1011" t="s">
        <v>893</v>
      </c>
      <c r="F4" s="1000">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11" t="s">
        <v>723</v>
      </c>
      <c r="C5" s="1011" t="s">
        <v>65</v>
      </c>
      <c r="D5" s="1011" t="s">
        <v>892</v>
      </c>
      <c r="E5" s="1011" t="s">
        <v>893</v>
      </c>
      <c r="F5" s="1000">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11" t="s">
        <v>723</v>
      </c>
      <c r="C6" s="1011" t="s">
        <v>64</v>
      </c>
      <c r="D6" s="1011" t="s">
        <v>299</v>
      </c>
      <c r="E6" s="1011" t="s">
        <v>299</v>
      </c>
      <c r="F6" s="1000">
        <v>6.7700153847543238E-10</v>
      </c>
    </row>
    <row r="7" spans="1:8">
      <c r="A7" s="311" t="str">
        <f>CONCATENATE(TableECFTransport[[#This Row],[Voertuigtype]],"_",TableECFTransport[[#This Row],[Wegtype]],"_",TableECFTransport[[#This Row],[Brandstoftechnologie]],"_",TableECFTransport[[#This Row],[Brandstof]])</f>
        <v>Lichte voertuigen_Genummerde wegen_Electric_Electric</v>
      </c>
      <c r="B7" s="1011" t="s">
        <v>723</v>
      </c>
      <c r="C7" s="1011" t="s">
        <v>63</v>
      </c>
      <c r="D7" s="1011" t="s">
        <v>299</v>
      </c>
      <c r="E7" s="1011" t="s">
        <v>299</v>
      </c>
      <c r="F7" s="1000">
        <v>6.7700153847543238E-10</v>
      </c>
    </row>
    <row r="8" spans="1:8">
      <c r="A8" s="311" t="str">
        <f>CONCATENATE(TableECFTransport[[#This Row],[Voertuigtype]],"_",TableECFTransport[[#This Row],[Wegtype]],"_",TableECFTransport[[#This Row],[Brandstoftechnologie]],"_",TableECFTransport[[#This Row],[Brandstof]])</f>
        <v>Lichte voertuigen_Snelwegen_Electric_Electric</v>
      </c>
      <c r="B8" s="1011" t="s">
        <v>723</v>
      </c>
      <c r="C8" s="1011" t="s">
        <v>65</v>
      </c>
      <c r="D8" s="1011" t="s">
        <v>299</v>
      </c>
      <c r="E8" s="1011" t="s">
        <v>299</v>
      </c>
      <c r="F8" s="1000">
        <v>6.7700153847543238E-10</v>
      </c>
    </row>
    <row r="9" spans="1:8">
      <c r="A9" s="311" t="str">
        <f>CONCATENATE(TableECFTransport[[#This Row],[Voertuigtype]],"_",TableECFTransport[[#This Row],[Wegtype]],"_",TableECFTransport[[#This Row],[Brandstoftechnologie]],"_",TableECFTransport[[#This Row],[Brandstof]])</f>
        <v>Zware voertuigen_Niet-genummerde wegen_Electric_Electric</v>
      </c>
      <c r="B9" s="1011" t="s">
        <v>724</v>
      </c>
      <c r="C9" s="1011" t="s">
        <v>64</v>
      </c>
      <c r="D9" s="1011" t="s">
        <v>299</v>
      </c>
      <c r="E9" s="1011" t="s">
        <v>299</v>
      </c>
      <c r="F9" s="1000">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11" t="s">
        <v>724</v>
      </c>
      <c r="C10" s="1011" t="s">
        <v>63</v>
      </c>
      <c r="D10" s="1011" t="s">
        <v>299</v>
      </c>
      <c r="E10" s="1011" t="s">
        <v>299</v>
      </c>
      <c r="F10" s="1000">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11" t="s">
        <v>724</v>
      </c>
      <c r="C11" s="1011" t="s">
        <v>65</v>
      </c>
      <c r="D11" s="1011" t="s">
        <v>299</v>
      </c>
      <c r="E11" s="1011" t="s">
        <v>299</v>
      </c>
      <c r="F11" s="1000">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11" t="s">
        <v>726</v>
      </c>
      <c r="C12" s="1011" t="s">
        <v>64</v>
      </c>
      <c r="D12" s="1011" t="s">
        <v>299</v>
      </c>
      <c r="E12" s="1011" t="s">
        <v>299</v>
      </c>
      <c r="F12" s="1000">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1" t="s">
        <v>726</v>
      </c>
      <c r="C13" s="1011" t="s">
        <v>63</v>
      </c>
      <c r="D13" s="1011" t="s">
        <v>299</v>
      </c>
      <c r="E13" s="1011" t="s">
        <v>299</v>
      </c>
      <c r="F13" s="1000">
        <v>4.6800000000000004E-9</v>
      </c>
    </row>
    <row r="14" spans="1:8">
      <c r="A14" s="311" t="str">
        <f>CONCATENATE(TableECFTransport[[#This Row],[Voertuigtype]],"_",TableECFTransport[[#This Row],[Wegtype]],"_",TableECFTransport[[#This Row],[Brandstoftechnologie]],"_",TableECFTransport[[#This Row],[Brandstof]])</f>
        <v>BUS_Snelwegen_Electric_Electric</v>
      </c>
      <c r="B14" s="1011" t="s">
        <v>726</v>
      </c>
      <c r="C14" s="1011" t="s">
        <v>65</v>
      </c>
      <c r="D14" s="1011" t="s">
        <v>299</v>
      </c>
      <c r="E14" s="1011" t="s">
        <v>299</v>
      </c>
      <c r="F14" s="1000">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1" t="s">
        <v>723</v>
      </c>
      <c r="C15" s="1011" t="s">
        <v>64</v>
      </c>
      <c r="D15" s="1011" t="s">
        <v>298</v>
      </c>
      <c r="E15" s="1011" t="s">
        <v>298</v>
      </c>
      <c r="F15" s="1000">
        <v>4.3735773080764493E-9</v>
      </c>
    </row>
    <row r="16" spans="1:8">
      <c r="A16" s="311" t="str">
        <f>CONCATENATE(TableECFTransport[[#This Row],[Voertuigtype]],"_",TableECFTransport[[#This Row],[Wegtype]],"_",TableECFTransport[[#This Row],[Brandstoftechnologie]],"_",TableECFTransport[[#This Row],[Brandstof]])</f>
        <v>Lichte voertuigen_Genummerde wegen_CNG_CNG</v>
      </c>
      <c r="B16" s="1011" t="s">
        <v>723</v>
      </c>
      <c r="C16" s="1011" t="s">
        <v>63</v>
      </c>
      <c r="D16" s="1011" t="s">
        <v>298</v>
      </c>
      <c r="E16" s="1011" t="s">
        <v>298</v>
      </c>
      <c r="F16" s="1000">
        <v>2.5701784586403645E-9</v>
      </c>
    </row>
    <row r="17" spans="1:6">
      <c r="A17" s="311" t="str">
        <f>CONCATENATE(TableECFTransport[[#This Row],[Voertuigtype]],"_",TableECFTransport[[#This Row],[Wegtype]],"_",TableECFTransport[[#This Row],[Brandstoftechnologie]],"_",TableECFTransport[[#This Row],[Brandstof]])</f>
        <v>Lichte voertuigen_Snelwegen_CNG_CNG</v>
      </c>
      <c r="B17" s="1011" t="s">
        <v>723</v>
      </c>
      <c r="C17" s="1011" t="s">
        <v>65</v>
      </c>
      <c r="D17" s="1011" t="s">
        <v>298</v>
      </c>
      <c r="E17" s="1011" t="s">
        <v>298</v>
      </c>
      <c r="F17" s="1000">
        <v>2.5435017333843212E-9</v>
      </c>
    </row>
    <row r="18" spans="1:6">
      <c r="A18" s="311" t="str">
        <f>CONCATENATE(TableECFTransport[[#This Row],[Voertuigtype]],"_",TableECFTransport[[#This Row],[Wegtype]],"_",TableECFTransport[[#This Row],[Brandstoftechnologie]],"_",TableECFTransport[[#This Row],[Brandstof]])</f>
        <v>Lichte voertuigen_Niet-genummerde wegen_Diesel_Diesel</v>
      </c>
      <c r="B18" s="1011" t="s">
        <v>723</v>
      </c>
      <c r="C18" s="1011" t="s">
        <v>64</v>
      </c>
      <c r="D18" s="1011" t="s">
        <v>195</v>
      </c>
      <c r="E18" s="1011" t="s">
        <v>195</v>
      </c>
      <c r="F18" s="1000">
        <v>3.3183162503439672E-9</v>
      </c>
    </row>
    <row r="19" spans="1:6">
      <c r="A19" s="311" t="str">
        <f>CONCATENATE(TableECFTransport[[#This Row],[Voertuigtype]],"_",TableECFTransport[[#This Row],[Wegtype]],"_",TableECFTransport[[#This Row],[Brandstoftechnologie]],"_",TableECFTransport[[#This Row],[Brandstof]])</f>
        <v>Lichte voertuigen_Genummerde wegen_Diesel_Diesel</v>
      </c>
      <c r="B19" s="1011" t="s">
        <v>723</v>
      </c>
      <c r="C19" s="1011" t="s">
        <v>63</v>
      </c>
      <c r="D19" s="1011" t="s">
        <v>195</v>
      </c>
      <c r="E19" s="1011" t="s">
        <v>195</v>
      </c>
      <c r="F19" s="1000">
        <v>2.1822172068423055E-9</v>
      </c>
    </row>
    <row r="20" spans="1:6">
      <c r="A20" s="311" t="str">
        <f>CONCATENATE(TableECFTransport[[#This Row],[Voertuigtype]],"_",TableECFTransport[[#This Row],[Wegtype]],"_",TableECFTransport[[#This Row],[Brandstoftechnologie]],"_",TableECFTransport[[#This Row],[Brandstof]])</f>
        <v>Lichte voertuigen_Snelwegen_Diesel_Diesel</v>
      </c>
      <c r="B20" s="1011" t="s">
        <v>723</v>
      </c>
      <c r="C20" s="1011" t="s">
        <v>65</v>
      </c>
      <c r="D20" s="1011" t="s">
        <v>195</v>
      </c>
      <c r="E20" s="1011" t="s">
        <v>195</v>
      </c>
      <c r="F20" s="1000">
        <v>2.4712675523873296E-9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1" t="s">
        <v>723</v>
      </c>
      <c r="C21" s="1011" t="s">
        <v>64</v>
      </c>
      <c r="D21" s="1011" t="s">
        <v>894</v>
      </c>
      <c r="E21" s="1011" t="s">
        <v>195</v>
      </c>
      <c r="F21" s="1000">
        <v>1.9142227073441033E-9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1" t="s">
        <v>723</v>
      </c>
      <c r="C22" s="1011" t="s">
        <v>64</v>
      </c>
      <c r="D22" s="1011" t="s">
        <v>894</v>
      </c>
      <c r="E22" s="1011" t="s">
        <v>299</v>
      </c>
      <c r="F22" s="1000">
        <v>6.3807423578136783E-10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1" t="s">
        <v>723</v>
      </c>
      <c r="C23" s="1011" t="s">
        <v>63</v>
      </c>
      <c r="D23" s="1011" t="s">
        <v>894</v>
      </c>
      <c r="E23" s="1011" t="s">
        <v>195</v>
      </c>
      <c r="F23" s="1000">
        <v>1.1855157427822169E-9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1" t="s">
        <v>723</v>
      </c>
      <c r="C24" s="1011" t="s">
        <v>63</v>
      </c>
      <c r="D24" s="1011" t="s">
        <v>894</v>
      </c>
      <c r="E24" s="1011" t="s">
        <v>299</v>
      </c>
      <c r="F24" s="1000">
        <v>3.9517191426073901E-10</v>
      </c>
    </row>
    <row r="25" spans="1:6">
      <c r="A25" s="311" t="str">
        <f>CONCATENATE(TableECFTransport[[#This Row],[Voertuigtype]],"_",TableECFTransport[[#This Row],[Wegtype]],"_",TableECFTransport[[#This Row],[Brandstoftechnologie]],"_",TableECFTransport[[#This Row],[Brandstof]])</f>
        <v>Lichte voertuigen_Snelwegen_Diesel Hybrid PHEV_Diesel</v>
      </c>
      <c r="B25" s="1011" t="s">
        <v>723</v>
      </c>
      <c r="C25" s="1011" t="s">
        <v>65</v>
      </c>
      <c r="D25" s="1011" t="s">
        <v>894</v>
      </c>
      <c r="E25" s="1011" t="s">
        <v>195</v>
      </c>
      <c r="F25" s="1000">
        <v>1.8695903807456471E-9</v>
      </c>
    </row>
    <row r="26" spans="1:6">
      <c r="A26" s="311" t="str">
        <f>CONCATENATE(TableECFTransport[[#This Row],[Voertuigtype]],"_",TableECFTransport[[#This Row],[Wegtype]],"_",TableECFTransport[[#This Row],[Brandstoftechnologie]],"_",TableECFTransport[[#This Row],[Brandstof]])</f>
        <v>Lichte voertuigen_Snelwegen_Diesel Hybrid PHEV_Electric</v>
      </c>
      <c r="B26" s="1011" t="s">
        <v>723</v>
      </c>
      <c r="C26" s="1011" t="s">
        <v>65</v>
      </c>
      <c r="D26" s="1011" t="s">
        <v>894</v>
      </c>
      <c r="E26" s="1011" t="s">
        <v>299</v>
      </c>
      <c r="F26" s="1000">
        <v>6.2319679358188246E-10</v>
      </c>
    </row>
    <row r="27" spans="1:6">
      <c r="A27" s="311" t="str">
        <f>CONCATENATE(TableECFTransport[[#This Row],[Voertuigtype]],"_",TableECFTransport[[#This Row],[Wegtype]],"_",TableECFTransport[[#This Row],[Brandstoftechnologie]],"_",TableECFTransport[[#This Row],[Brandstof]])</f>
        <v>Lichte voertuigen_Niet-genummerde wegen_LPG_LPG</v>
      </c>
      <c r="B27" s="1011" t="s">
        <v>723</v>
      </c>
      <c r="C27" s="1011" t="s">
        <v>64</v>
      </c>
      <c r="D27" s="1011" t="s">
        <v>112</v>
      </c>
      <c r="E27" s="1011" t="s">
        <v>112</v>
      </c>
      <c r="F27" s="1000">
        <v>3.6459164094721451E-9</v>
      </c>
    </row>
    <row r="28" spans="1:6">
      <c r="A28" s="311" t="str">
        <f>CONCATENATE(TableECFTransport[[#This Row],[Voertuigtype]],"_",TableECFTransport[[#This Row],[Wegtype]],"_",TableECFTransport[[#This Row],[Brandstoftechnologie]],"_",TableECFTransport[[#This Row],[Brandstof]])</f>
        <v>Lichte voertuigen_Genummerde wegen_LPG_LPG</v>
      </c>
      <c r="B28" s="1011" t="s">
        <v>723</v>
      </c>
      <c r="C28" s="1011" t="s">
        <v>63</v>
      </c>
      <c r="D28" s="1011" t="s">
        <v>112</v>
      </c>
      <c r="E28" s="1011" t="s">
        <v>112</v>
      </c>
      <c r="F28" s="1000">
        <v>2.2670829776567545E-9</v>
      </c>
    </row>
    <row r="29" spans="1:6">
      <c r="A29" s="311" t="str">
        <f>CONCATENATE(TableECFTransport[[#This Row],[Voertuigtype]],"_",TableECFTransport[[#This Row],[Wegtype]],"_",TableECFTransport[[#This Row],[Brandstoftechnologie]],"_",TableECFTransport[[#This Row],[Brandstof]])</f>
        <v>Lichte voertuigen_Snelwegen_LPG_LPG</v>
      </c>
      <c r="B29" s="1011" t="s">
        <v>723</v>
      </c>
      <c r="C29" s="1011" t="s">
        <v>65</v>
      </c>
      <c r="D29" s="1011" t="s">
        <v>112</v>
      </c>
      <c r="E29" s="1011" t="s">
        <v>112</v>
      </c>
      <c r="F29" s="1000">
        <v>2.7801645455297152E-9</v>
      </c>
    </row>
    <row r="30" spans="1:6">
      <c r="A30" s="311" t="str">
        <f>CONCATENATE(TableECFTransport[[#This Row],[Voertuigtype]],"_",TableECFTransport[[#This Row],[Wegtype]],"_",TableECFTransport[[#This Row],[Brandstoftechnologie]],"_",TableECFTransport[[#This Row],[Brandstof]])</f>
        <v>Lichte voertuigen_Niet-genummerde wegen_Petrol_Petrol</v>
      </c>
      <c r="B30" s="1011" t="s">
        <v>723</v>
      </c>
      <c r="C30" s="1011" t="s">
        <v>64</v>
      </c>
      <c r="D30" s="1011" t="s">
        <v>300</v>
      </c>
      <c r="E30" s="1011" t="s">
        <v>300</v>
      </c>
      <c r="F30" s="1000">
        <v>3.57252855950061E-9</v>
      </c>
    </row>
    <row r="31" spans="1:6">
      <c r="A31" s="311" t="str">
        <f>CONCATENATE(TableECFTransport[[#This Row],[Voertuigtype]],"_",TableECFTransport[[#This Row],[Wegtype]],"_",TableECFTransport[[#This Row],[Brandstoftechnologie]],"_",TableECFTransport[[#This Row],[Brandstof]])</f>
        <v>Lichte voertuigen_Genummerde wegen_Petrol_Petrol</v>
      </c>
      <c r="B31" s="1011" t="s">
        <v>723</v>
      </c>
      <c r="C31" s="1011" t="s">
        <v>63</v>
      </c>
      <c r="D31" s="1011" t="s">
        <v>300</v>
      </c>
      <c r="E31" s="1011" t="s">
        <v>300</v>
      </c>
      <c r="F31" s="1000">
        <v>2.2072308371422751E-9</v>
      </c>
    </row>
    <row r="32" spans="1:6">
      <c r="A32" s="311" t="str">
        <f>CONCATENATE(TableECFTransport[[#This Row],[Voertuigtype]],"_",TableECFTransport[[#This Row],[Wegtype]],"_",TableECFTransport[[#This Row],[Brandstoftechnologie]],"_",TableECFTransport[[#This Row],[Brandstof]])</f>
        <v>Lichte voertuigen_Snelwegen_Petrol_Petrol</v>
      </c>
      <c r="B32" s="1011" t="s">
        <v>723</v>
      </c>
      <c r="C32" s="1011" t="s">
        <v>65</v>
      </c>
      <c r="D32" s="1011" t="s">
        <v>300</v>
      </c>
      <c r="E32" s="1011" t="s">
        <v>300</v>
      </c>
      <c r="F32" s="1000">
        <v>2.2999916917352342E-9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1" t="s">
        <v>723</v>
      </c>
      <c r="C33" s="1011" t="s">
        <v>64</v>
      </c>
      <c r="D33" s="1011" t="s">
        <v>895</v>
      </c>
      <c r="E33" s="1011" t="s">
        <v>300</v>
      </c>
      <c r="F33" s="1000">
        <v>2.7317678331505891E-9</v>
      </c>
    </row>
    <row r="34" spans="1:6">
      <c r="A34" s="1011" t="str">
        <f>CONCATENATE(TableECFTransport[[#This Row],[Voertuigtype]],"_",TableECFTransport[[#This Row],[Wegtype]],"_",TableECFTransport[[#This Row],[Brandstoftechnologie]],"_",TableECFTransport[[#This Row],[Brandstof]])</f>
        <v>Lichte voertuigen_Genummerde wegen_Petrol Hybrid CS_Petrol</v>
      </c>
      <c r="B34" s="1011" t="s">
        <v>723</v>
      </c>
      <c r="C34" s="1011" t="s">
        <v>63</v>
      </c>
      <c r="D34" s="1011" t="s">
        <v>895</v>
      </c>
      <c r="E34" s="1011" t="s">
        <v>300</v>
      </c>
      <c r="F34" s="1000">
        <v>1.5214976381642325E-9</v>
      </c>
    </row>
    <row r="35" spans="1:6">
      <c r="A35" s="1011" t="str">
        <f>CONCATENATE(TableECFTransport[[#This Row],[Voertuigtype]],"_",TableECFTransport[[#This Row],[Wegtype]],"_",TableECFTransport[[#This Row],[Brandstoftechnologie]],"_",TableECFTransport[[#This Row],[Brandstof]])</f>
        <v>Lichte voertuigen_Snelwegen_Petrol Hybrid CS_Petrol</v>
      </c>
      <c r="B35" s="1011" t="s">
        <v>723</v>
      </c>
      <c r="C35" s="1011" t="s">
        <v>65</v>
      </c>
      <c r="D35" s="1011" t="s">
        <v>895</v>
      </c>
      <c r="E35" s="1011" t="s">
        <v>300</v>
      </c>
      <c r="F35" s="1000">
        <v>1.8413192988547515E-9</v>
      </c>
    </row>
    <row r="36" spans="1:6">
      <c r="A36" s="1011" t="str">
        <f>CONCATENATE(TableECFTransport[[#This Row],[Voertuigtype]],"_",TableECFTransport[[#This Row],[Wegtype]],"_",TableECFTransport[[#This Row],[Brandstoftechnologie]],"_",TableECFTransport[[#This Row],[Brandstof]])</f>
        <v>Lichte voertuigen_Niet-genummerde wegen_Petrol Hybrid PHEV_Electric</v>
      </c>
      <c r="B36" s="1011" t="s">
        <v>723</v>
      </c>
      <c r="C36" s="1011" t="s">
        <v>64</v>
      </c>
      <c r="D36" s="1011" t="s">
        <v>896</v>
      </c>
      <c r="E36" s="1011" t="s">
        <v>299</v>
      </c>
      <c r="F36" s="1000">
        <v>6.1932111357707429E-10</v>
      </c>
    </row>
    <row r="37" spans="1:6">
      <c r="A37" s="1011" t="str">
        <f>CONCATENATE(TableECFTransport[[#This Row],[Voertuigtype]],"_",TableECFTransport[[#This Row],[Wegtype]],"_",TableECFTransport[[#This Row],[Brandstoftechnologie]],"_",TableECFTransport[[#This Row],[Brandstof]])</f>
        <v>Lichte voertuigen_Niet-genummerde wegen_Petrol Hybrid PHEV_Petrol</v>
      </c>
      <c r="B37" s="1011" t="s">
        <v>723</v>
      </c>
      <c r="C37" s="1011" t="s">
        <v>64</v>
      </c>
      <c r="D37" s="1011" t="s">
        <v>896</v>
      </c>
      <c r="E37" s="1011" t="s">
        <v>300</v>
      </c>
      <c r="F37" s="1000">
        <v>1.8579633407312228E-9</v>
      </c>
    </row>
    <row r="38" spans="1:6">
      <c r="A38" s="1011" t="str">
        <f>CONCATENATE(TableECFTransport[[#This Row],[Voertuigtype]],"_",TableECFTransport[[#This Row],[Wegtype]],"_",TableECFTransport[[#This Row],[Brandstoftechnologie]],"_",TableECFTransport[[#This Row],[Brandstof]])</f>
        <v>Lichte voertuigen_Genummerde wegen_Petrol Hybrid PHEV_Electric</v>
      </c>
      <c r="B38" s="1011" t="s">
        <v>723</v>
      </c>
      <c r="C38" s="1011" t="s">
        <v>63</v>
      </c>
      <c r="D38" s="1011" t="s">
        <v>896</v>
      </c>
      <c r="E38" s="1011" t="s">
        <v>299</v>
      </c>
      <c r="F38" s="1000">
        <v>3.477717815432733E-10</v>
      </c>
    </row>
    <row r="39" spans="1:6">
      <c r="A39" s="1011" t="str">
        <f>CONCATENATE(TableECFTransport[[#This Row],[Voertuigtype]],"_",TableECFTransport[[#This Row],[Wegtype]],"_",TableECFTransport[[#This Row],[Brandstoftechnologie]],"_",TableECFTransport[[#This Row],[Brandstof]])</f>
        <v>Lichte voertuigen_Genummerde wegen_Petrol Hybrid PHEV_Petrol</v>
      </c>
      <c r="B39" s="1011" t="s">
        <v>723</v>
      </c>
      <c r="C39" s="1011" t="s">
        <v>63</v>
      </c>
      <c r="D39" s="1011" t="s">
        <v>896</v>
      </c>
      <c r="E39" s="1011" t="s">
        <v>300</v>
      </c>
      <c r="F39" s="1000">
        <v>1.0433153446298198E-9</v>
      </c>
    </row>
    <row r="40" spans="1:6">
      <c r="A40" s="1011" t="str">
        <f>CONCATENATE(TableECFTransport[[#This Row],[Voertuigtype]],"_",TableECFTransport[[#This Row],[Wegtype]],"_",TableECFTransport[[#This Row],[Brandstoftechnologie]],"_",TableECFTransport[[#This Row],[Brandstof]])</f>
        <v>Lichte voertuigen_Snelwegen_Petrol Hybrid PHEV_Electric</v>
      </c>
      <c r="B40" s="1011" t="s">
        <v>723</v>
      </c>
      <c r="C40" s="1011" t="s">
        <v>65</v>
      </c>
      <c r="D40" s="1011" t="s">
        <v>896</v>
      </c>
      <c r="E40" s="1011" t="s">
        <v>299</v>
      </c>
      <c r="F40" s="1000">
        <v>5.3360614188174661E-10</v>
      </c>
    </row>
    <row r="41" spans="1:6">
      <c r="A41" s="1011" t="str">
        <f>CONCATENATE(TableECFTransport[[#This Row],[Voertuigtype]],"_",TableECFTransport[[#This Row],[Wegtype]],"_",TableECFTransport[[#This Row],[Brandstoftechnologie]],"_",TableECFTransport[[#This Row],[Brandstof]])</f>
        <v>Lichte voertuigen_Snelwegen_Petrol Hybrid PHEV_Petrol</v>
      </c>
      <c r="B41" s="1011" t="s">
        <v>723</v>
      </c>
      <c r="C41" s="1011" t="s">
        <v>65</v>
      </c>
      <c r="D41" s="1011" t="s">
        <v>896</v>
      </c>
      <c r="E41" s="1011" t="s">
        <v>300</v>
      </c>
      <c r="F41" s="1000">
        <v>1.6008184256452401E-9</v>
      </c>
    </row>
    <row r="42" spans="1:6">
      <c r="A42" s="1011" t="str">
        <f>CONCATENATE(TableECFTransport[[#This Row],[Voertuigtype]],"_",TableECFTransport[[#This Row],[Wegtype]],"_",TableECFTransport[[#This Row],[Brandstoftechnologie]],"_",TableECFTransport[[#This Row],[Brandstof]])</f>
        <v>Zware voertuigen_Niet-genummerde wegen_Diesel_Diesel</v>
      </c>
      <c r="B42" s="1011" t="s">
        <v>724</v>
      </c>
      <c r="C42" s="1011" t="s">
        <v>64</v>
      </c>
      <c r="D42" s="1011" t="s">
        <v>195</v>
      </c>
      <c r="E42" s="1011" t="s">
        <v>195</v>
      </c>
      <c r="F42" s="1000">
        <v>1.29700872028671E-8</v>
      </c>
    </row>
    <row r="43" spans="1:6">
      <c r="A43" s="1011" t="str">
        <f>CONCATENATE(TableECFTransport[[#This Row],[Voertuigtype]],"_",TableECFTransport[[#This Row],[Wegtype]],"_",TableECFTransport[[#This Row],[Brandstoftechnologie]],"_",TableECFTransport[[#This Row],[Brandstof]])</f>
        <v>Zware voertuigen_Genummerde wegen_Diesel_Diesel</v>
      </c>
      <c r="B43" s="1011" t="s">
        <v>724</v>
      </c>
      <c r="C43" s="1011" t="s">
        <v>63</v>
      </c>
      <c r="D43" s="1011" t="s">
        <v>195</v>
      </c>
      <c r="E43" s="1011" t="s">
        <v>195</v>
      </c>
      <c r="F43" s="1000">
        <v>1.0114347513165735E-8</v>
      </c>
    </row>
    <row r="44" spans="1:6">
      <c r="A44" s="1011" t="str">
        <f>CONCATENATE(TableECFTransport[[#This Row],[Voertuigtype]],"_",TableECFTransport[[#This Row],[Wegtype]],"_",TableECFTransport[[#This Row],[Brandstoftechnologie]],"_",TableECFTransport[[#This Row],[Brandstof]])</f>
        <v>Zware voertuigen_Snelwegen_Diesel_Diesel</v>
      </c>
      <c r="B44" s="1011" t="s">
        <v>724</v>
      </c>
      <c r="C44" s="1011" t="s">
        <v>65</v>
      </c>
      <c r="D44" s="1011" t="s">
        <v>195</v>
      </c>
      <c r="E44" s="1011" t="s">
        <v>195</v>
      </c>
      <c r="F44" s="1000">
        <v>9.4742712990560643E-9</v>
      </c>
    </row>
    <row r="45" spans="1:6">
      <c r="A45" s="1011" t="str">
        <f>CONCATENATE(TableECFTransport[[#This Row],[Voertuigtype]],"_",TableECFTransport[[#This Row],[Wegtype]],"_",TableECFTransport[[#This Row],[Brandstoftechnologie]],"_",TableECFTransport[[#This Row],[Brandstof]])</f>
        <v>Zware voertuigen_Niet-genummerde wegen_Petrol_Petrol</v>
      </c>
      <c r="B45" s="1011" t="s">
        <v>724</v>
      </c>
      <c r="C45" s="1011" t="s">
        <v>64</v>
      </c>
      <c r="D45" s="1011" t="s">
        <v>300</v>
      </c>
      <c r="E45" s="1011" t="s">
        <v>300</v>
      </c>
      <c r="F45" s="1000">
        <v>7.6653519389191348E-9</v>
      </c>
    </row>
    <row r="46" spans="1:6">
      <c r="A46" s="1011" t="str">
        <f>CONCATENATE(TableECFTransport[[#This Row],[Voertuigtype]],"_",TableECFTransport[[#This Row],[Wegtype]],"_",TableECFTransport[[#This Row],[Brandstoftechnologie]],"_",TableECFTransport[[#This Row],[Brandstof]])</f>
        <v>Zware voertuigen_Genummerde wegen_Petrol_Petrol</v>
      </c>
      <c r="B46" s="1011" t="s">
        <v>724</v>
      </c>
      <c r="C46" s="1011" t="s">
        <v>63</v>
      </c>
      <c r="D46" s="1011" t="s">
        <v>300</v>
      </c>
      <c r="E46" s="1011" t="s">
        <v>300</v>
      </c>
      <c r="F46" s="1000">
        <v>6.3506130742713403E-9</v>
      </c>
    </row>
    <row r="47" spans="1:6">
      <c r="A47" s="1011" t="str">
        <f>CONCATENATE(TableECFTransport[[#This Row],[Voertuigtype]],"_",TableECFTransport[[#This Row],[Wegtype]],"_",TableECFTransport[[#This Row],[Brandstoftechnologie]],"_",TableECFTransport[[#This Row],[Brandstof]])</f>
        <v>Zware voertuigen_Snelwegen_Petrol_Petrol</v>
      </c>
      <c r="B47" s="1011" t="s">
        <v>724</v>
      </c>
      <c r="C47" s="1011" t="s">
        <v>65</v>
      </c>
      <c r="D47" s="1011" t="s">
        <v>300</v>
      </c>
      <c r="E47" s="1011" t="s">
        <v>300</v>
      </c>
      <c r="F47" s="1000">
        <v>6.5365124469575604E-9</v>
      </c>
    </row>
    <row r="48" spans="1:6">
      <c r="A48" s="1011" t="str">
        <f>CONCATENATE(TableECFTransport[[#This Row],[Voertuigtype]],"_",TableECFTransport[[#This Row],[Wegtype]],"_",TableECFTransport[[#This Row],[Brandstoftechnologie]],"_",TableECFTransport[[#This Row],[Brandstof]])</f>
        <v>BUS_Niet-genummerde wegen_CNG_CNG</v>
      </c>
      <c r="B48" s="1011" t="s">
        <v>726</v>
      </c>
      <c r="C48" s="1011" t="s">
        <v>64</v>
      </c>
      <c r="D48" s="1011" t="s">
        <v>298</v>
      </c>
      <c r="E48" s="1011" t="s">
        <v>298</v>
      </c>
      <c r="F48" s="1000">
        <v>2.3303083752649972E-8</v>
      </c>
    </row>
    <row r="49" spans="1:6">
      <c r="A49" s="1011" t="str">
        <f>CONCATENATE(TableECFTransport[[#This Row],[Voertuigtype]],"_",TableECFTransport[[#This Row],[Wegtype]],"_",TableECFTransport[[#This Row],[Brandstoftechnologie]],"_",TableECFTransport[[#This Row],[Brandstof]])</f>
        <v>BUS_Genummerde wegen_CNG_CNG</v>
      </c>
      <c r="B49" s="1011" t="s">
        <v>726</v>
      </c>
      <c r="C49" s="1011" t="s">
        <v>63</v>
      </c>
      <c r="D49" s="1011" t="s">
        <v>298</v>
      </c>
      <c r="E49" s="1011" t="s">
        <v>298</v>
      </c>
      <c r="F49" s="1000">
        <v>1.2452720009185941E-8</v>
      </c>
    </row>
    <row r="50" spans="1:6">
      <c r="A50" s="1011" t="str">
        <f>CONCATENATE(TableECFTransport[[#This Row],[Voertuigtype]],"_",TableECFTransport[[#This Row],[Wegtype]],"_",TableECFTransport[[#This Row],[Brandstoftechnologie]],"_",TableECFTransport[[#This Row],[Brandstof]])</f>
        <v>BUS_Niet-genummerde wegen_Diesel_Diesel</v>
      </c>
      <c r="B50" s="1011" t="s">
        <v>726</v>
      </c>
      <c r="C50" s="1011" t="s">
        <v>64</v>
      </c>
      <c r="D50" s="1011" t="s">
        <v>195</v>
      </c>
      <c r="E50" s="1011" t="s">
        <v>195</v>
      </c>
      <c r="F50" s="1000">
        <v>1.767628030411262E-8</v>
      </c>
    </row>
    <row r="51" spans="1:6">
      <c r="A51" s="1011" t="str">
        <f>CONCATENATE(TableECFTransport[[#This Row],[Voertuigtype]],"_",TableECFTransport[[#This Row],[Wegtype]],"_",TableECFTransport[[#This Row],[Brandstoftechnologie]],"_",TableECFTransport[[#This Row],[Brandstof]])</f>
        <v>BUS_Genummerde wegen_Diesel_Diesel</v>
      </c>
      <c r="B51" s="1011" t="s">
        <v>726</v>
      </c>
      <c r="C51" s="1011" t="s">
        <v>63</v>
      </c>
      <c r="D51" s="1011" t="s">
        <v>195</v>
      </c>
      <c r="E51" s="1011" t="s">
        <v>195</v>
      </c>
      <c r="F51" s="1000">
        <v>9.7498785389729477E-9</v>
      </c>
    </row>
    <row r="52" spans="1:6">
      <c r="A52" s="1011" t="str">
        <f>CONCATENATE(TableECFTransport[[#This Row],[Voertuigtype]],"_",TableECFTransport[[#This Row],[Wegtype]],"_",TableECFTransport[[#This Row],[Brandstoftechnologie]],"_",TableECFTransport[[#This Row],[Brandstof]])</f>
        <v>BUS_Niet-genummerde wegen_Diesel Hybrid PHEV_Diesel</v>
      </c>
      <c r="B52" s="1011" t="s">
        <v>726</v>
      </c>
      <c r="C52" s="1011" t="s">
        <v>64</v>
      </c>
      <c r="D52" s="1011" t="s">
        <v>894</v>
      </c>
      <c r="E52" s="1011" t="s">
        <v>195</v>
      </c>
      <c r="F52" s="1000">
        <v>1.2122949179999998E-8</v>
      </c>
    </row>
    <row r="53" spans="1:6">
      <c r="A53" s="1011" t="str">
        <f>CONCATENATE(TableECFTransport[[#This Row],[Voertuigtype]],"_",TableECFTransport[[#This Row],[Wegtype]],"_",TableECFTransport[[#This Row],[Brandstoftechnologie]],"_",TableECFTransport[[#This Row],[Brandstof]])</f>
        <v>BUS_Niet-genummerde wegen_Diesel Hybrid PHEV_Electric</v>
      </c>
      <c r="B53" s="1011" t="s">
        <v>726</v>
      </c>
      <c r="C53" s="1011" t="s">
        <v>64</v>
      </c>
      <c r="D53" s="1011" t="s">
        <v>894</v>
      </c>
      <c r="E53" s="1011" t="s">
        <v>299</v>
      </c>
      <c r="F53" s="1000">
        <v>4.040983059999999E-9</v>
      </c>
    </row>
    <row r="54" spans="1:6">
      <c r="A54" s="1011" t="str">
        <f>CONCATENATE(TableECFTransport[[#This Row],[Voertuigtype]],"_",TableECFTransport[[#This Row],[Wegtype]],"_",TableECFTransport[[#This Row],[Brandstoftechnologie]],"_",TableECFTransport[[#This Row],[Brandstof]])</f>
        <v>BUS_Genummerde wegen_Diesel Hybrid PHEV_Diesel</v>
      </c>
      <c r="B54" s="1011" t="s">
        <v>726</v>
      </c>
      <c r="C54" s="1011" t="s">
        <v>63</v>
      </c>
      <c r="D54" s="1011" t="s">
        <v>894</v>
      </c>
      <c r="E54" s="1011" t="s">
        <v>195</v>
      </c>
      <c r="F54" s="1000">
        <v>6.0281746424999994E-9</v>
      </c>
    </row>
    <row r="55" spans="1:6">
      <c r="A55" s="1011" t="str">
        <f>CONCATENATE(TableECFTransport[[#This Row],[Voertuigtype]],"_",TableECFTransport[[#This Row],[Wegtype]],"_",TableECFTransport[[#This Row],[Brandstoftechnologie]],"_",TableECFTransport[[#This Row],[Brandstof]])</f>
        <v>BUS_Genummerde wegen_Diesel Hybrid PHEV_Electric</v>
      </c>
      <c r="B55" s="1011" t="s">
        <v>726</v>
      </c>
      <c r="C55" s="1011" t="s">
        <v>63</v>
      </c>
      <c r="D55" s="1011" t="s">
        <v>894</v>
      </c>
      <c r="E55" s="1011" t="s">
        <v>299</v>
      </c>
      <c r="F55" s="1000">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4">
        <v>2012</v>
      </c>
      <c r="B1" s="1155"/>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56"/>
      <c r="B2" s="1157"/>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56"/>
      <c r="B3" s="1157"/>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58"/>
      <c r="B4" s="115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923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06">
        <v>0</v>
      </c>
      <c r="D7" s="806">
        <v>1.1041480602360969</v>
      </c>
      <c r="E7" s="806">
        <v>0</v>
      </c>
      <c r="F7" s="807">
        <v>1.1041480602360969</v>
      </c>
      <c r="G7" s="806">
        <v>0</v>
      </c>
      <c r="H7" s="806">
        <v>0</v>
      </c>
      <c r="I7" s="806">
        <v>2.1189899999999997</v>
      </c>
      <c r="J7" s="806">
        <v>0.63048020792688941</v>
      </c>
      <c r="K7" s="806">
        <v>0</v>
      </c>
      <c r="L7" s="806">
        <v>60.852535907893078</v>
      </c>
      <c r="M7" s="806">
        <v>0</v>
      </c>
      <c r="N7" s="806">
        <v>0</v>
      </c>
      <c r="O7" s="806">
        <v>0</v>
      </c>
      <c r="P7" s="806">
        <v>0</v>
      </c>
      <c r="Q7" s="806">
        <v>0</v>
      </c>
      <c r="R7" s="807">
        <v>63.602006115819968</v>
      </c>
      <c r="S7" s="806">
        <v>91.966858275654459</v>
      </c>
      <c r="T7" s="806">
        <v>0</v>
      </c>
      <c r="U7" s="806">
        <v>0</v>
      </c>
      <c r="V7" s="807">
        <v>91.966858275654459</v>
      </c>
      <c r="W7" s="807">
        <v>156.67301245171052</v>
      </c>
      <c r="X7" s="806">
        <v>0</v>
      </c>
      <c r="Y7" s="806">
        <v>13.866457326662054</v>
      </c>
      <c r="Z7" s="806">
        <v>41.483342324823916</v>
      </c>
      <c r="AA7" s="808">
        <v>1.4301509476298557</v>
      </c>
      <c r="AB7" s="808">
        <v>0</v>
      </c>
      <c r="AC7" s="807">
        <v>213.45296305082633</v>
      </c>
    </row>
    <row r="8" spans="1:29">
      <c r="A8" s="216" t="s">
        <v>149</v>
      </c>
      <c r="B8" s="217"/>
      <c r="C8" s="809">
        <v>0</v>
      </c>
      <c r="D8" s="809">
        <v>0</v>
      </c>
      <c r="E8" s="809">
        <v>0</v>
      </c>
      <c r="F8" s="810">
        <v>0</v>
      </c>
      <c r="G8" s="809">
        <v>0</v>
      </c>
      <c r="H8" s="809">
        <v>0</v>
      </c>
      <c r="I8" s="809">
        <v>0.37602796256488363</v>
      </c>
      <c r="J8" s="809">
        <v>2.5106404652900679E-3</v>
      </c>
      <c r="K8" s="809">
        <v>0</v>
      </c>
      <c r="L8" s="809">
        <v>7.9983668380822834</v>
      </c>
      <c r="M8" s="809">
        <v>0</v>
      </c>
      <c r="N8" s="809">
        <v>0.51400580543347096</v>
      </c>
      <c r="O8" s="809">
        <v>0</v>
      </c>
      <c r="P8" s="809">
        <v>0</v>
      </c>
      <c r="Q8" s="809">
        <v>0</v>
      </c>
      <c r="R8" s="810">
        <v>8.8909112465459277</v>
      </c>
      <c r="S8" s="809">
        <v>46.7768462696189</v>
      </c>
      <c r="T8" s="809">
        <v>0</v>
      </c>
      <c r="U8" s="809">
        <v>0</v>
      </c>
      <c r="V8" s="810">
        <v>46.7768462696189</v>
      </c>
      <c r="W8" s="810">
        <v>55.667757516164826</v>
      </c>
      <c r="X8" s="809">
        <v>1.1268699999999998</v>
      </c>
      <c r="Y8" s="809">
        <v>2.5108811430168672</v>
      </c>
      <c r="Z8" s="809">
        <v>43.692618288582594</v>
      </c>
      <c r="AA8" s="811">
        <v>0.53856721298675492</v>
      </c>
      <c r="AB8" s="811">
        <v>0</v>
      </c>
      <c r="AC8" s="810">
        <v>103.53669416075104</v>
      </c>
    </row>
    <row r="9" spans="1:29">
      <c r="A9" s="3"/>
      <c r="B9" s="6" t="s">
        <v>150</v>
      </c>
      <c r="C9" s="812">
        <v>0</v>
      </c>
      <c r="D9" s="812">
        <v>0</v>
      </c>
      <c r="E9" s="812">
        <v>0</v>
      </c>
      <c r="F9" s="813">
        <v>0</v>
      </c>
      <c r="G9" s="812">
        <v>0</v>
      </c>
      <c r="H9" s="812">
        <v>0</v>
      </c>
      <c r="I9" s="812">
        <v>0.23735131607034024</v>
      </c>
      <c r="J9" s="812">
        <v>0</v>
      </c>
      <c r="K9" s="812">
        <v>0</v>
      </c>
      <c r="L9" s="812">
        <v>1.0437629167689872</v>
      </c>
      <c r="M9" s="812">
        <v>0</v>
      </c>
      <c r="N9" s="812">
        <v>0</v>
      </c>
      <c r="O9" s="812">
        <v>0</v>
      </c>
      <c r="P9" s="812">
        <v>0</v>
      </c>
      <c r="Q9" s="812">
        <v>0</v>
      </c>
      <c r="R9" s="813">
        <v>1.2811142328393275</v>
      </c>
      <c r="S9" s="812">
        <v>6.1287156129095264</v>
      </c>
      <c r="T9" s="812">
        <v>0</v>
      </c>
      <c r="U9" s="812">
        <v>0</v>
      </c>
      <c r="V9" s="813">
        <v>6.1287156129095264</v>
      </c>
      <c r="W9" s="813">
        <v>7.4098298457488543</v>
      </c>
      <c r="X9" s="812">
        <v>0</v>
      </c>
      <c r="Y9" s="812">
        <v>4.8299999999999998E-4</v>
      </c>
      <c r="Z9" s="812">
        <v>4.5876560652564642</v>
      </c>
      <c r="AA9" s="814">
        <v>0</v>
      </c>
      <c r="AB9" s="814">
        <v>0</v>
      </c>
      <c r="AC9" s="813">
        <v>11.997968911005319</v>
      </c>
    </row>
    <row r="10" spans="1:29">
      <c r="A10" s="3"/>
      <c r="B10" s="6" t="s">
        <v>151</v>
      </c>
      <c r="C10" s="812">
        <v>0</v>
      </c>
      <c r="D10" s="812">
        <v>0</v>
      </c>
      <c r="E10" s="812">
        <v>0</v>
      </c>
      <c r="F10" s="813">
        <v>0</v>
      </c>
      <c r="G10" s="812">
        <v>0</v>
      </c>
      <c r="H10" s="812">
        <v>0</v>
      </c>
      <c r="I10" s="812">
        <v>2.7887393731092754E-3</v>
      </c>
      <c r="J10" s="812">
        <v>0</v>
      </c>
      <c r="K10" s="812">
        <v>0</v>
      </c>
      <c r="L10" s="812">
        <v>0.97638857386013711</v>
      </c>
      <c r="M10" s="812">
        <v>0</v>
      </c>
      <c r="N10" s="812">
        <v>0</v>
      </c>
      <c r="O10" s="812">
        <v>0</v>
      </c>
      <c r="P10" s="812">
        <v>0</v>
      </c>
      <c r="Q10" s="812">
        <v>0</v>
      </c>
      <c r="R10" s="813">
        <v>0.97917731323324642</v>
      </c>
      <c r="S10" s="812">
        <v>5.1400098761514883</v>
      </c>
      <c r="T10" s="812">
        <v>0</v>
      </c>
      <c r="U10" s="812">
        <v>0</v>
      </c>
      <c r="V10" s="813">
        <v>5.1400098761514883</v>
      </c>
      <c r="W10" s="813">
        <v>6.1191871893847347</v>
      </c>
      <c r="X10" s="812">
        <v>0</v>
      </c>
      <c r="Y10" s="812">
        <v>2.4248284400000004E-2</v>
      </c>
      <c r="Z10" s="812">
        <v>3.1413796896596731</v>
      </c>
      <c r="AA10" s="814">
        <v>0</v>
      </c>
      <c r="AB10" s="814">
        <v>0</v>
      </c>
      <c r="AC10" s="813">
        <v>9.2848151634444065</v>
      </c>
    </row>
    <row r="11" spans="1:29">
      <c r="A11" s="3"/>
      <c r="B11" s="6" t="s">
        <v>152</v>
      </c>
      <c r="C11" s="812">
        <v>0</v>
      </c>
      <c r="D11" s="812">
        <v>0</v>
      </c>
      <c r="E11" s="812">
        <v>0</v>
      </c>
      <c r="F11" s="813">
        <v>0</v>
      </c>
      <c r="G11" s="812">
        <v>0</v>
      </c>
      <c r="H11" s="812">
        <v>0</v>
      </c>
      <c r="I11" s="812">
        <v>1.0508522324903882E-3</v>
      </c>
      <c r="J11" s="812">
        <v>0</v>
      </c>
      <c r="K11" s="812">
        <v>0</v>
      </c>
      <c r="L11" s="812">
        <v>0.65915688493745617</v>
      </c>
      <c r="M11" s="812">
        <v>0</v>
      </c>
      <c r="N11" s="812">
        <v>0</v>
      </c>
      <c r="O11" s="812">
        <v>0</v>
      </c>
      <c r="P11" s="812">
        <v>0</v>
      </c>
      <c r="Q11" s="812">
        <v>0</v>
      </c>
      <c r="R11" s="813">
        <v>0.66020773716994652</v>
      </c>
      <c r="S11" s="812">
        <v>2.9386241785427343</v>
      </c>
      <c r="T11" s="812">
        <v>0</v>
      </c>
      <c r="U11" s="812">
        <v>0</v>
      </c>
      <c r="V11" s="813">
        <v>2.9386241785427343</v>
      </c>
      <c r="W11" s="813">
        <v>3.5988319157126809</v>
      </c>
      <c r="X11" s="812">
        <v>0</v>
      </c>
      <c r="Y11" s="812">
        <v>5.5458E-3</v>
      </c>
      <c r="Z11" s="812">
        <v>1.2596123929724659</v>
      </c>
      <c r="AA11" s="814">
        <v>0</v>
      </c>
      <c r="AB11" s="814">
        <v>0</v>
      </c>
      <c r="AC11" s="813">
        <v>4.8639901086851474</v>
      </c>
    </row>
    <row r="12" spans="1:29">
      <c r="A12" s="3"/>
      <c r="B12" s="6" t="s">
        <v>153</v>
      </c>
      <c r="C12" s="812">
        <v>0</v>
      </c>
      <c r="D12" s="812">
        <v>0</v>
      </c>
      <c r="E12" s="812">
        <v>0</v>
      </c>
      <c r="F12" s="813">
        <v>0</v>
      </c>
      <c r="G12" s="812">
        <v>0</v>
      </c>
      <c r="H12" s="812">
        <v>0</v>
      </c>
      <c r="I12" s="812">
        <v>2.7745659923592281E-2</v>
      </c>
      <c r="J12" s="812">
        <v>2.5106404652900679E-3</v>
      </c>
      <c r="K12" s="812">
        <v>0</v>
      </c>
      <c r="L12" s="812">
        <v>1.9954431800910981</v>
      </c>
      <c r="M12" s="812">
        <v>0</v>
      </c>
      <c r="N12" s="812">
        <v>0</v>
      </c>
      <c r="O12" s="812">
        <v>0</v>
      </c>
      <c r="P12" s="812">
        <v>0</v>
      </c>
      <c r="Q12" s="812">
        <v>0</v>
      </c>
      <c r="R12" s="813">
        <v>2.0256994804799806</v>
      </c>
      <c r="S12" s="812">
        <v>18.23288331371948</v>
      </c>
      <c r="T12" s="812">
        <v>0</v>
      </c>
      <c r="U12" s="812">
        <v>0</v>
      </c>
      <c r="V12" s="813">
        <v>18.23288331371948</v>
      </c>
      <c r="W12" s="813">
        <v>20.258582794199462</v>
      </c>
      <c r="X12" s="812">
        <v>0</v>
      </c>
      <c r="Y12" s="812">
        <v>0.12367320000000001</v>
      </c>
      <c r="Z12" s="812">
        <v>16.98509284504064</v>
      </c>
      <c r="AA12" s="814">
        <v>0</v>
      </c>
      <c r="AB12" s="814">
        <v>0</v>
      </c>
      <c r="AC12" s="813">
        <v>37.367348839240101</v>
      </c>
    </row>
    <row r="13" spans="1:29">
      <c r="A13" s="3"/>
      <c r="B13" s="6" t="s">
        <v>154</v>
      </c>
      <c r="C13" s="812">
        <v>0</v>
      </c>
      <c r="D13" s="812">
        <v>0</v>
      </c>
      <c r="E13" s="812">
        <v>0</v>
      </c>
      <c r="F13" s="813">
        <v>0</v>
      </c>
      <c r="G13" s="812">
        <v>0</v>
      </c>
      <c r="H13" s="812">
        <v>0</v>
      </c>
      <c r="I13" s="812">
        <v>6.7713186231530803E-2</v>
      </c>
      <c r="J13" s="812">
        <v>0</v>
      </c>
      <c r="K13" s="812">
        <v>0</v>
      </c>
      <c r="L13" s="812">
        <v>2.4282406461538049</v>
      </c>
      <c r="M13" s="812">
        <v>0</v>
      </c>
      <c r="N13" s="812">
        <v>2.1459214E-3</v>
      </c>
      <c r="O13" s="812">
        <v>0</v>
      </c>
      <c r="P13" s="812">
        <v>0</v>
      </c>
      <c r="Q13" s="812">
        <v>0</v>
      </c>
      <c r="R13" s="813">
        <v>2.4980997537853358</v>
      </c>
      <c r="S13" s="812">
        <v>9.7088190247574566</v>
      </c>
      <c r="T13" s="812">
        <v>0</v>
      </c>
      <c r="U13" s="812">
        <v>0</v>
      </c>
      <c r="V13" s="813">
        <v>9.7088190247574566</v>
      </c>
      <c r="W13" s="813">
        <v>12.206918778542793</v>
      </c>
      <c r="X13" s="812">
        <v>0</v>
      </c>
      <c r="Y13" s="812">
        <v>6.3907736071999996E-2</v>
      </c>
      <c r="Z13" s="812">
        <v>12.891007123582504</v>
      </c>
      <c r="AA13" s="814">
        <v>0</v>
      </c>
      <c r="AB13" s="814">
        <v>0</v>
      </c>
      <c r="AC13" s="813">
        <v>25.161833638197297</v>
      </c>
    </row>
    <row r="14" spans="1:29">
      <c r="A14" s="218"/>
      <c r="B14" s="219" t="s">
        <v>155</v>
      </c>
      <c r="C14" s="815">
        <v>0</v>
      </c>
      <c r="D14" s="815">
        <v>0</v>
      </c>
      <c r="E14" s="815">
        <v>0</v>
      </c>
      <c r="F14" s="816">
        <v>0</v>
      </c>
      <c r="G14" s="812">
        <v>0</v>
      </c>
      <c r="H14" s="812">
        <v>0</v>
      </c>
      <c r="I14" s="812">
        <v>3.9378208733820641E-2</v>
      </c>
      <c r="J14" s="812">
        <v>0</v>
      </c>
      <c r="K14" s="812">
        <v>0</v>
      </c>
      <c r="L14" s="812">
        <v>0.89537463627080038</v>
      </c>
      <c r="M14" s="812">
        <v>0</v>
      </c>
      <c r="N14" s="812">
        <v>0.51185988403347094</v>
      </c>
      <c r="O14" s="812">
        <v>0</v>
      </c>
      <c r="P14" s="812">
        <v>0</v>
      </c>
      <c r="Q14" s="812">
        <v>0</v>
      </c>
      <c r="R14" s="816">
        <v>1.4466127290380919</v>
      </c>
      <c r="S14" s="812">
        <v>4.627794263538207</v>
      </c>
      <c r="T14" s="815">
        <v>0</v>
      </c>
      <c r="U14" s="815">
        <v>0</v>
      </c>
      <c r="V14" s="816">
        <v>4.627794263538207</v>
      </c>
      <c r="W14" s="816">
        <v>6.0744069925762991</v>
      </c>
      <c r="X14" s="812">
        <v>1.1268699999999998</v>
      </c>
      <c r="Y14" s="812">
        <v>2.293023122544867</v>
      </c>
      <c r="Z14" s="812">
        <v>4.8278701720708428</v>
      </c>
      <c r="AA14" s="817">
        <v>0</v>
      </c>
      <c r="AB14" s="817">
        <v>0</v>
      </c>
      <c r="AC14" s="816">
        <v>14.322170287192009</v>
      </c>
    </row>
    <row r="15" spans="1:29">
      <c r="A15" s="216" t="s">
        <v>156</v>
      </c>
      <c r="B15" s="220"/>
      <c r="C15" s="818">
        <f>SUM(C16:C24)</f>
        <v>0</v>
      </c>
      <c r="D15" s="818">
        <f t="shared" ref="D15:AC15" si="0">SUM(D16:D24)</f>
        <v>7.5710930000003355E-4</v>
      </c>
      <c r="E15" s="818">
        <f t="shared" si="0"/>
        <v>0.23897841417000007</v>
      </c>
      <c r="F15" s="819">
        <f t="shared" si="0"/>
        <v>0.23973552347000013</v>
      </c>
      <c r="G15" s="818">
        <f t="shared" si="0"/>
        <v>0</v>
      </c>
      <c r="H15" s="818">
        <f t="shared" si="0"/>
        <v>0</v>
      </c>
      <c r="I15" s="818">
        <f t="shared" si="0"/>
        <v>0.42837297190797929</v>
      </c>
      <c r="J15" s="818">
        <f t="shared" si="0"/>
        <v>0</v>
      </c>
      <c r="K15" s="818">
        <f t="shared" si="0"/>
        <v>0</v>
      </c>
      <c r="L15" s="818">
        <f t="shared" si="0"/>
        <v>8.795967633175179</v>
      </c>
      <c r="M15" s="818">
        <f t="shared" si="0"/>
        <v>0</v>
      </c>
      <c r="N15" s="818">
        <f t="shared" si="0"/>
        <v>0.5917809174162949</v>
      </c>
      <c r="O15" s="818">
        <f t="shared" si="0"/>
        <v>0</v>
      </c>
      <c r="P15" s="818">
        <f t="shared" si="0"/>
        <v>0.65237152799999998</v>
      </c>
      <c r="Q15" s="818">
        <f t="shared" si="0"/>
        <v>0</v>
      </c>
      <c r="R15" s="819">
        <f t="shared" si="0"/>
        <v>10.468493050499452</v>
      </c>
      <c r="S15" s="818">
        <f t="shared" si="0"/>
        <v>37.258987045301666</v>
      </c>
      <c r="T15" s="818">
        <f t="shared" si="0"/>
        <v>0</v>
      </c>
      <c r="U15" s="818">
        <f t="shared" si="0"/>
        <v>0</v>
      </c>
      <c r="V15" s="819">
        <f t="shared" si="0"/>
        <v>37.258987045301666</v>
      </c>
      <c r="W15" s="819">
        <f t="shared" si="0"/>
        <v>47.96721561927113</v>
      </c>
      <c r="X15" s="818">
        <f t="shared" si="0"/>
        <v>1.1904934775</v>
      </c>
      <c r="Y15" s="818">
        <f t="shared" si="0"/>
        <v>1.4634291102087544</v>
      </c>
      <c r="Z15" s="818">
        <f t="shared" si="0"/>
        <v>47.672791607646232</v>
      </c>
      <c r="AA15" s="820">
        <f t="shared" si="0"/>
        <v>0</v>
      </c>
      <c r="AB15" s="820">
        <f t="shared" si="0"/>
        <v>0</v>
      </c>
      <c r="AC15" s="819">
        <f t="shared" si="0"/>
        <v>98.293929814626111</v>
      </c>
    </row>
    <row r="16" spans="1:29">
      <c r="A16" s="5"/>
      <c r="B16" s="6" t="s">
        <v>34</v>
      </c>
      <c r="C16" s="821">
        <v>0</v>
      </c>
      <c r="D16" s="821">
        <v>0</v>
      </c>
      <c r="E16" s="821">
        <v>0</v>
      </c>
      <c r="F16" s="813">
        <f>C16+D16+E16</f>
        <v>0</v>
      </c>
      <c r="G16" s="821">
        <v>0</v>
      </c>
      <c r="H16" s="821">
        <v>0</v>
      </c>
      <c r="I16" s="821">
        <v>1.6343E-3</v>
      </c>
      <c r="J16" s="821">
        <v>0</v>
      </c>
      <c r="K16" s="821">
        <v>0</v>
      </c>
      <c r="L16" s="821">
        <v>8.6571711734000079E-3</v>
      </c>
      <c r="M16" s="821">
        <v>0</v>
      </c>
      <c r="N16" s="821">
        <v>0</v>
      </c>
      <c r="O16" s="821">
        <v>0</v>
      </c>
      <c r="P16" s="821">
        <v>0</v>
      </c>
      <c r="Q16" s="821">
        <v>0</v>
      </c>
      <c r="R16" s="813">
        <f>SUM(G16:Q16)</f>
        <v>1.0291471173400008E-2</v>
      </c>
      <c r="S16" s="821">
        <v>0.45851891347600127</v>
      </c>
      <c r="T16" s="821">
        <v>0</v>
      </c>
      <c r="U16" s="821">
        <v>0</v>
      </c>
      <c r="V16" s="822">
        <f>SUM(S16:U16)</f>
        <v>0.45851891347600127</v>
      </c>
      <c r="W16" s="813">
        <f>F16+R16+V16</f>
        <v>0.46881038464940128</v>
      </c>
      <c r="X16" s="821">
        <v>0</v>
      </c>
      <c r="Y16" s="821">
        <v>1.1232000000000001E-2</v>
      </c>
      <c r="Z16" s="821">
        <v>0.54484919119999997</v>
      </c>
      <c r="AA16" s="814">
        <v>0</v>
      </c>
      <c r="AB16" s="814">
        <v>0</v>
      </c>
      <c r="AC16" s="813">
        <f>SUM(W16:Z16)</f>
        <v>1.0248915758494013</v>
      </c>
    </row>
    <row r="17" spans="1:31">
      <c r="A17" s="5"/>
      <c r="B17" s="6" t="s">
        <v>37</v>
      </c>
      <c r="C17" s="821">
        <v>0</v>
      </c>
      <c r="D17" s="821">
        <v>0</v>
      </c>
      <c r="E17" s="821">
        <v>0.12103780260000008</v>
      </c>
      <c r="F17" s="813">
        <f t="shared" ref="F17:F24" si="1">C17+D17+E17</f>
        <v>0.12103780260000008</v>
      </c>
      <c r="G17" s="821">
        <v>0</v>
      </c>
      <c r="H17" s="821">
        <v>0</v>
      </c>
      <c r="I17" s="821">
        <v>7.7255344300000022E-4</v>
      </c>
      <c r="J17" s="821">
        <v>0</v>
      </c>
      <c r="K17" s="821">
        <v>0</v>
      </c>
      <c r="L17" s="821">
        <v>8.3940618374819975E-2</v>
      </c>
      <c r="M17" s="821">
        <v>0</v>
      </c>
      <c r="N17" s="821">
        <v>1.8184000000004419E-5</v>
      </c>
      <c r="O17" s="821">
        <v>0</v>
      </c>
      <c r="P17" s="821">
        <v>2.3915279999999969E-3</v>
      </c>
      <c r="Q17" s="821">
        <v>0</v>
      </c>
      <c r="R17" s="813">
        <f t="shared" ref="R17:R24" si="2">SUM(G17:Q17)</f>
        <v>8.712288381781999E-2</v>
      </c>
      <c r="S17" s="821">
        <v>0.44553863218399936</v>
      </c>
      <c r="T17" s="821">
        <v>0</v>
      </c>
      <c r="U17" s="821">
        <v>0</v>
      </c>
      <c r="V17" s="822">
        <f t="shared" ref="V17:V24" si="3">SUM(S17:U17)</f>
        <v>0.44553863218399936</v>
      </c>
      <c r="W17" s="813">
        <f t="shared" ref="W17:W24" si="4">F17+R17+V17</f>
        <v>0.6536993186018194</v>
      </c>
      <c r="X17" s="821">
        <v>6.9949999999999998E-2</v>
      </c>
      <c r="Y17" s="821">
        <v>1.392E-3</v>
      </c>
      <c r="Z17" s="821">
        <v>0.3443568084000006</v>
      </c>
      <c r="AA17" s="814">
        <v>0</v>
      </c>
      <c r="AB17" s="814">
        <v>0</v>
      </c>
      <c r="AC17" s="813">
        <f t="shared" ref="AC17:AC24" si="5">SUM(W17:Z17)</f>
        <v>1.0693981270018198</v>
      </c>
    </row>
    <row r="18" spans="1:31">
      <c r="A18" s="5"/>
      <c r="B18" s="6" t="s">
        <v>35</v>
      </c>
      <c r="C18" s="821">
        <v>0</v>
      </c>
      <c r="D18" s="821">
        <v>0</v>
      </c>
      <c r="E18" s="821">
        <v>0.10609499999999999</v>
      </c>
      <c r="F18" s="813">
        <f t="shared" si="1"/>
        <v>0.10609499999999999</v>
      </c>
      <c r="G18" s="821">
        <v>0</v>
      </c>
      <c r="H18" s="821">
        <v>0</v>
      </c>
      <c r="I18" s="821">
        <v>5.8919121515501473E-2</v>
      </c>
      <c r="J18" s="821">
        <v>0</v>
      </c>
      <c r="K18" s="821">
        <v>0</v>
      </c>
      <c r="L18" s="821">
        <v>0.85331486398172307</v>
      </c>
      <c r="M18" s="821">
        <v>0</v>
      </c>
      <c r="N18" s="821">
        <v>0</v>
      </c>
      <c r="O18" s="821">
        <v>0</v>
      </c>
      <c r="P18" s="821">
        <v>0</v>
      </c>
      <c r="Q18" s="821">
        <v>0</v>
      </c>
      <c r="R18" s="813">
        <f t="shared" si="2"/>
        <v>0.91223398549722456</v>
      </c>
      <c r="S18" s="821">
        <v>6.8757868503410853</v>
      </c>
      <c r="T18" s="821">
        <v>0</v>
      </c>
      <c r="U18" s="821">
        <v>0</v>
      </c>
      <c r="V18" s="822">
        <f t="shared" si="3"/>
        <v>6.8757868503410853</v>
      </c>
      <c r="W18" s="813">
        <f t="shared" si="4"/>
        <v>7.8941158358383099</v>
      </c>
      <c r="X18" s="821">
        <v>0</v>
      </c>
      <c r="Y18" s="821">
        <v>2.2234064120000001E-2</v>
      </c>
      <c r="Z18" s="821">
        <v>6.4697801086864528</v>
      </c>
      <c r="AA18" s="814">
        <v>0</v>
      </c>
      <c r="AB18" s="814">
        <v>0</v>
      </c>
      <c r="AC18" s="813">
        <f t="shared" si="5"/>
        <v>14.386130008644763</v>
      </c>
    </row>
    <row r="19" spans="1:31">
      <c r="A19" s="5"/>
      <c r="B19" s="6" t="s">
        <v>32</v>
      </c>
      <c r="C19" s="821">
        <v>0</v>
      </c>
      <c r="D19" s="821">
        <v>7.3249999999999997E-4</v>
      </c>
      <c r="E19" s="821">
        <v>0</v>
      </c>
      <c r="F19" s="813">
        <f t="shared" si="1"/>
        <v>7.3249999999999997E-4</v>
      </c>
      <c r="G19" s="821">
        <v>0</v>
      </c>
      <c r="H19" s="821">
        <v>0</v>
      </c>
      <c r="I19" s="821">
        <v>4.476169832910637E-2</v>
      </c>
      <c r="J19" s="821">
        <v>0</v>
      </c>
      <c r="K19" s="821">
        <v>0</v>
      </c>
      <c r="L19" s="821">
        <v>5.9854499024776295</v>
      </c>
      <c r="M19" s="821">
        <v>0</v>
      </c>
      <c r="N19" s="821">
        <v>0.17530515285167952</v>
      </c>
      <c r="O19" s="821">
        <v>0</v>
      </c>
      <c r="P19" s="821">
        <v>0</v>
      </c>
      <c r="Q19" s="821">
        <v>0</v>
      </c>
      <c r="R19" s="813">
        <f t="shared" si="2"/>
        <v>6.205516753658415</v>
      </c>
      <c r="S19" s="821">
        <v>6.6307388343865314</v>
      </c>
      <c r="T19" s="821">
        <v>0</v>
      </c>
      <c r="U19" s="821">
        <v>0</v>
      </c>
      <c r="V19" s="822">
        <f t="shared" si="3"/>
        <v>6.6307388343865314</v>
      </c>
      <c r="W19" s="813">
        <f t="shared" si="4"/>
        <v>12.836988088044947</v>
      </c>
      <c r="X19" s="821">
        <v>0.23867563000000003</v>
      </c>
      <c r="Y19" s="821">
        <v>0.58672809025999983</v>
      </c>
      <c r="Z19" s="821">
        <v>7.7440382488425161</v>
      </c>
      <c r="AA19" s="814">
        <v>0</v>
      </c>
      <c r="AB19" s="814">
        <v>0</v>
      </c>
      <c r="AC19" s="813">
        <f t="shared" si="5"/>
        <v>21.40643005714746</v>
      </c>
    </row>
    <row r="20" spans="1:31">
      <c r="A20" s="5"/>
      <c r="B20" s="6" t="s">
        <v>40</v>
      </c>
      <c r="C20" s="821">
        <v>0</v>
      </c>
      <c r="D20" s="821">
        <v>0</v>
      </c>
      <c r="E20" s="821">
        <v>4.0141569999999072E-5</v>
      </c>
      <c r="F20" s="813">
        <f t="shared" si="1"/>
        <v>4.0141569999999072E-5</v>
      </c>
      <c r="G20" s="821">
        <v>0</v>
      </c>
      <c r="H20" s="821">
        <v>0</v>
      </c>
      <c r="I20" s="821">
        <v>0.10013986012689723</v>
      </c>
      <c r="J20" s="821">
        <v>0</v>
      </c>
      <c r="K20" s="821">
        <v>0</v>
      </c>
      <c r="L20" s="821">
        <v>0.74157492813339665</v>
      </c>
      <c r="M20" s="821">
        <v>0</v>
      </c>
      <c r="N20" s="821">
        <v>0.38954199801534822</v>
      </c>
      <c r="O20" s="821">
        <v>0</v>
      </c>
      <c r="P20" s="821">
        <v>0</v>
      </c>
      <c r="Q20" s="821">
        <v>0</v>
      </c>
      <c r="R20" s="813">
        <f t="shared" si="2"/>
        <v>1.2312567862756421</v>
      </c>
      <c r="S20" s="821">
        <v>8.4607282408323403</v>
      </c>
      <c r="T20" s="821">
        <v>0</v>
      </c>
      <c r="U20" s="821">
        <v>0</v>
      </c>
      <c r="V20" s="822">
        <f t="shared" si="3"/>
        <v>8.4607282408323403</v>
      </c>
      <c r="W20" s="813">
        <f t="shared" si="4"/>
        <v>9.6920251686779828</v>
      </c>
      <c r="X20" s="821">
        <v>0</v>
      </c>
      <c r="Y20" s="821">
        <v>0.15080785742875485</v>
      </c>
      <c r="Z20" s="821">
        <v>10.18445737999318</v>
      </c>
      <c r="AA20" s="814">
        <v>0</v>
      </c>
      <c r="AB20" s="814">
        <v>0</v>
      </c>
      <c r="AC20" s="813">
        <f t="shared" si="5"/>
        <v>20.027290406099915</v>
      </c>
    </row>
    <row r="21" spans="1:31">
      <c r="A21" s="5"/>
      <c r="B21" s="6" t="s">
        <v>39</v>
      </c>
      <c r="C21" s="821">
        <v>0</v>
      </c>
      <c r="D21" s="821">
        <v>0</v>
      </c>
      <c r="E21" s="821">
        <v>0</v>
      </c>
      <c r="F21" s="813">
        <f t="shared" si="1"/>
        <v>0</v>
      </c>
      <c r="G21" s="821">
        <v>0</v>
      </c>
      <c r="H21" s="821">
        <v>0</v>
      </c>
      <c r="I21" s="821">
        <v>5.1901135876337729E-3</v>
      </c>
      <c r="J21" s="821">
        <v>0</v>
      </c>
      <c r="K21" s="821">
        <v>0</v>
      </c>
      <c r="L21" s="821">
        <v>6.1003792913099368E-2</v>
      </c>
      <c r="M21" s="821">
        <v>0</v>
      </c>
      <c r="N21" s="821">
        <v>2.6909182691267162E-2</v>
      </c>
      <c r="O21" s="821">
        <v>0</v>
      </c>
      <c r="P21" s="821">
        <v>0</v>
      </c>
      <c r="Q21" s="821">
        <v>0</v>
      </c>
      <c r="R21" s="813">
        <f t="shared" si="2"/>
        <v>9.3103089192000305E-2</v>
      </c>
      <c r="S21" s="821">
        <v>3.7144800478087356</v>
      </c>
      <c r="T21" s="821">
        <v>0</v>
      </c>
      <c r="U21" s="821">
        <v>0</v>
      </c>
      <c r="V21" s="822">
        <f t="shared" si="3"/>
        <v>3.7144800478087356</v>
      </c>
      <c r="W21" s="813">
        <f t="shared" si="4"/>
        <v>3.8075831370007358</v>
      </c>
      <c r="X21" s="821">
        <v>0</v>
      </c>
      <c r="Y21" s="821">
        <v>2.7647000000000001E-2</v>
      </c>
      <c r="Z21" s="821">
        <v>2.6653799014757911</v>
      </c>
      <c r="AA21" s="814">
        <v>0</v>
      </c>
      <c r="AB21" s="814">
        <v>0</v>
      </c>
      <c r="AC21" s="813">
        <f t="shared" si="5"/>
        <v>6.5006100384765269</v>
      </c>
    </row>
    <row r="22" spans="1:31">
      <c r="A22" s="5"/>
      <c r="B22" s="6" t="s">
        <v>36</v>
      </c>
      <c r="C22" s="821">
        <v>0</v>
      </c>
      <c r="D22" s="821">
        <v>2.4609300000033585E-5</v>
      </c>
      <c r="E22" s="821">
        <v>1.180547E-2</v>
      </c>
      <c r="F22" s="813">
        <f t="shared" si="1"/>
        <v>1.1830079300000034E-2</v>
      </c>
      <c r="G22" s="821">
        <v>0</v>
      </c>
      <c r="H22" s="821">
        <v>0</v>
      </c>
      <c r="I22" s="821">
        <v>4.5412543326797283E-2</v>
      </c>
      <c r="J22" s="821">
        <v>0</v>
      </c>
      <c r="K22" s="821">
        <v>0</v>
      </c>
      <c r="L22" s="821">
        <v>0.4956514702526153</v>
      </c>
      <c r="M22" s="821">
        <v>0</v>
      </c>
      <c r="N22" s="821">
        <v>6.3998579999946514E-6</v>
      </c>
      <c r="O22" s="821">
        <v>0</v>
      </c>
      <c r="P22" s="821">
        <v>0</v>
      </c>
      <c r="Q22" s="821">
        <v>0</v>
      </c>
      <c r="R22" s="813">
        <f t="shared" si="2"/>
        <v>0.54107041343741258</v>
      </c>
      <c r="S22" s="821">
        <v>1.537518145274583</v>
      </c>
      <c r="T22" s="821">
        <v>0</v>
      </c>
      <c r="U22" s="821">
        <v>0</v>
      </c>
      <c r="V22" s="822">
        <f t="shared" si="3"/>
        <v>1.537518145274583</v>
      </c>
      <c r="W22" s="813">
        <f t="shared" si="4"/>
        <v>2.0904186380119958</v>
      </c>
      <c r="X22" s="821">
        <v>0.88186784750000002</v>
      </c>
      <c r="Y22" s="821">
        <v>0</v>
      </c>
      <c r="Z22" s="821">
        <v>1.7912960837961796</v>
      </c>
      <c r="AA22" s="814">
        <v>0</v>
      </c>
      <c r="AB22" s="814">
        <v>0</v>
      </c>
      <c r="AC22" s="813">
        <f t="shared" si="5"/>
        <v>4.7635825693081753</v>
      </c>
    </row>
    <row r="23" spans="1:31">
      <c r="A23" s="5"/>
      <c r="B23" s="6" t="s">
        <v>38</v>
      </c>
      <c r="C23" s="821">
        <v>0</v>
      </c>
      <c r="D23" s="821">
        <v>0</v>
      </c>
      <c r="E23" s="821">
        <v>0</v>
      </c>
      <c r="F23" s="813">
        <f t="shared" si="1"/>
        <v>0</v>
      </c>
      <c r="G23" s="821">
        <v>0</v>
      </c>
      <c r="H23" s="821">
        <v>0</v>
      </c>
      <c r="I23" s="821">
        <v>6.101414182550316E-2</v>
      </c>
      <c r="J23" s="821">
        <v>0</v>
      </c>
      <c r="K23" s="821">
        <v>0</v>
      </c>
      <c r="L23" s="821">
        <v>0.2958800722289946</v>
      </c>
      <c r="M23" s="821">
        <v>0</v>
      </c>
      <c r="N23" s="821">
        <v>0</v>
      </c>
      <c r="O23" s="821">
        <v>0</v>
      </c>
      <c r="P23" s="821">
        <v>0</v>
      </c>
      <c r="Q23" s="821">
        <v>0</v>
      </c>
      <c r="R23" s="813">
        <f t="shared" si="2"/>
        <v>0.35689421405449773</v>
      </c>
      <c r="S23" s="821">
        <v>0.47536284017639985</v>
      </c>
      <c r="T23" s="821">
        <v>0</v>
      </c>
      <c r="U23" s="821">
        <v>0</v>
      </c>
      <c r="V23" s="822">
        <f t="shared" si="3"/>
        <v>0.47536284017639985</v>
      </c>
      <c r="W23" s="813">
        <f t="shared" si="4"/>
        <v>0.83225705423089757</v>
      </c>
      <c r="X23" s="821">
        <v>0</v>
      </c>
      <c r="Y23" s="821">
        <v>0.6591489199999998</v>
      </c>
      <c r="Z23" s="821">
        <v>3.3094774314845812</v>
      </c>
      <c r="AA23" s="814">
        <v>0</v>
      </c>
      <c r="AB23" s="814">
        <v>0</v>
      </c>
      <c r="AC23" s="813">
        <f t="shared" si="5"/>
        <v>4.8008834057154788</v>
      </c>
    </row>
    <row r="24" spans="1:31">
      <c r="A24" s="221"/>
      <c r="B24" s="219" t="s">
        <v>33</v>
      </c>
      <c r="C24" s="821">
        <v>0</v>
      </c>
      <c r="D24" s="821">
        <v>0</v>
      </c>
      <c r="E24" s="821">
        <v>0</v>
      </c>
      <c r="F24" s="813">
        <f t="shared" si="1"/>
        <v>0</v>
      </c>
      <c r="G24" s="821">
        <v>0</v>
      </c>
      <c r="H24" s="821">
        <v>0</v>
      </c>
      <c r="I24" s="821">
        <v>0.11052863975354001</v>
      </c>
      <c r="J24" s="821">
        <v>0</v>
      </c>
      <c r="K24" s="821">
        <v>0</v>
      </c>
      <c r="L24" s="821">
        <v>0.27049481363950006</v>
      </c>
      <c r="M24" s="821">
        <v>0</v>
      </c>
      <c r="N24" s="821">
        <v>0</v>
      </c>
      <c r="O24" s="821">
        <v>0</v>
      </c>
      <c r="P24" s="821">
        <v>0.64998</v>
      </c>
      <c r="Q24" s="821">
        <v>0</v>
      </c>
      <c r="R24" s="813">
        <f t="shared" si="2"/>
        <v>1.0310034533930401</v>
      </c>
      <c r="S24" s="821">
        <v>8.6603145408219966</v>
      </c>
      <c r="T24" s="821">
        <v>0</v>
      </c>
      <c r="U24" s="821">
        <v>0</v>
      </c>
      <c r="V24" s="822">
        <f t="shared" si="3"/>
        <v>8.6603145408219966</v>
      </c>
      <c r="W24" s="813">
        <f t="shared" si="4"/>
        <v>9.6913179942150371</v>
      </c>
      <c r="X24" s="821">
        <v>0</v>
      </c>
      <c r="Y24" s="821">
        <v>4.2391784000000016E-3</v>
      </c>
      <c r="Z24" s="821">
        <v>14.61915645376753</v>
      </c>
      <c r="AA24" s="814">
        <v>0</v>
      </c>
      <c r="AB24" s="814">
        <v>0</v>
      </c>
      <c r="AC24" s="813">
        <f t="shared" si="5"/>
        <v>24.31471362638257</v>
      </c>
    </row>
    <row r="25" spans="1:31">
      <c r="A25" s="5" t="s">
        <v>105</v>
      </c>
      <c r="B25" s="129"/>
      <c r="C25" s="823">
        <f>SUM(C27:C32)</f>
        <v>0</v>
      </c>
      <c r="D25" s="823">
        <f t="shared" ref="D25:Y25" si="6">SUM(D27:D32)</f>
        <v>0.26529772929784601</v>
      </c>
      <c r="E25" s="823">
        <f t="shared" si="6"/>
        <v>0</v>
      </c>
      <c r="F25" s="823">
        <f t="shared" si="6"/>
        <v>0.26529772929784601</v>
      </c>
      <c r="G25" s="823">
        <f t="shared" si="6"/>
        <v>0</v>
      </c>
      <c r="H25" s="823">
        <f t="shared" si="6"/>
        <v>0</v>
      </c>
      <c r="I25" s="823">
        <f t="shared" si="6"/>
        <v>2.6259122085551086E-2</v>
      </c>
      <c r="J25" s="823">
        <f t="shared" si="6"/>
        <v>9.748541376569779E-2</v>
      </c>
      <c r="K25" s="823">
        <f t="shared" si="6"/>
        <v>0</v>
      </c>
      <c r="L25" s="823">
        <f t="shared" si="6"/>
        <v>8.3094457312637431</v>
      </c>
      <c r="M25" s="823">
        <f t="shared" si="6"/>
        <v>0</v>
      </c>
      <c r="N25" s="823">
        <f t="shared" si="6"/>
        <v>0.56202411234980953</v>
      </c>
      <c r="O25" s="823">
        <f t="shared" si="6"/>
        <v>0</v>
      </c>
      <c r="P25" s="823">
        <f t="shared" si="6"/>
        <v>0</v>
      </c>
      <c r="Q25" s="823">
        <f t="shared" si="6"/>
        <v>0</v>
      </c>
      <c r="R25" s="823">
        <f t="shared" si="6"/>
        <v>8.9952143794648016</v>
      </c>
      <c r="S25" s="823">
        <f t="shared" si="6"/>
        <v>14.496840271432314</v>
      </c>
      <c r="T25" s="823">
        <f t="shared" si="6"/>
        <v>0</v>
      </c>
      <c r="U25" s="823">
        <f t="shared" si="6"/>
        <v>0</v>
      </c>
      <c r="V25" s="823">
        <f t="shared" si="6"/>
        <v>14.496840271432314</v>
      </c>
      <c r="W25" s="823">
        <f t="shared" si="6"/>
        <v>23.757352380194959</v>
      </c>
      <c r="X25" s="823">
        <f t="shared" si="6"/>
        <v>0</v>
      </c>
      <c r="Y25" s="823">
        <f t="shared" si="6"/>
        <v>2.6004582484000003</v>
      </c>
      <c r="Z25" s="811">
        <f>SUM(Z27:Z32)</f>
        <v>-1.2270283798095674</v>
      </c>
      <c r="AA25" s="820">
        <v>0</v>
      </c>
      <c r="AB25" s="820">
        <v>0</v>
      </c>
      <c r="AC25" s="810">
        <f>SUM(AC27:AC32)</f>
        <v>25.13078224878539</v>
      </c>
      <c r="AE25" s="39"/>
    </row>
    <row r="26" spans="1:31">
      <c r="A26" s="5"/>
      <c r="B26" s="129"/>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2.6591025930659193</v>
      </c>
      <c r="AA26" s="828"/>
      <c r="AB26" s="825"/>
      <c r="AC26" s="826"/>
      <c r="AE26" s="39"/>
    </row>
    <row r="27" spans="1:31">
      <c r="A27" s="3"/>
      <c r="B27" s="6" t="s">
        <v>157</v>
      </c>
      <c r="C27" s="812">
        <v>0</v>
      </c>
      <c r="D27" s="812">
        <v>1.1303991075355716E-2</v>
      </c>
      <c r="E27" s="812">
        <v>0</v>
      </c>
      <c r="F27" s="813">
        <v>1.1303991075355716E-2</v>
      </c>
      <c r="G27" s="812">
        <v>0</v>
      </c>
      <c r="H27" s="812">
        <v>0</v>
      </c>
      <c r="I27" s="812">
        <v>9.2396467354683084E-3</v>
      </c>
      <c r="J27" s="812">
        <v>7.3922975721793906E-4</v>
      </c>
      <c r="K27" s="812">
        <v>0</v>
      </c>
      <c r="L27" s="812">
        <v>4.9556786275922793</v>
      </c>
      <c r="M27" s="812">
        <v>0</v>
      </c>
      <c r="N27" s="812">
        <v>0</v>
      </c>
      <c r="O27" s="812">
        <v>0</v>
      </c>
      <c r="P27" s="812">
        <v>0</v>
      </c>
      <c r="Q27" s="812">
        <v>0</v>
      </c>
      <c r="R27" s="813">
        <v>4.9656575040849651</v>
      </c>
      <c r="S27" s="812">
        <v>9.0316738497561069E-2</v>
      </c>
      <c r="T27" s="812">
        <v>0</v>
      </c>
      <c r="U27" s="812">
        <v>0</v>
      </c>
      <c r="V27" s="813">
        <v>9.0316738497561069E-2</v>
      </c>
      <c r="W27" s="813">
        <v>5.0672782336578823</v>
      </c>
      <c r="X27" s="812">
        <v>0</v>
      </c>
      <c r="Y27" s="812">
        <v>1.1381366720000001</v>
      </c>
      <c r="Z27" s="812">
        <v>2.0752702318275231</v>
      </c>
      <c r="AA27" s="814">
        <v>0</v>
      </c>
      <c r="AB27" s="814">
        <v>0</v>
      </c>
      <c r="AC27" s="813">
        <v>8.2806851374854062</v>
      </c>
    </row>
    <row r="28" spans="1:31">
      <c r="A28" s="3"/>
      <c r="B28" s="6" t="s">
        <v>158</v>
      </c>
      <c r="C28" s="812">
        <v>0</v>
      </c>
      <c r="D28" s="812">
        <v>2.7216061785963094E-4</v>
      </c>
      <c r="E28" s="812">
        <v>0</v>
      </c>
      <c r="F28" s="813">
        <v>2.7216061785963094E-4</v>
      </c>
      <c r="G28" s="812">
        <v>0</v>
      </c>
      <c r="H28" s="812">
        <v>0</v>
      </c>
      <c r="I28" s="812">
        <v>2.3075830165087811E-3</v>
      </c>
      <c r="J28" s="812">
        <v>2.5379244585237311E-4</v>
      </c>
      <c r="K28" s="812">
        <v>0</v>
      </c>
      <c r="L28" s="812">
        <v>1.707017936088649</v>
      </c>
      <c r="M28" s="812">
        <v>0</v>
      </c>
      <c r="N28" s="812">
        <v>0</v>
      </c>
      <c r="O28" s="812">
        <v>0</v>
      </c>
      <c r="P28" s="812">
        <v>0</v>
      </c>
      <c r="Q28" s="812">
        <v>0</v>
      </c>
      <c r="R28" s="813">
        <v>1.7095793115510103</v>
      </c>
      <c r="S28" s="812">
        <v>0</v>
      </c>
      <c r="T28" s="812">
        <v>0</v>
      </c>
      <c r="U28" s="812">
        <v>0</v>
      </c>
      <c r="V28" s="813">
        <v>0</v>
      </c>
      <c r="W28" s="813">
        <v>1.70985147216887</v>
      </c>
      <c r="X28" s="812">
        <v>0</v>
      </c>
      <c r="Y28" s="812">
        <v>1.0039791920000001</v>
      </c>
      <c r="Z28" s="812">
        <v>0.5122158597433546</v>
      </c>
      <c r="AA28" s="814">
        <v>0</v>
      </c>
      <c r="AB28" s="814">
        <v>0</v>
      </c>
      <c r="AC28" s="813">
        <v>3.2260465239122245</v>
      </c>
    </row>
    <row r="29" spans="1:31">
      <c r="A29" s="3"/>
      <c r="B29" s="6" t="s">
        <v>159</v>
      </c>
      <c r="C29" s="812">
        <v>0</v>
      </c>
      <c r="D29" s="812">
        <v>0.17392470361702425</v>
      </c>
      <c r="E29" s="812">
        <v>0</v>
      </c>
      <c r="F29" s="813">
        <v>0.17392470361702425</v>
      </c>
      <c r="G29" s="812">
        <v>0</v>
      </c>
      <c r="H29" s="812">
        <v>0</v>
      </c>
      <c r="I29" s="812">
        <v>5.2749825794606705E-3</v>
      </c>
      <c r="J29" s="812">
        <v>1.1883087866955912E-3</v>
      </c>
      <c r="K29" s="812">
        <v>0</v>
      </c>
      <c r="L29" s="812">
        <v>0.8782659465670748</v>
      </c>
      <c r="M29" s="812">
        <v>0</v>
      </c>
      <c r="N29" s="812">
        <v>0.56202411234980953</v>
      </c>
      <c r="O29" s="812">
        <v>0</v>
      </c>
      <c r="P29" s="812">
        <v>0</v>
      </c>
      <c r="Q29" s="812">
        <v>0</v>
      </c>
      <c r="R29" s="813">
        <v>1.4467533502830405</v>
      </c>
      <c r="S29" s="812">
        <v>14.333023387710718</v>
      </c>
      <c r="T29" s="812">
        <v>0</v>
      </c>
      <c r="U29" s="812">
        <v>0</v>
      </c>
      <c r="V29" s="813">
        <v>14.333023387710718</v>
      </c>
      <c r="W29" s="813">
        <v>15.953701441610782</v>
      </c>
      <c r="X29" s="812">
        <v>0</v>
      </c>
      <c r="Y29" s="812">
        <v>0.45823178440000001</v>
      </c>
      <c r="Z29" s="812">
        <v>-4.5117611925940428</v>
      </c>
      <c r="AA29" s="814">
        <v>0</v>
      </c>
      <c r="AB29" s="814">
        <v>0</v>
      </c>
      <c r="AC29" s="813">
        <v>11.900172033416737</v>
      </c>
    </row>
    <row r="30" spans="1:31">
      <c r="A30" s="3"/>
      <c r="B30" s="6" t="s">
        <v>160</v>
      </c>
      <c r="C30" s="812">
        <v>0</v>
      </c>
      <c r="D30" s="812">
        <v>7.9796873987606376E-2</v>
      </c>
      <c r="E30" s="812">
        <v>0</v>
      </c>
      <c r="F30" s="813">
        <v>7.9796873987606376E-2</v>
      </c>
      <c r="G30" s="812">
        <v>0</v>
      </c>
      <c r="H30" s="812">
        <v>0</v>
      </c>
      <c r="I30" s="812">
        <v>9.4351520670163287E-3</v>
      </c>
      <c r="J30" s="812">
        <v>5.5058206228424051E-3</v>
      </c>
      <c r="K30" s="812">
        <v>0</v>
      </c>
      <c r="L30" s="812">
        <v>0.75825303128394128</v>
      </c>
      <c r="M30" s="812">
        <v>0</v>
      </c>
      <c r="N30" s="812">
        <v>0</v>
      </c>
      <c r="O30" s="812">
        <v>0</v>
      </c>
      <c r="P30" s="812">
        <v>0</v>
      </c>
      <c r="Q30" s="812">
        <v>0</v>
      </c>
      <c r="R30" s="813">
        <v>0.7731940039738</v>
      </c>
      <c r="S30" s="812">
        <v>7.3500145224034349E-2</v>
      </c>
      <c r="T30" s="812">
        <v>0</v>
      </c>
      <c r="U30" s="812">
        <v>0</v>
      </c>
      <c r="V30" s="813">
        <v>7.3500145224034349E-2</v>
      </c>
      <c r="W30" s="813">
        <v>0.92649102318544074</v>
      </c>
      <c r="X30" s="812">
        <v>0</v>
      </c>
      <c r="Y30" s="812">
        <v>1.106E-4</v>
      </c>
      <c r="Z30" s="812">
        <v>0.69719702479759782</v>
      </c>
      <c r="AA30" s="814">
        <v>0</v>
      </c>
      <c r="AB30" s="814">
        <v>0</v>
      </c>
      <c r="AC30" s="813">
        <v>1.6237986479830386</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8" t="s">
        <v>162</v>
      </c>
      <c r="C32" s="830">
        <v>0</v>
      </c>
      <c r="D32" s="830">
        <v>0</v>
      </c>
      <c r="E32" s="830">
        <v>0</v>
      </c>
      <c r="F32" s="829">
        <v>0</v>
      </c>
      <c r="G32" s="830">
        <v>0</v>
      </c>
      <c r="H32" s="830">
        <v>0</v>
      </c>
      <c r="I32" s="830">
        <v>0</v>
      </c>
      <c r="J32" s="830">
        <v>2.9682038125958409E-3</v>
      </c>
      <c r="K32" s="830">
        <v>0</v>
      </c>
      <c r="L32" s="830">
        <v>3.4144132042592998E-3</v>
      </c>
      <c r="M32" s="830">
        <v>0</v>
      </c>
      <c r="N32" s="830">
        <v>0</v>
      </c>
      <c r="O32" s="830">
        <v>0</v>
      </c>
      <c r="P32" s="830">
        <v>0</v>
      </c>
      <c r="Q32" s="830">
        <v>0</v>
      </c>
      <c r="R32" s="829">
        <v>6.3826170168551407E-3</v>
      </c>
      <c r="S32" s="830">
        <v>0</v>
      </c>
      <c r="T32" s="830">
        <v>0</v>
      </c>
      <c r="U32" s="830">
        <v>0</v>
      </c>
      <c r="V32" s="829">
        <v>0</v>
      </c>
      <c r="W32" s="829">
        <v>6.3826170168551407E-3</v>
      </c>
      <c r="X32" s="830">
        <v>0</v>
      </c>
      <c r="Y32" s="830">
        <v>0</v>
      </c>
      <c r="Z32" s="830">
        <v>4.9696416000000005E-5</v>
      </c>
      <c r="AA32" s="831">
        <v>0</v>
      </c>
      <c r="AB32" s="831">
        <v>0</v>
      </c>
      <c r="AC32" s="829">
        <v>6.4323134328551409E-3</v>
      </c>
    </row>
    <row r="35" spans="3:29">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0" t="s">
        <v>471</v>
      </c>
      <c r="B2" s="1161"/>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473</v>
      </c>
      <c r="C6" s="164" t="s">
        <v>489</v>
      </c>
    </row>
    <row r="7" spans="1:3" s="12" customFormat="1">
      <c r="A7" s="133"/>
      <c r="B7" s="134"/>
      <c r="C7" s="135"/>
    </row>
    <row r="8" spans="1:3" s="12" customFormat="1" ht="60">
      <c r="A8" s="114" t="s">
        <v>148</v>
      </c>
      <c r="B8" s="131" t="s">
        <v>473</v>
      </c>
      <c r="C8" s="308" t="s">
        <v>490</v>
      </c>
    </row>
    <row r="9" spans="1:3" s="12" customFormat="1">
      <c r="A9" s="133"/>
      <c r="B9" s="134"/>
      <c r="C9" s="135"/>
    </row>
    <row r="10" spans="1:3" s="12" customFormat="1" ht="60">
      <c r="A10" s="114" t="s">
        <v>149</v>
      </c>
      <c r="B10" s="131" t="s">
        <v>473</v>
      </c>
      <c r="C10" s="308" t="s">
        <v>490</v>
      </c>
    </row>
    <row r="11" spans="1:3" s="12" customFormat="1">
      <c r="A11" s="133"/>
      <c r="B11" s="134"/>
      <c r="C11" s="135"/>
    </row>
    <row r="12" spans="1:3" s="12" customFormat="1" ht="60">
      <c r="A12" s="114" t="s">
        <v>378</v>
      </c>
      <c r="B12" s="131" t="s">
        <v>473</v>
      </c>
      <c r="C12" s="308" t="s">
        <v>490</v>
      </c>
    </row>
    <row r="13" spans="1:3" s="12" customFormat="1">
      <c r="A13" s="133"/>
      <c r="B13" s="134"/>
      <c r="C13" s="135"/>
    </row>
    <row r="14" spans="1:3" s="12" customFormat="1" ht="60">
      <c r="A14" s="114" t="s">
        <v>105</v>
      </c>
      <c r="B14" s="131" t="s">
        <v>491</v>
      </c>
      <c r="C14" s="308" t="s">
        <v>490</v>
      </c>
    </row>
    <row r="15" spans="1:3" s="12" customFormat="1" ht="63">
      <c r="A15" s="124"/>
      <c r="B15" s="131" t="s">
        <v>492</v>
      </c>
      <c r="C15" s="308" t="s">
        <v>496</v>
      </c>
    </row>
    <row r="16" spans="1:3" s="12" customFormat="1">
      <c r="A16" s="133"/>
      <c r="B16" s="134"/>
      <c r="C16" s="135"/>
    </row>
    <row r="17" spans="1:3" s="12" customFormat="1" ht="45">
      <c r="A17" s="114" t="s">
        <v>472</v>
      </c>
      <c r="B17" s="131" t="s">
        <v>541</v>
      </c>
      <c r="C17" s="164" t="s">
        <v>542</v>
      </c>
    </row>
    <row r="18" spans="1:3" s="12" customFormat="1">
      <c r="A18" s="133"/>
      <c r="B18" s="134"/>
      <c r="C18" s="135"/>
    </row>
    <row r="19" spans="1:3" s="12" customFormat="1" ht="60">
      <c r="A19" s="114" t="s">
        <v>381</v>
      </c>
      <c r="B19" s="307" t="s">
        <v>539</v>
      </c>
      <c r="C19" s="164" t="s">
        <v>540</v>
      </c>
    </row>
    <row r="20" spans="1:3" s="12" customFormat="1">
      <c r="A20" s="114"/>
      <c r="B20" s="131"/>
      <c r="C20" s="132"/>
    </row>
    <row r="21" spans="1:3" ht="21">
      <c r="A21" s="127" t="s">
        <v>475</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536</v>
      </c>
      <c r="B5" s="31">
        <f>SUM(OV_ov_ele_kWh,OV_rest_ele_kWh)/1000</f>
        <v>1272.825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537</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476</v>
      </c>
      <c r="B8" s="869">
        <f>MAX((B5+B6),0)</f>
        <v>1272.825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0.21224290196984863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270.14807169977257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IF(ISERROR(SUM(HH_hh_ele_kWh,HH_rest_kWh)/1000),0,SUM(HH_hh_ele_kWh,HH_rest_kWh)/1000)</f>
        <v>29551.916935186899</v>
      </c>
      <c r="C5" s="18">
        <f>IF(ISERROR('Eigen informatie GS &amp; warmtenet'!B57),0,'Eigen informatie GS &amp; warmtenet'!B57)</f>
        <v>0</v>
      </c>
      <c r="D5" s="31">
        <f>(SUM(HH_hh_gas_kWh,HH_rest_gas_kWh)/1000)*0.902</f>
        <v>26746.376207317458</v>
      </c>
      <c r="E5" s="18">
        <f>B32*B41</f>
        <v>2299.1962046601157</v>
      </c>
      <c r="F5" s="18">
        <f>B36*B45</f>
        <v>70095.817033260842</v>
      </c>
      <c r="G5" s="19"/>
      <c r="H5" s="18"/>
      <c r="I5" s="18"/>
      <c r="J5" s="18">
        <f>B35*B44+C35*C44</f>
        <v>1271.8641754730947</v>
      </c>
      <c r="K5" s="18"/>
      <c r="L5" s="18"/>
      <c r="M5" s="18"/>
      <c r="N5" s="18">
        <f>B34*B43+C34*C43</f>
        <v>9631.172203600674</v>
      </c>
      <c r="O5" s="18">
        <f>B52*B53*B54</f>
        <v>123.50333333333334</v>
      </c>
      <c r="P5" s="18">
        <f>B60*B61*B62/1000-B60*B61*B62/1000/B63</f>
        <v>400.4</v>
      </c>
    </row>
    <row r="6" spans="1:16">
      <c r="A6" s="17" t="s">
        <v>597</v>
      </c>
      <c r="B6" s="731">
        <f>kWh_PV_kleiner_dan_10kW</f>
        <v>2812.7584772552955</v>
      </c>
      <c r="C6" s="732"/>
      <c r="D6" s="732"/>
      <c r="E6" s="733"/>
      <c r="F6" s="733"/>
      <c r="G6" s="733"/>
      <c r="H6" s="733"/>
      <c r="I6" s="733"/>
      <c r="J6" s="733"/>
      <c r="K6" s="733"/>
      <c r="L6" s="733"/>
      <c r="M6" s="733"/>
      <c r="N6" s="733"/>
      <c r="O6" s="733"/>
      <c r="P6" s="733"/>
    </row>
    <row r="7" spans="1:16">
      <c r="B7" s="20"/>
      <c r="C7" s="20"/>
      <c r="D7" s="20"/>
      <c r="E7" s="20"/>
      <c r="F7" s="20"/>
      <c r="G7" s="20"/>
      <c r="H7" s="20"/>
      <c r="I7" s="20"/>
      <c r="J7" s="20"/>
      <c r="K7" s="20"/>
      <c r="L7" s="20"/>
      <c r="M7" s="20"/>
      <c r="N7" s="20"/>
      <c r="O7" s="20"/>
      <c r="P7" s="20"/>
    </row>
    <row r="8" spans="1:16" s="8" customFormat="1">
      <c r="A8" s="21" t="s">
        <v>205</v>
      </c>
      <c r="B8" s="22">
        <f>B5+B6</f>
        <v>32364.675412442193</v>
      </c>
      <c r="C8" s="22">
        <f>C5</f>
        <v>0</v>
      </c>
      <c r="D8" s="22">
        <f>D5</f>
        <v>26746.376207317458</v>
      </c>
      <c r="E8" s="22">
        <f>E5</f>
        <v>2299.1962046601157</v>
      </c>
      <c r="F8" s="22">
        <f>F5</f>
        <v>70095.817033260842</v>
      </c>
      <c r="G8" s="22"/>
      <c r="H8" s="22"/>
      <c r="I8" s="22"/>
      <c r="J8" s="22">
        <f>J5</f>
        <v>1271.8641754730947</v>
      </c>
      <c r="K8" s="22"/>
      <c r="L8" s="22">
        <f>L5</f>
        <v>0</v>
      </c>
      <c r="M8" s="22">
        <f>M5</f>
        <v>0</v>
      </c>
      <c r="N8" s="22">
        <f>N5</f>
        <v>9631.172203600674</v>
      </c>
      <c r="O8" s="22">
        <f>O5</f>
        <v>123.50333333333334</v>
      </c>
      <c r="P8" s="22">
        <f>P5</f>
        <v>400.4</v>
      </c>
    </row>
    <row r="9" spans="1:16">
      <c r="B9" s="20"/>
      <c r="C9" s="20"/>
      <c r="D9" s="258"/>
      <c r="E9" s="20"/>
      <c r="F9" s="20"/>
      <c r="G9" s="20"/>
      <c r="H9" s="20"/>
      <c r="I9" s="20"/>
      <c r="J9" s="20"/>
      <c r="K9" s="20"/>
      <c r="L9" s="20"/>
      <c r="M9" s="20"/>
      <c r="N9" s="20"/>
      <c r="O9" s="20"/>
      <c r="P9" s="20"/>
    </row>
    <row r="10" spans="1:16">
      <c r="A10" s="25" t="s">
        <v>207</v>
      </c>
      <c r="B10" s="26">
        <f ca="1">'EF ele_warmte'!B12</f>
        <v>0.21224290196984863</v>
      </c>
      <c r="C10" s="26">
        <f ca="1">'EF ele_warmte'!B22</f>
        <v>0.23752245267896602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6869.1726308489388</v>
      </c>
      <c r="C12" s="24">
        <f ca="1">C10*C8</f>
        <v>0</v>
      </c>
      <c r="D12" s="24">
        <f>D8*D10</f>
        <v>5402.7679938781266</v>
      </c>
      <c r="E12" s="24">
        <f>E10*E8</f>
        <v>521.91753845784626</v>
      </c>
      <c r="F12" s="24">
        <f>F10*F8</f>
        <v>18715.583147880647</v>
      </c>
      <c r="G12" s="24"/>
      <c r="H12" s="24"/>
      <c r="I12" s="24"/>
      <c r="J12" s="24">
        <f>J10*J8</f>
        <v>450.2399181174755</v>
      </c>
      <c r="K12" s="24"/>
      <c r="L12" s="24">
        <f>L10*L8</f>
        <v>0</v>
      </c>
      <c r="M12" s="24">
        <f>M10*M8</f>
        <v>0</v>
      </c>
      <c r="N12" s="24">
        <f>N10*N8</f>
        <v>0</v>
      </c>
      <c r="O12" s="24">
        <f>O10*O8</f>
        <v>0</v>
      </c>
      <c r="P12" s="24">
        <f>P10*P8</f>
        <v>0</v>
      </c>
    </row>
    <row r="15" spans="1:16">
      <c r="A15" s="193" t="s">
        <v>487</v>
      </c>
      <c r="B15" s="203"/>
      <c r="C15" s="203"/>
      <c r="D15" s="225"/>
    </row>
    <row r="16" spans="1:16">
      <c r="A16" s="3"/>
      <c r="B16" s="44"/>
      <c r="C16" s="44"/>
      <c r="D16" s="174"/>
    </row>
    <row r="17" spans="1:5">
      <c r="A17" s="226" t="s">
        <v>917</v>
      </c>
      <c r="B17" s="202" t="s">
        <v>909</v>
      </c>
      <c r="C17" s="202" t="s">
        <v>910</v>
      </c>
      <c r="D17" s="227" t="s">
        <v>175</v>
      </c>
      <c r="E17" s="16"/>
    </row>
    <row r="18" spans="1:5">
      <c r="A18" s="244" t="s">
        <v>77</v>
      </c>
      <c r="B18" s="1024">
        <v>0.75245242648391797</v>
      </c>
      <c r="C18" s="1024"/>
      <c r="D18" s="296" t="s">
        <v>911</v>
      </c>
      <c r="E18" s="16"/>
    </row>
    <row r="19" spans="1:5">
      <c r="A19" s="244" t="s">
        <v>912</v>
      </c>
      <c r="B19" s="1024">
        <v>1.5597244267105643E-2</v>
      </c>
      <c r="C19" s="1024"/>
      <c r="D19" s="229"/>
      <c r="E19" s="16"/>
    </row>
    <row r="20" spans="1:5">
      <c r="A20" s="244" t="s">
        <v>913</v>
      </c>
      <c r="B20" s="1024"/>
      <c r="C20" s="1024"/>
      <c r="D20" s="229"/>
      <c r="E20" s="16"/>
    </row>
    <row r="21" spans="1:5">
      <c r="A21" s="244" t="s">
        <v>914</v>
      </c>
      <c r="B21" s="1024">
        <v>2.4575330568368751E-2</v>
      </c>
      <c r="C21" s="1024"/>
      <c r="D21" s="229"/>
      <c r="E21" s="16"/>
    </row>
    <row r="22" spans="1:5">
      <c r="A22" s="244" t="s">
        <v>915</v>
      </c>
      <c r="B22" s="1024">
        <v>0.16542079764368955</v>
      </c>
      <c r="C22" s="1024"/>
      <c r="D22" s="229"/>
      <c r="E22" s="16"/>
    </row>
    <row r="23" spans="1:5">
      <c r="A23" s="244" t="s">
        <v>78</v>
      </c>
      <c r="B23" s="1024"/>
      <c r="C23" s="1024"/>
      <c r="D23" s="228"/>
      <c r="E23" s="53"/>
    </row>
    <row r="24" spans="1:5">
      <c r="A24" s="244" t="s">
        <v>916</v>
      </c>
      <c r="B24" s="1024">
        <v>4.1954201036917819E-2</v>
      </c>
      <c r="C24" s="1024">
        <v>0.20450232766907225</v>
      </c>
      <c r="D24" s="228"/>
      <c r="E24" s="16"/>
    </row>
    <row r="25" spans="1:5" s="16" customFormat="1">
      <c r="A25" s="171"/>
      <c r="B25" s="30"/>
      <c r="C25" s="37"/>
      <c r="D25" s="228"/>
    </row>
    <row r="26" spans="1:5" s="16" customFormat="1">
      <c r="A26" s="230" t="s">
        <v>622</v>
      </c>
      <c r="B26" s="38">
        <f>aantalHuishoudens</f>
        <v>6123</v>
      </c>
      <c r="C26" s="37"/>
      <c r="D26" s="228"/>
    </row>
    <row r="27" spans="1:5" s="16" customFormat="1">
      <c r="A27" s="230" t="s">
        <v>623</v>
      </c>
      <c r="B27" s="38">
        <f>SUM(HH_hh_gas_aantal,HH_rest_gas_aantal)</f>
        <v>1770</v>
      </c>
      <c r="C27" s="37"/>
      <c r="D27" s="228"/>
    </row>
    <row r="28" spans="1:5" s="16" customFormat="1">
      <c r="A28" s="231"/>
      <c r="B28" s="30"/>
      <c r="C28" s="37"/>
      <c r="D28" s="232"/>
    </row>
    <row r="29" spans="1:5">
      <c r="A29" s="3"/>
      <c r="B29" s="44"/>
      <c r="C29" s="44"/>
      <c r="D29" s="174"/>
    </row>
    <row r="30" spans="1:5">
      <c r="A30" s="172" t="s">
        <v>479</v>
      </c>
      <c r="B30" s="169" t="s">
        <v>624</v>
      </c>
      <c r="C30" s="169" t="s">
        <v>625</v>
      </c>
      <c r="D30" s="174"/>
    </row>
    <row r="31" spans="1:5">
      <c r="A31" s="171" t="s">
        <v>918</v>
      </c>
      <c r="B31" s="34">
        <f>B27-0.05*B27</f>
        <v>1681.5</v>
      </c>
      <c r="C31" s="35" t="s">
        <v>104</v>
      </c>
      <c r="D31" s="174"/>
    </row>
    <row r="32" spans="1:5">
      <c r="A32" s="171" t="s">
        <v>72</v>
      </c>
      <c r="B32" s="34">
        <f>IF((B21*($B$26-($B$27-0.05*$B$27)-$B$60))&lt;0,0,B21*($B$26-($B$27-0.05*$B$27)-$B$60))</f>
        <v>108.63524877747406</v>
      </c>
      <c r="C32" s="35" t="s">
        <v>104</v>
      </c>
      <c r="D32" s="174"/>
    </row>
    <row r="33" spans="1:6">
      <c r="A33" s="171" t="s">
        <v>73</v>
      </c>
      <c r="B33" s="34">
        <f>IF((B22*($B$26-($B$27-0.05*$B$27)-$B$60))&lt;0,0,B22*($B$26-($B$27-0.05*$B$27)-$B$60))</f>
        <v>731.24263598392963</v>
      </c>
      <c r="C33" s="35" t="s">
        <v>104</v>
      </c>
      <c r="D33" s="174"/>
    </row>
    <row r="34" spans="1:6">
      <c r="A34" s="171" t="s">
        <v>74</v>
      </c>
      <c r="B34" s="34">
        <f>IF((B24*($B$26-($B$27-0.05*$B$27)-$B$60))&lt;0,0,B24*($B$26-($B$27-0.05*$B$27)-$B$60))</f>
        <v>185.45854568369523</v>
      </c>
      <c r="C34" s="34">
        <f>B26*C24</f>
        <v>1252.1677523177293</v>
      </c>
      <c r="D34" s="233"/>
    </row>
    <row r="35" spans="1:6">
      <c r="A35" s="171" t="s">
        <v>76</v>
      </c>
      <c r="B35" s="34">
        <f>IF((B19*($B$26-($B$27-0.05*$B$27)-$B$60))&lt;0,0,B19*($B$26-($B$27-0.05*$B$27)-$B$60))</f>
        <v>68.947618282740493</v>
      </c>
      <c r="C35" s="34">
        <f>B35/2</f>
        <v>34.473809141370246</v>
      </c>
      <c r="D35" s="233"/>
    </row>
    <row r="36" spans="1:6">
      <c r="A36" s="171" t="s">
        <v>77</v>
      </c>
      <c r="B36" s="34">
        <f>IF((B18*($B$26-($B$27-0.05*$B$27)-$B$60))&lt;0,0,B18*($B$26-($B$27-0.05*$B$27)-$B$60))</f>
        <v>3326.2159512721596</v>
      </c>
      <c r="C36" s="35" t="s">
        <v>104</v>
      </c>
      <c r="D36" s="174"/>
    </row>
    <row r="37" spans="1:6">
      <c r="A37" s="171" t="s">
        <v>78</v>
      </c>
      <c r="B37" s="34">
        <f>B60</f>
        <v>21</v>
      </c>
      <c r="C37" s="35" t="s">
        <v>104</v>
      </c>
      <c r="D37" s="174"/>
    </row>
    <row r="38" spans="1:6">
      <c r="A38" s="3"/>
      <c r="B38" s="44"/>
      <c r="C38" s="44"/>
      <c r="D38" s="174"/>
    </row>
    <row r="39" spans="1:6">
      <c r="A39" s="172" t="s">
        <v>482</v>
      </c>
      <c r="B39" s="168" t="s">
        <v>657</v>
      </c>
      <c r="C39" s="168" t="s">
        <v>658</v>
      </c>
      <c r="D39" s="296" t="s">
        <v>911</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480</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79</v>
      </c>
      <c r="C52" s="44"/>
      <c r="D52" s="173"/>
    </row>
    <row r="53" spans="1:4">
      <c r="A53" s="171" t="s">
        <v>477</v>
      </c>
      <c r="B53" s="310">
        <v>4.2</v>
      </c>
      <c r="C53" s="44"/>
      <c r="D53" s="304" t="s">
        <v>507</v>
      </c>
    </row>
    <row r="54" spans="1:4">
      <c r="A54" s="244" t="s">
        <v>478</v>
      </c>
      <c r="B54" s="315">
        <f>1.34/3.6</f>
        <v>0.37222222222222223</v>
      </c>
      <c r="C54" s="44" t="s">
        <v>208</v>
      </c>
      <c r="D54" s="304" t="s">
        <v>507</v>
      </c>
    </row>
    <row r="55" spans="1:4">
      <c r="A55" s="175"/>
      <c r="B55" s="245"/>
      <c r="C55" s="178"/>
      <c r="D55" s="179"/>
    </row>
    <row r="56" spans="1:4">
      <c r="D56" s="167"/>
    </row>
    <row r="57" spans="1:4">
      <c r="A57" s="194" t="s">
        <v>481</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21</v>
      </c>
      <c r="C60" s="33"/>
      <c r="D60" s="177"/>
    </row>
    <row r="61" spans="1:4">
      <c r="A61" s="171" t="s">
        <v>447</v>
      </c>
      <c r="B61" s="310">
        <v>13</v>
      </c>
      <c r="C61" s="33" t="s">
        <v>252</v>
      </c>
      <c r="D61" s="304" t="s">
        <v>507</v>
      </c>
    </row>
    <row r="62" spans="1:4">
      <c r="A62" s="171" t="s">
        <v>448</v>
      </c>
      <c r="B62" s="310">
        <v>2000</v>
      </c>
      <c r="C62" s="33" t="s">
        <v>254</v>
      </c>
      <c r="D62" s="304" t="s">
        <v>507</v>
      </c>
    </row>
    <row r="63" spans="1:4">
      <c r="A63" s="171" t="s">
        <v>408</v>
      </c>
      <c r="B63" s="310">
        <v>3.75</v>
      </c>
      <c r="C63" s="44"/>
      <c r="D63" s="304" t="s">
        <v>507</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15906.617621090623</v>
      </c>
      <c r="C5" s="18">
        <f>IF(ISERROR('Eigen informatie GS &amp; warmtenet'!B58),0,'Eigen informatie GS &amp; warmtenet'!B58)</f>
        <v>0</v>
      </c>
      <c r="D5" s="31">
        <f>SUM(D6:D12)</f>
        <v>23920.633594287523</v>
      </c>
      <c r="E5" s="18">
        <f>SUM(E6:E12)</f>
        <v>183.84422638578209</v>
      </c>
      <c r="F5" s="18">
        <f>SUM(F6:F12)</f>
        <v>3031.5611284244414</v>
      </c>
      <c r="G5" s="19"/>
      <c r="H5" s="18"/>
      <c r="I5" s="18"/>
      <c r="J5" s="18">
        <f>SUM(J6:J12)</f>
        <v>0</v>
      </c>
      <c r="K5" s="18"/>
      <c r="L5" s="18"/>
      <c r="M5" s="18"/>
      <c r="N5" s="18">
        <f>SUM(N6:N12)</f>
        <v>667.11027889698516</v>
      </c>
      <c r="O5" s="18">
        <f>B38*B39*B40</f>
        <v>6.2533333333333339</v>
      </c>
      <c r="P5" s="18">
        <f>B46*B47*B48/1000-B46*B47*B48/1000/B49</f>
        <v>38.133333333333333</v>
      </c>
      <c r="R5" s="33"/>
    </row>
    <row r="6" spans="1:18">
      <c r="A6" s="33" t="s">
        <v>53</v>
      </c>
      <c r="B6" s="38">
        <f>B26</f>
        <v>2482.6956539309672</v>
      </c>
      <c r="C6" s="34"/>
      <c r="D6" s="38">
        <f>IF(ISERROR(TER_kantoor_gas_kWh/1000),0,TER_kantoor_gas_kWh/1000)*0.902</f>
        <v>2027.5628246886572</v>
      </c>
      <c r="E6" s="34">
        <f>$C$26*'E Balans VL '!I12/100/3.6*1000000</f>
        <v>4.0555580082014187</v>
      </c>
      <c r="F6" s="34">
        <f>$C$26*('E Balans VL '!L12+'E Balans VL '!N12)/100/3.6*1000000</f>
        <v>291.67212426070807</v>
      </c>
      <c r="G6" s="35"/>
      <c r="H6" s="34"/>
      <c r="I6" s="34"/>
      <c r="J6" s="34">
        <f>$C$26*('E Balans VL '!D12+'E Balans VL '!E12)/100/3.6*1000000</f>
        <v>0</v>
      </c>
      <c r="K6" s="34"/>
      <c r="L6" s="34"/>
      <c r="M6" s="34"/>
      <c r="N6" s="34">
        <f>$C$26*'E Balans VL '!Y12/100/3.6*1000000</f>
        <v>18.077199750920801</v>
      </c>
      <c r="O6" s="34"/>
      <c r="P6" s="34"/>
      <c r="R6" s="33"/>
    </row>
    <row r="7" spans="1:18">
      <c r="A7" s="33" t="s">
        <v>52</v>
      </c>
      <c r="B7" s="38">
        <f t="shared" ref="B7:B12" si="0">B27</f>
        <v>1946.4330396232722</v>
      </c>
      <c r="C7" s="34"/>
      <c r="D7" s="38">
        <f>IF(ISERROR(TER_horeca_gas_kWh/1000),0,TER_horeca_gas_kWh/1000)*0.902</f>
        <v>627.26312022835452</v>
      </c>
      <c r="E7" s="34">
        <f>$C$27*'E Balans VL '!I9/100/3.6*1000000</f>
        <v>100.70250189331701</v>
      </c>
      <c r="F7" s="34">
        <f>$C$27*('E Balans VL '!L9+'E Balans VL '!N9)/100/3.6*1000000</f>
        <v>442.84370882086574</v>
      </c>
      <c r="G7" s="35"/>
      <c r="H7" s="34"/>
      <c r="I7" s="34"/>
      <c r="J7" s="34">
        <f>$C$27*('E Balans VL '!D9+'E Balans VL '!E9)/100/3.6*1000000</f>
        <v>0</v>
      </c>
      <c r="K7" s="34"/>
      <c r="L7" s="34"/>
      <c r="M7" s="34"/>
      <c r="N7" s="34">
        <f>$C$27*'E Balans VL '!Y9/100/3.6*1000000</f>
        <v>0.20492537905312316</v>
      </c>
      <c r="O7" s="34"/>
      <c r="P7" s="34"/>
      <c r="R7" s="33"/>
    </row>
    <row r="8" spans="1:18">
      <c r="A8" s="6" t="s">
        <v>51</v>
      </c>
      <c r="B8" s="38">
        <f t="shared" si="0"/>
        <v>5187.9785367464392</v>
      </c>
      <c r="C8" s="34"/>
      <c r="D8" s="38">
        <f>IF(ISERROR(TER_handel_gas_kWh/1000),0,TER_handel_gas_kWh/1000)*0.902</f>
        <v>703.90741769531292</v>
      </c>
      <c r="E8" s="34">
        <f>$C$28*'E Balans VL '!I13/100/3.6*1000000</f>
        <v>27.251133558156702</v>
      </c>
      <c r="F8" s="34">
        <f>$C$28*('E Balans VL '!L13+'E Balans VL '!N13)/100/3.6*1000000</f>
        <v>978.10770156194872</v>
      </c>
      <c r="G8" s="35"/>
      <c r="H8" s="34"/>
      <c r="I8" s="34"/>
      <c r="J8" s="34">
        <f>$C$28*('E Balans VL '!D13+'E Balans VL '!E13)/100/3.6*1000000</f>
        <v>0</v>
      </c>
      <c r="K8" s="34"/>
      <c r="L8" s="34"/>
      <c r="M8" s="34"/>
      <c r="N8" s="34">
        <f>$C$28*'E Balans VL '!Y13/100/3.6*1000000</f>
        <v>25.719632290564704</v>
      </c>
      <c r="O8" s="34"/>
      <c r="P8" s="34"/>
      <c r="R8" s="33"/>
    </row>
    <row r="9" spans="1:18">
      <c r="A9" s="33" t="s">
        <v>50</v>
      </c>
      <c r="B9" s="38">
        <f t="shared" si="0"/>
        <v>258.86598539258301</v>
      </c>
      <c r="C9" s="34"/>
      <c r="D9" s="38">
        <f>IF(ISERROR(TER_gezond_gas_kWh/1000),0,TER_gezond_gas_kWh/1000)*0.902</f>
        <v>0</v>
      </c>
      <c r="E9" s="34">
        <f>$C$29*'E Balans VL '!I10/100/3.6*1000000</f>
        <v>0.22980659364396547</v>
      </c>
      <c r="F9" s="34">
        <f>$C$29*('E Balans VL '!L10+'E Balans VL '!N10)/100/3.6*1000000</f>
        <v>80.459484452115291</v>
      </c>
      <c r="G9" s="35"/>
      <c r="H9" s="34"/>
      <c r="I9" s="34"/>
      <c r="J9" s="34">
        <f>$C$29*('E Balans VL '!D10+'E Balans VL '!E10)/100/3.6*1000000</f>
        <v>0</v>
      </c>
      <c r="K9" s="34"/>
      <c r="L9" s="34"/>
      <c r="M9" s="34"/>
      <c r="N9" s="34">
        <f>$C$29*'E Balans VL '!Y10/100/3.6*1000000</f>
        <v>1.9981844461360339</v>
      </c>
      <c r="O9" s="34"/>
      <c r="P9" s="34"/>
      <c r="R9" s="33"/>
    </row>
    <row r="10" spans="1:18">
      <c r="A10" s="33" t="s">
        <v>49</v>
      </c>
      <c r="B10" s="38">
        <f t="shared" si="0"/>
        <v>657.61729746439312</v>
      </c>
      <c r="C10" s="34"/>
      <c r="D10" s="38">
        <f>IF(ISERROR(TER_ander_gas_kWh/1000),0,TER_ander_gas_kWh/1000)*0.902</f>
        <v>484.92585006465629</v>
      </c>
      <c r="E10" s="34">
        <f>$C$30*'E Balans VL '!I14/100/3.6*1000000</f>
        <v>5.3638126717513357</v>
      </c>
      <c r="F10" s="34">
        <f>$C$30*('E Balans VL '!L14+'E Balans VL '!N14)/100/3.6*1000000</f>
        <v>191.68323280411465</v>
      </c>
      <c r="G10" s="35"/>
      <c r="H10" s="34"/>
      <c r="I10" s="34"/>
      <c r="J10" s="34">
        <f>$C$30*('E Balans VL '!D14+'E Balans VL '!E14)/100/3.6*1000000</f>
        <v>0</v>
      </c>
      <c r="K10" s="34"/>
      <c r="L10" s="34"/>
      <c r="M10" s="34"/>
      <c r="N10" s="34">
        <f>$C$30*'E Balans VL '!Y14/100/3.6*1000000</f>
        <v>312.33890206797224</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5373.0271079329696</v>
      </c>
      <c r="C12" s="34"/>
      <c r="D12" s="38">
        <f>IF(ISERROR(TER_rest_gas_kWh/1000),0,TER_rest_gas_kWh/1000)*0.902</f>
        <v>20076.97438161054</v>
      </c>
      <c r="E12" s="34">
        <f>$C$32*'E Balans VL '!I8/100/3.6*1000000</f>
        <v>46.241413660711679</v>
      </c>
      <c r="F12" s="34">
        <f>$C$32*('E Balans VL '!L8+'E Balans VL '!N8)/100/3.6*1000000</f>
        <v>1046.794876524689</v>
      </c>
      <c r="G12" s="35"/>
      <c r="H12" s="34"/>
      <c r="I12" s="34"/>
      <c r="J12" s="34">
        <f>$C$32*('E Balans VL '!D8+'E Balans VL '!E8)/100/3.6*1000000</f>
        <v>0</v>
      </c>
      <c r="K12" s="34"/>
      <c r="L12" s="34"/>
      <c r="M12" s="34"/>
      <c r="N12" s="34">
        <f>$C$32*'E Balans VL '!Y8/100/3.6*1000000</f>
        <v>308.77143496233822</v>
      </c>
      <c r="O12" s="34"/>
      <c r="P12" s="34"/>
      <c r="R12" s="33"/>
    </row>
    <row r="13" spans="1:18">
      <c r="A13" s="17" t="s">
        <v>488</v>
      </c>
      <c r="B13" s="246">
        <f ca="1">'lokale energieproductie'!N40+'lokale energieproductie'!N33</f>
        <v>23.85</v>
      </c>
      <c r="C13" s="246">
        <f ca="1">'lokale energieproductie'!O40+'lokale energieproductie'!O33</f>
        <v>34.071428571428577</v>
      </c>
      <c r="D13" s="305">
        <f ca="1">('lokale energieproductie'!P33+'lokale energieproductie'!P40)*(-1)</f>
        <v>-68.142857142857153</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502</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15930.467621090624</v>
      </c>
      <c r="C16" s="22">
        <f t="shared" ca="1" si="1"/>
        <v>34.071428571428577</v>
      </c>
      <c r="D16" s="22">
        <f t="shared" ca="1" si="1"/>
        <v>23852.490737144664</v>
      </c>
      <c r="E16" s="22">
        <f t="shared" si="1"/>
        <v>183.84422638578209</v>
      </c>
      <c r="F16" s="22">
        <f t="shared" ca="1" si="1"/>
        <v>3031.5611284244414</v>
      </c>
      <c r="G16" s="22">
        <f t="shared" si="1"/>
        <v>0</v>
      </c>
      <c r="H16" s="22">
        <f t="shared" si="1"/>
        <v>0</v>
      </c>
      <c r="I16" s="22">
        <f t="shared" si="1"/>
        <v>0</v>
      </c>
      <c r="J16" s="22">
        <f t="shared" si="1"/>
        <v>0</v>
      </c>
      <c r="K16" s="22">
        <f t="shared" si="1"/>
        <v>0</v>
      </c>
      <c r="L16" s="22">
        <f t="shared" ca="1" si="1"/>
        <v>0</v>
      </c>
      <c r="M16" s="22">
        <f t="shared" si="1"/>
        <v>0</v>
      </c>
      <c r="N16" s="22">
        <f t="shared" ca="1" si="1"/>
        <v>667.11027889698516</v>
      </c>
      <c r="O16" s="22">
        <f>O5</f>
        <v>6.2533333333333339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0.21224290196984863</v>
      </c>
      <c r="C18" s="26">
        <f ca="1">'EF ele_warmte'!B22</f>
        <v>0.23752245267896602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3381.1286776369848</v>
      </c>
      <c r="C20" s="24">
        <f t="shared" ref="C20:P20" ca="1" si="2">C16*C18</f>
        <v>8.0927292805619153</v>
      </c>
      <c r="D20" s="24">
        <f t="shared" ca="1" si="2"/>
        <v>4818.2031289032229</v>
      </c>
      <c r="E20" s="24">
        <f t="shared" si="2"/>
        <v>41.732639389572533</v>
      </c>
      <c r="F20" s="24">
        <f t="shared" ca="1" si="2"/>
        <v>809.42682128932586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487</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2482.6956539309672</v>
      </c>
      <c r="C26" s="40">
        <f>IF(ISERROR(B26*3.6/1000000/'E Balans VL '!Z12*100),0,B26*3.6/1000000/'E Balans VL '!Z12*100)</f>
        <v>5.262087429072336E-2</v>
      </c>
      <c r="D26" s="236" t="s">
        <v>660</v>
      </c>
      <c r="F26" s="6"/>
    </row>
    <row r="27" spans="1:18">
      <c r="A27" s="231" t="s">
        <v>52</v>
      </c>
      <c r="B27" s="34">
        <f>IF(ISERROR(TER_horeca_ele_kWh/1000),0,TER_horeca_ele_kWh/1000)</f>
        <v>1946.4330396232722</v>
      </c>
      <c r="C27" s="40">
        <f>IF(ISERROR(B27*3.6/1000000/'E Balans VL '!Z9*100),0,B27*3.6/1000000/'E Balans VL '!Z9*100)</f>
        <v>0.15273941295884957</v>
      </c>
      <c r="D27" s="236" t="s">
        <v>660</v>
      </c>
      <c r="F27" s="6"/>
    </row>
    <row r="28" spans="1:18">
      <c r="A28" s="171" t="s">
        <v>51</v>
      </c>
      <c r="B28" s="34">
        <f>IF(ISERROR(TER_handel_ele_kWh/1000),0,TER_handel_ele_kWh/1000)</f>
        <v>5187.9785367464392</v>
      </c>
      <c r="C28" s="40">
        <f>IF(ISERROR(B28*3.6/1000000/'E Balans VL '!Z13*100),0,B28*3.6/1000000/'E Balans VL '!Z13*100)</f>
        <v>0.14488179669158996</v>
      </c>
      <c r="D28" s="236" t="s">
        <v>660</v>
      </c>
      <c r="F28" s="6"/>
    </row>
    <row r="29" spans="1:18">
      <c r="A29" s="231" t="s">
        <v>50</v>
      </c>
      <c r="B29" s="34">
        <f>IF(ISERROR(TER_gezond_ele_kWh/1000),0,TER_gezond_ele_kWh/1000)</f>
        <v>258.86598539258301</v>
      </c>
      <c r="C29" s="40">
        <f>IF(ISERROR(B29*3.6/1000000/'E Balans VL '!Z10*100),0,B29*3.6/1000000/'E Balans VL '!Z10*100)</f>
        <v>2.9665867850385823E-2</v>
      </c>
      <c r="D29" s="236" t="s">
        <v>660</v>
      </c>
      <c r="F29" s="6"/>
    </row>
    <row r="30" spans="1:18">
      <c r="A30" s="231" t="s">
        <v>49</v>
      </c>
      <c r="B30" s="34">
        <f>IF(ISERROR(TER_ander_ele_kWh/1000),0,TER_ander_ele_kWh/1000)</f>
        <v>657.61729746439312</v>
      </c>
      <c r="C30" s="40">
        <f>IF(ISERROR(B30*3.6/1000000/'E Balans VL '!Z14*100),0,B30*3.6/1000000/'E Balans VL '!Z14*100)</f>
        <v>4.9036576927178319E-2</v>
      </c>
      <c r="D30" s="236" t="s">
        <v>660</v>
      </c>
      <c r="F30" s="6"/>
    </row>
    <row r="31" spans="1:18">
      <c r="A31" s="231" t="s">
        <v>54</v>
      </c>
      <c r="B31" s="34">
        <f>IF(ISERROR(TER_onderwijs_ele_kWh/1000),0,TER_onderwijs_ele_kWh/1000)</f>
        <v>0</v>
      </c>
      <c r="C31" s="40">
        <f>IF(ISERROR(B31*3.6/1000000/'E Balans VL '!Z11*100),0,B31*3.6/1000000/'E Balans VL '!Z11*100)</f>
        <v>0</v>
      </c>
      <c r="D31" s="236" t="s">
        <v>660</v>
      </c>
    </row>
    <row r="32" spans="1:18">
      <c r="A32" s="231" t="s">
        <v>249</v>
      </c>
      <c r="B32" s="34">
        <f>IF(ISERROR(TER_rest_ele_kWh/1000),0,TER_rest_ele_kWh/1000)</f>
        <v>5373.0271079329696</v>
      </c>
      <c r="C32" s="40">
        <f>IF(ISERROR(B32*3.6/1000000/'E Balans VL '!Z8*100),0,B32*3.6/1000000/'E Balans VL '!Z8*100)</f>
        <v>4.427040160606082E-2</v>
      </c>
      <c r="D32" s="236" t="s">
        <v>660</v>
      </c>
    </row>
    <row r="33" spans="1:4">
      <c r="A33" s="239"/>
      <c r="B33" s="180"/>
      <c r="C33" s="180"/>
      <c r="D33" s="240"/>
    </row>
    <row r="34" spans="1:4">
      <c r="A34" s="33"/>
      <c r="B34" s="33"/>
      <c r="C34" s="33"/>
    </row>
    <row r="35" spans="1:4">
      <c r="A35" s="193" t="s">
        <v>480</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4</v>
      </c>
      <c r="C38" s="44"/>
      <c r="D38" s="232"/>
    </row>
    <row r="39" spans="1:4">
      <c r="A39" s="171" t="s">
        <v>477</v>
      </c>
      <c r="B39" s="310">
        <v>4.2</v>
      </c>
      <c r="C39" s="44"/>
      <c r="D39" s="304" t="s">
        <v>507</v>
      </c>
    </row>
    <row r="40" spans="1:4">
      <c r="A40" s="6" t="s">
        <v>478</v>
      </c>
      <c r="B40" s="315">
        <f>1.34/3.6</f>
        <v>0.37222222222222223</v>
      </c>
      <c r="C40" s="44" t="s">
        <v>208</v>
      </c>
      <c r="D40" s="304" t="s">
        <v>507</v>
      </c>
    </row>
    <row r="41" spans="1:4">
      <c r="A41" s="239"/>
      <c r="B41" s="180"/>
      <c r="C41" s="180"/>
      <c r="D41" s="240"/>
    </row>
    <row r="43" spans="1:4">
      <c r="A43" s="194" t="s">
        <v>481</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447</v>
      </c>
      <c r="B47" s="531">
        <v>13</v>
      </c>
      <c r="C47" s="33" t="s">
        <v>252</v>
      </c>
      <c r="D47" s="304" t="s">
        <v>507</v>
      </c>
    </row>
    <row r="48" spans="1:4">
      <c r="A48" s="171" t="s">
        <v>448</v>
      </c>
      <c r="B48" s="531">
        <v>2000</v>
      </c>
      <c r="C48" s="33" t="s">
        <v>254</v>
      </c>
      <c r="D48" s="304" t="s">
        <v>507</v>
      </c>
    </row>
    <row r="49" spans="1:4">
      <c r="A49" s="171" t="s">
        <v>408</v>
      </c>
      <c r="B49" s="531">
        <v>3.75</v>
      </c>
      <c r="C49" s="33"/>
      <c r="D49" s="304" t="s">
        <v>507</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3"/>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3"/>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13"/>
    </row>
    <row r="4" spans="1:18" ht="15.75">
      <c r="A4" s="14"/>
      <c r="B4" s="15"/>
      <c r="C4" s="15"/>
      <c r="D4" s="15"/>
      <c r="E4" s="15"/>
      <c r="F4" s="15"/>
      <c r="G4" s="15"/>
      <c r="H4" s="15"/>
      <c r="I4" s="15"/>
      <c r="J4" s="15"/>
      <c r="K4" s="15"/>
      <c r="L4" s="15"/>
      <c r="M4" s="15"/>
      <c r="N4" s="15"/>
      <c r="O4" s="15"/>
      <c r="P4" s="15"/>
      <c r="R4" s="6"/>
    </row>
    <row r="5" spans="1:18">
      <c r="A5" s="17" t="s">
        <v>258</v>
      </c>
      <c r="B5" s="31">
        <f>SUM(B6:B15)</f>
        <v>137896.3646458392</v>
      </c>
      <c r="C5" s="18">
        <f>IF(ISERROR('Eigen informatie GS &amp; warmtenet'!B59),0,'Eigen informatie GS &amp; warmtenet'!B59)</f>
        <v>0</v>
      </c>
      <c r="D5" s="31">
        <f>SUM(D6:D15)</f>
        <v>129224.96995830988</v>
      </c>
      <c r="E5" s="18">
        <f>SUM(E6:E15)</f>
        <v>1269.1595140065738</v>
      </c>
      <c r="F5" s="18">
        <f>SUM(F6:F15)</f>
        <v>27472.482166100413</v>
      </c>
      <c r="G5" s="19"/>
      <c r="H5" s="18"/>
      <c r="I5" s="18"/>
      <c r="J5" s="18">
        <f>SUM(J6:J15)</f>
        <v>634.0457112634482</v>
      </c>
      <c r="K5" s="18"/>
      <c r="L5" s="18"/>
      <c r="M5" s="18"/>
      <c r="N5" s="18">
        <f>SUM(N6:N15)</f>
        <v>4501.1531784318322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1486.6534756256351</v>
      </c>
      <c r="C8" s="34"/>
      <c r="D8" s="38">
        <f>IF( ISERROR(IND_metaal_Gas_kWH/1000),0,IND_metaal_Gas_kWH/1000)*0.902</f>
        <v>0</v>
      </c>
      <c r="E8" s="34">
        <f>C30*'E Balans VL '!I18/100/3.6*1000000</f>
        <v>13.538685289199591</v>
      </c>
      <c r="F8" s="34">
        <f>C30*'E Balans VL '!L18/100/3.6*1000000+C30*'E Balans VL '!N18/100/3.6*1000000</f>
        <v>196.07830359461829</v>
      </c>
      <c r="G8" s="35"/>
      <c r="H8" s="34"/>
      <c r="I8" s="34"/>
      <c r="J8" s="41">
        <f>C30*'E Balans VL '!D18/100/3.6*1000000+C30*'E Balans VL '!E18/100/3.6*1000000</f>
        <v>24.378958457140623</v>
      </c>
      <c r="K8" s="34"/>
      <c r="L8" s="34"/>
      <c r="M8" s="34"/>
      <c r="N8" s="34">
        <f>C30*'E Balans VL '!Y18/100/3.6*1000000</f>
        <v>5.1090374241470462</v>
      </c>
      <c r="O8" s="34"/>
      <c r="P8" s="34"/>
      <c r="R8" s="33"/>
    </row>
    <row r="9" spans="1:18">
      <c r="A9" s="6" t="s">
        <v>32</v>
      </c>
      <c r="B9" s="38">
        <f t="shared" si="0"/>
        <v>2436.6032861873095</v>
      </c>
      <c r="C9" s="34"/>
      <c r="D9" s="38">
        <f>IF( ISERROR(IND_andere_gas_kWh/1000),0,IND_andere_gas_kWh/1000)*0.902</f>
        <v>330.79598235267252</v>
      </c>
      <c r="E9" s="34">
        <f>C31*'E Balans VL '!I19/100/3.6*1000000</f>
        <v>14.083931114406298</v>
      </c>
      <c r="F9" s="34">
        <f>C31*'E Balans VL '!L19/100/3.6*1000000+C31*'E Balans VL '!N19/100/3.6*1000000</f>
        <v>1938.4351588725922</v>
      </c>
      <c r="G9" s="35"/>
      <c r="H9" s="34"/>
      <c r="I9" s="34"/>
      <c r="J9" s="41">
        <f>C31*'E Balans VL '!D19/100/3.6*1000000+C31*'E Balans VL '!E19/100/3.6*1000000</f>
        <v>0.2304756058506007</v>
      </c>
      <c r="K9" s="34"/>
      <c r="L9" s="34"/>
      <c r="M9" s="34"/>
      <c r="N9" s="34">
        <f>C31*'E Balans VL '!Y19/100/3.6*1000000</f>
        <v>184.6095727948661</v>
      </c>
      <c r="O9" s="34"/>
      <c r="P9" s="34"/>
      <c r="R9" s="33"/>
    </row>
    <row r="10" spans="1:18">
      <c r="A10" s="6" t="s">
        <v>40</v>
      </c>
      <c r="B10" s="38">
        <f t="shared" si="0"/>
        <v>11557.236022787029</v>
      </c>
      <c r="C10" s="34"/>
      <c r="D10" s="38">
        <f>IF( ISERROR(IND_voed_gas_kWh/1000),0,IND_voed_gas_kWh/1000)*0.902</f>
        <v>33.263697287976107</v>
      </c>
      <c r="E10" s="34">
        <f>C32*'E Balans VL '!I20/100/3.6*1000000</f>
        <v>113.6378655822119</v>
      </c>
      <c r="F10" s="34">
        <f>C32*'E Balans VL '!L20/100/3.6*1000000+C32*'E Balans VL '!N20/100/3.6*1000000</f>
        <v>1283.5819128224541</v>
      </c>
      <c r="G10" s="35"/>
      <c r="H10" s="34"/>
      <c r="I10" s="34"/>
      <c r="J10" s="41">
        <f>C32*'E Balans VL '!D20/100/3.6*1000000+C32*'E Balans VL '!E20/100/3.6*1000000</f>
        <v>4.5552313835253828E-2</v>
      </c>
      <c r="K10" s="34"/>
      <c r="L10" s="34"/>
      <c r="M10" s="34"/>
      <c r="N10" s="34">
        <f>C32*'E Balans VL '!Y20/100/3.6*1000000</f>
        <v>171.13548001279011</v>
      </c>
      <c r="O10" s="34"/>
      <c r="P10" s="34"/>
      <c r="R10" s="33"/>
    </row>
    <row r="11" spans="1:18">
      <c r="A11" s="6" t="s">
        <v>39</v>
      </c>
      <c r="B11" s="38">
        <f t="shared" si="0"/>
        <v>95.316215175516305</v>
      </c>
      <c r="C11" s="34"/>
      <c r="D11" s="38">
        <f>IF( ISERROR(IND_textiel_gas_kWh/1000),0,IND_textiel_gas_kWh/1000)*0.902</f>
        <v>0</v>
      </c>
      <c r="E11" s="34">
        <f>C33*'E Balans VL '!I21/100/3.6*1000000</f>
        <v>0.18560280402443219</v>
      </c>
      <c r="F11" s="34">
        <f>C33*'E Balans VL '!L21/100/3.6*1000000+C33*'E Balans VL '!N21/100/3.6*1000000</f>
        <v>3.1438415569900799</v>
      </c>
      <c r="G11" s="35"/>
      <c r="H11" s="34"/>
      <c r="I11" s="34"/>
      <c r="J11" s="41">
        <f>C33*'E Balans VL '!D21/100/3.6*1000000+C33*'E Balans VL '!E21/100/3.6*1000000</f>
        <v>0</v>
      </c>
      <c r="K11" s="34"/>
      <c r="L11" s="34"/>
      <c r="M11" s="34"/>
      <c r="N11" s="34">
        <f>C33*'E Balans VL '!Y21/100/3.6*1000000</f>
        <v>0.98867984991498381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1139.6951100246899</v>
      </c>
      <c r="C13" s="34"/>
      <c r="D13" s="38">
        <f>IF( ISERROR(IND_papier_gas_kWh/1000),0,IND_papier_gas_kWh/1000)*0.902</f>
        <v>0</v>
      </c>
      <c r="E13" s="34">
        <f>C35*'E Balans VL '!I23/100/3.6*1000000</f>
        <v>38.819667898515362</v>
      </c>
      <c r="F13" s="34">
        <f>C35*'E Balans VL '!L23/100/3.6*1000000+C35*'E Balans VL '!N23/100/3.6*1000000</f>
        <v>188.25088410761384</v>
      </c>
      <c r="G13" s="35"/>
      <c r="H13" s="34"/>
      <c r="I13" s="34"/>
      <c r="J13" s="41">
        <f>C35*'E Balans VL '!D23/100/3.6*1000000+C35*'E Balans VL '!E23/100/3.6*1000000</f>
        <v>0</v>
      </c>
      <c r="K13" s="34"/>
      <c r="L13" s="34"/>
      <c r="M13" s="34"/>
      <c r="N13" s="34">
        <f>C35*'E Balans VL '!Y23/100/3.6*1000000</f>
        <v>419.37723623557753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121180.86053603902</v>
      </c>
      <c r="C15" s="34"/>
      <c r="D15" s="38">
        <f>IF( ISERROR(IND_rest_gas_kWh/1000),0,IND_rest_gas_kWh/1000)*0.902</f>
        <v>128860.91027866924</v>
      </c>
      <c r="E15" s="34">
        <f>C37*'E Balans VL '!I15/100/3.6*1000000</f>
        <v>1088.8937613182163</v>
      </c>
      <c r="F15" s="34">
        <f>C37*'E Balans VL '!L15/100/3.6*1000000+C37*'E Balans VL '!N15/100/3.6*1000000</f>
        <v>23862.992065146143</v>
      </c>
      <c r="G15" s="35"/>
      <c r="H15" s="34"/>
      <c r="I15" s="34"/>
      <c r="J15" s="41">
        <f>C37*'E Balans VL '!D15/100/3.6*1000000+C37*'E Balans VL '!E15/100/3.6*1000000</f>
        <v>609.39072488662168</v>
      </c>
      <c r="K15" s="34"/>
      <c r="L15" s="34"/>
      <c r="M15" s="34"/>
      <c r="N15" s="34">
        <f>C37*'E Balans VL '!Y15/100/3.6*1000000</f>
        <v>3719.9331721145368</v>
      </c>
      <c r="O15" s="34"/>
      <c r="P15" s="34"/>
      <c r="R15" s="33"/>
    </row>
    <row r="16" spans="1:18">
      <c r="A16" s="17" t="s">
        <v>488</v>
      </c>
      <c r="B16" s="246">
        <f>'lokale energieproductie'!N39+'lokale energieproductie'!N32</f>
        <v>1143</v>
      </c>
      <c r="C16" s="246">
        <f>'lokale energieproductie'!O39+'lokale energieproductie'!O32</f>
        <v>1632.8571428571429</v>
      </c>
      <c r="D16" s="305">
        <f>('lokale energieproductie'!P32+'lokale energieproductie'!P39)*(-1)</f>
        <v>-3265.7142857142858</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139039.3646458392</v>
      </c>
      <c r="C18" s="22">
        <f>C5+C16</f>
        <v>1632.8571428571429</v>
      </c>
      <c r="D18" s="22">
        <f>MAX((D5+D16),0)</f>
        <v>125959.25567259559</v>
      </c>
      <c r="E18" s="22">
        <f>MAX((E5+E16),0)</f>
        <v>1269.1595140065738</v>
      </c>
      <c r="F18" s="22">
        <f>MAX((F5+F16),0)</f>
        <v>27472.482166100413</v>
      </c>
      <c r="G18" s="22"/>
      <c r="H18" s="22"/>
      <c r="I18" s="22"/>
      <c r="J18" s="22">
        <f>MAX((J5+J16),0)</f>
        <v>634.0457112634482</v>
      </c>
      <c r="K18" s="22"/>
      <c r="L18" s="22">
        <f>MAX((L5+L16),0)</f>
        <v>0</v>
      </c>
      <c r="M18" s="22"/>
      <c r="N18" s="22">
        <f>MAX((N5+N16),0)</f>
        <v>4501.1531784318322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0.21224290196984863</v>
      </c>
      <c r="C20" s="26">
        <f ca="1">'EF ele_warmte'!B22</f>
        <v>0.23752245267896602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29510.118240476888</v>
      </c>
      <c r="C22" s="24">
        <f ca="1">C18*C20</f>
        <v>387.84023344579737</v>
      </c>
      <c r="D22" s="24">
        <f>D18*D20</f>
        <v>25443.769645864311</v>
      </c>
      <c r="E22" s="24">
        <f>E18*E20</f>
        <v>288.09920967949228</v>
      </c>
      <c r="F22" s="24">
        <f>F18*F20</f>
        <v>7335.152738348811</v>
      </c>
      <c r="G22" s="24"/>
      <c r="H22" s="24"/>
      <c r="I22" s="24"/>
      <c r="J22" s="24">
        <f>J18*J20</f>
        <v>224.45218178726066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487</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660</v>
      </c>
    </row>
    <row r="29" spans="1:18">
      <c r="A29" s="171" t="s">
        <v>37</v>
      </c>
      <c r="B29" s="38">
        <f>IF( ISERROR(IND_nonf_ele_kWh/1000),0,IND_nonf_ele_kWh/1000)</f>
        <v>0</v>
      </c>
      <c r="C29" s="40">
        <f>IF(ISERROR(B29*3.6/1000000/'E Balans VL '!Z17*100),0,B29*3.6/1000000/'E Balans VL '!Z17*100)</f>
        <v>0</v>
      </c>
      <c r="D29" s="236" t="s">
        <v>660</v>
      </c>
    </row>
    <row r="30" spans="1:18">
      <c r="A30" s="171" t="s">
        <v>35</v>
      </c>
      <c r="B30" s="38">
        <f>IF( ISERROR(IND_metaal_ele_kWh/1000),0,IND_metaal_ele_kWh/1000)</f>
        <v>1486.6534756256351</v>
      </c>
      <c r="C30" s="40">
        <f>IF(ISERROR(B30*3.6/1000000/'E Balans VL '!Z18*100),0,B30*3.6/1000000/'E Balans VL '!Z18*100)</f>
        <v>8.2722324752067714E-2</v>
      </c>
      <c r="D30" s="236" t="s">
        <v>660</v>
      </c>
    </row>
    <row r="31" spans="1:18">
      <c r="A31" s="6" t="s">
        <v>32</v>
      </c>
      <c r="B31" s="38">
        <f>IF( ISERROR(IND_ander_ele_kWh/1000),0,IND_ander_ele_kWh/1000)</f>
        <v>2436.6032861873095</v>
      </c>
      <c r="C31" s="40">
        <f>IF(ISERROR(B31*3.6/1000000/'E Balans VL '!Z19*100),0,B31*3.6/1000000/'E Balans VL '!Z19*100)</f>
        <v>0.1132712875170188</v>
      </c>
      <c r="D31" s="236" t="s">
        <v>660</v>
      </c>
    </row>
    <row r="32" spans="1:18">
      <c r="A32" s="171" t="s">
        <v>40</v>
      </c>
      <c r="B32" s="38">
        <f>IF( ISERROR(IND_voed_ele_kWh/1000),0,IND_voed_ele_kWh/1000)</f>
        <v>11557.236022787029</v>
      </c>
      <c r="C32" s="40">
        <f>IF(ISERROR(B32*3.6/1000000/'E Balans VL '!Z20*100),0,B32*3.6/1000000/'E Balans VL '!Z20*100)</f>
        <v>0.40852495257887916</v>
      </c>
      <c r="D32" s="236" t="s">
        <v>660</v>
      </c>
    </row>
    <row r="33" spans="1:5">
      <c r="A33" s="171" t="s">
        <v>39</v>
      </c>
      <c r="B33" s="38">
        <f>IF( ISERROR(IND_textiel_ele_kWh/1000),0,IND_textiel_ele_kWh/1000)</f>
        <v>95.316215175516305</v>
      </c>
      <c r="C33" s="40">
        <f>IF(ISERROR(B33*3.6/1000000/'E Balans VL '!Z21*100),0,B33*3.6/1000000/'E Balans VL '!Z21*100)</f>
        <v>1.2873901181661453E-2</v>
      </c>
      <c r="D33" s="236" t="s">
        <v>660</v>
      </c>
    </row>
    <row r="34" spans="1:5">
      <c r="A34" s="171" t="s">
        <v>36</v>
      </c>
      <c r="B34" s="38">
        <f>IF( ISERROR(IND_min_ele_kWh/1000),0,IND_min_ele_kWh/1000)</f>
        <v>0</v>
      </c>
      <c r="C34" s="40">
        <f>IF(ISERROR(B34*3.6/1000000/'E Balans VL '!Z22*100),0,B34*3.6/1000000/'E Balans VL '!Z22*100)</f>
        <v>0</v>
      </c>
      <c r="D34" s="236" t="s">
        <v>660</v>
      </c>
    </row>
    <row r="35" spans="1:5">
      <c r="A35" s="171" t="s">
        <v>38</v>
      </c>
      <c r="B35" s="38">
        <f>IF( ISERROR(IND_papier_ele_kWh/1000),0,IND_papier_ele_kWh/1000)</f>
        <v>1139.6951100246899</v>
      </c>
      <c r="C35" s="40">
        <f>IF(ISERROR(B35*3.6/1000000/'E Balans VL '!Z22*100),0,B35*3.6/1000000/'E Balans VL '!Z22*100)</f>
        <v>0.22904657879862406</v>
      </c>
      <c r="D35" s="236" t="s">
        <v>660</v>
      </c>
    </row>
    <row r="36" spans="1:5">
      <c r="A36" s="171" t="s">
        <v>33</v>
      </c>
      <c r="B36" s="38">
        <f>IF( ISERROR(IND_chemie_ele_kWh/1000),0,IND_chemie_ele_kWh/1000)</f>
        <v>0</v>
      </c>
      <c r="C36" s="40">
        <f>IF(ISERROR(B36*3.6/1000000/'E Balans VL '!Z24*100),0,B36*3.6/1000000/'E Balans VL '!Z24*100)</f>
        <v>0</v>
      </c>
      <c r="D36" s="236" t="s">
        <v>660</v>
      </c>
    </row>
    <row r="37" spans="1:5">
      <c r="A37" s="171" t="s">
        <v>259</v>
      </c>
      <c r="B37" s="38">
        <f>IF( ISERROR(IND_rest_ele_kWh/1000),0,IND_rest_ele_kWh/1000)</f>
        <v>121180.86053603902</v>
      </c>
      <c r="C37" s="40">
        <f>IF(ISERROR(B37*3.6/1000000/'E Balans VL '!Z15*100),0,B37*3.6/1000000/'E Balans VL '!Z15*100)</f>
        <v>0.91509450824727911</v>
      </c>
      <c r="D37" s="236" t="s">
        <v>660</v>
      </c>
    </row>
    <row r="38" spans="1:5">
      <c r="A38" s="239"/>
      <c r="B38" s="180"/>
      <c r="C38" s="180"/>
      <c r="D38" s="240"/>
    </row>
    <row r="39" spans="1:5">
      <c r="A39" s="231"/>
      <c r="B39" s="33"/>
      <c r="C39" s="33"/>
      <c r="D39" s="33"/>
      <c r="E39" s="33"/>
    </row>
    <row r="40" spans="1:5">
      <c r="A40" s="193" t="s">
        <v>480</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477</v>
      </c>
      <c r="B44" s="310">
        <v>4.2</v>
      </c>
      <c r="C44" s="44"/>
      <c r="D44" s="304" t="s">
        <v>507</v>
      </c>
    </row>
    <row r="45" spans="1:5">
      <c r="A45" s="6" t="s">
        <v>478</v>
      </c>
      <c r="B45" s="315">
        <f>1.34/3.6</f>
        <v>0.37222222222222223</v>
      </c>
      <c r="C45" s="44" t="s">
        <v>208</v>
      </c>
      <c r="D45" s="304" t="s">
        <v>507</v>
      </c>
    </row>
    <row r="46" spans="1:5" s="33" customFormat="1">
      <c r="A46" s="175"/>
      <c r="B46" s="245"/>
      <c r="C46" s="180"/>
      <c r="D46" s="240"/>
    </row>
    <row r="48" spans="1:5">
      <c r="A48" s="194" t="s">
        <v>481</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507</v>
      </c>
    </row>
    <row r="53" spans="1:4">
      <c r="A53" s="171" t="s">
        <v>253</v>
      </c>
      <c r="B53" s="310">
        <v>2000</v>
      </c>
      <c r="C53" s="33" t="s">
        <v>254</v>
      </c>
      <c r="D53" s="304" t="s">
        <v>507</v>
      </c>
    </row>
    <row r="54" spans="1:4">
      <c r="A54" s="171" t="s">
        <v>408</v>
      </c>
      <c r="B54" s="310">
        <v>3.75</v>
      </c>
      <c r="C54" s="33"/>
      <c r="D54" s="304" t="s">
        <v>507</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3378.560916782089</v>
      </c>
      <c r="C5" s="18">
        <f>'Eigen informatie GS &amp; warmtenet'!B60</f>
        <v>0</v>
      </c>
      <c r="D5" s="31">
        <f>IF(ISERROR(SUM(LB_lb_gas_kWh,LB_rest_gas_kWh)/1000),0,SUM(LB_lb_gas_kWh,LB_rest_gas_kWh)/1000)*0.902</f>
        <v>817.56145765041572</v>
      </c>
      <c r="E5" s="18">
        <f>B17*'E Balans VL '!I25/3.6*1000000/100</f>
        <v>33.363903979711147</v>
      </c>
      <c r="F5" s="18">
        <f>B17*('E Balans VL '!L25/3.6*1000000+'E Balans VL '!N25/3.6*1000000)/100</f>
        <v>11271.773178741969</v>
      </c>
      <c r="G5" s="19"/>
      <c r="H5" s="18"/>
      <c r="I5" s="18"/>
      <c r="J5" s="18">
        <f>('E Balans VL '!D25+'E Balans VL '!E25)/3.6*1000000*landbouw!B17/100</f>
        <v>337.07783289522632</v>
      </c>
      <c r="K5" s="18"/>
      <c r="L5" s="18">
        <f>L6*(-1)</f>
        <v>0</v>
      </c>
      <c r="M5" s="18"/>
      <c r="N5" s="18">
        <f>N6*(-1)</f>
        <v>0</v>
      </c>
      <c r="O5" s="18"/>
      <c r="P5" s="18"/>
      <c r="R5" s="33"/>
    </row>
    <row r="6" spans="1:18">
      <c r="A6" s="17" t="s">
        <v>488</v>
      </c>
      <c r="B6" s="18" t="s">
        <v>204</v>
      </c>
      <c r="C6" s="18">
        <f>'lokale energieproductie'!O41+'lokale energieproductie'!O34</f>
        <v>22.5</v>
      </c>
      <c r="D6" s="305">
        <f>('lokale energieproductie'!P34+'lokale energieproductie'!P41)*(-1)</f>
        <v>-30</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3378.560916782089</v>
      </c>
      <c r="C8" s="22">
        <f>C5+C6</f>
        <v>22.5</v>
      </c>
      <c r="D8" s="22">
        <f>MAX((D5+D6),0)</f>
        <v>787.56145765041572</v>
      </c>
      <c r="E8" s="22">
        <f>MAX((E5+E6),0)</f>
        <v>33.363903979711147</v>
      </c>
      <c r="F8" s="22">
        <f>MAX((F5+F6),0)</f>
        <v>11271.773178741969</v>
      </c>
      <c r="G8" s="22"/>
      <c r="H8" s="22"/>
      <c r="I8" s="22"/>
      <c r="J8" s="22">
        <f>MAX((J5+J6),0)</f>
        <v>337.07783289522632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0.21224290196984863</v>
      </c>
      <c r="C10" s="32">
        <f ca="1">'EF ele_warmte'!B22</f>
        <v>0.23752245267896602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717.07557345974283</v>
      </c>
      <c r="C12" s="24">
        <f ca="1">C8*C10</f>
        <v>5.3442551852767357</v>
      </c>
      <c r="D12" s="24">
        <f>D8*D10</f>
        <v>159.08741444538398</v>
      </c>
      <c r="E12" s="24">
        <f>E8*E10</f>
        <v>7.5736062033944309</v>
      </c>
      <c r="F12" s="24">
        <f>F8*F10</f>
        <v>3009.5634387241057</v>
      </c>
      <c r="G12" s="24"/>
      <c r="H12" s="24"/>
      <c r="I12" s="24"/>
      <c r="J12" s="24">
        <f>J8*J10</f>
        <v>119.32555284491011</v>
      </c>
      <c r="K12" s="24"/>
      <c r="L12" s="24">
        <f>L8*L10</f>
        <v>0</v>
      </c>
      <c r="M12" s="24">
        <f>M8*M10</f>
        <v>0</v>
      </c>
      <c r="N12" s="24">
        <f>N8*N10</f>
        <v>0</v>
      </c>
      <c r="O12" s="24"/>
      <c r="P12" s="24"/>
    </row>
    <row r="14" spans="1:18">
      <c r="A14" s="193" t="s">
        <v>494</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0.45740316045466706</v>
      </c>
      <c r="C17" s="236" t="s">
        <v>660</v>
      </c>
      <c r="D17" s="251"/>
    </row>
    <row r="18" spans="1:4">
      <c r="A18" s="239"/>
      <c r="B18" s="252"/>
      <c r="C18" s="240"/>
    </row>
    <row r="19" spans="1:4">
      <c r="A19" s="33"/>
      <c r="B19" s="49"/>
      <c r="C19" s="33"/>
    </row>
    <row r="20" spans="1:4">
      <c r="A20" s="33"/>
      <c r="B20" s="49"/>
      <c r="C20" s="33"/>
    </row>
    <row r="21" spans="1:4" ht="15.75" thickBot="1">
      <c r="B21" s="33"/>
    </row>
    <row r="22" spans="1:4" ht="15.75" customHeight="1">
      <c r="A22" s="1170" t="s">
        <v>292</v>
      </c>
      <c r="B22" s="1173" t="s">
        <v>293</v>
      </c>
      <c r="C22" s="1173" t="s">
        <v>493</v>
      </c>
    </row>
    <row r="23" spans="1:4">
      <c r="A23" s="1171"/>
      <c r="B23" s="1174"/>
      <c r="C23" s="1174"/>
    </row>
    <row r="24" spans="1:4" ht="15.75" thickBot="1">
      <c r="A24" s="1172"/>
      <c r="B24" s="1175"/>
      <c r="C24" s="1175"/>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457.10695122925358</v>
      </c>
      <c r="C26" s="246">
        <f>B26*'GWP N2O_CH4'!B5</f>
        <v>9599.245975814325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164.3530682925184</v>
      </c>
      <c r="C27" s="246">
        <f>B27*'GWP N2O_CH4'!B5</f>
        <v>3451.4144341428864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7.4313215030813176</v>
      </c>
      <c r="C28" s="246">
        <f>B28*'GWP N2O_CH4'!B4</f>
        <v>2303.7096659552085</v>
      </c>
      <c r="D28" s="51"/>
    </row>
    <row r="29" spans="1:4">
      <c r="A29" s="42" t="s">
        <v>266</v>
      </c>
      <c r="B29" s="246">
        <f>B34*'ha_N2O bodem landbouw'!B4</f>
        <v>25.431347342441693</v>
      </c>
      <c r="C29" s="246">
        <f>B29*'GWP N2O_CH4'!B4</f>
        <v>7883.7176761569253</v>
      </c>
      <c r="D29" s="51"/>
    </row>
    <row r="31" spans="1:4">
      <c r="A31" s="193" t="s">
        <v>495</v>
      </c>
      <c r="B31" s="203"/>
      <c r="C31" s="225"/>
    </row>
    <row r="32" spans="1:4">
      <c r="A32" s="235"/>
      <c r="B32" s="33"/>
      <c r="C32" s="236"/>
    </row>
    <row r="33" spans="1:5">
      <c r="A33" s="237"/>
      <c r="B33" s="224" t="s">
        <v>601</v>
      </c>
      <c r="C33" s="238" t="s">
        <v>175</v>
      </c>
    </row>
    <row r="34" spans="1:5">
      <c r="A34" s="256" t="s">
        <v>105</v>
      </c>
      <c r="B34" s="36">
        <f>IF(ISERROR(aantalCultuurgronden/'ha_N2O bodem landbouw'!B5),0,aantalCultuurgronden/'ha_N2O bodem landbouw'!B5)</f>
        <v>6.8656631968588584E-3</v>
      </c>
      <c r="C34" s="257" t="s">
        <v>600</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497</v>
      </c>
      <c r="B1" s="1163" t="s">
        <v>545</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4.4413239270511271E-5</v>
      </c>
      <c r="C5" s="433" t="s">
        <v>204</v>
      </c>
      <c r="D5" s="418">
        <f>SUM(D6:D11)</f>
        <v>4.9189642268090077E-5</v>
      </c>
      <c r="E5" s="418">
        <f>SUM(E6:E11)</f>
        <v>3.5654615036496773E-3</v>
      </c>
      <c r="F5" s="431" t="s">
        <v>204</v>
      </c>
      <c r="G5" s="418">
        <f>SUM(G6:G11)</f>
        <v>1.0344593062823964</v>
      </c>
      <c r="H5" s="418">
        <f>SUM(H6:H11)</f>
        <v>0.1298033077416173</v>
      </c>
      <c r="I5" s="433" t="s">
        <v>204</v>
      </c>
      <c r="J5" s="433" t="s">
        <v>204</v>
      </c>
      <c r="K5" s="433" t="s">
        <v>204</v>
      </c>
      <c r="L5" s="433" t="s">
        <v>204</v>
      </c>
      <c r="M5" s="418">
        <f>SUM(M6:M11)</f>
        <v>5.1974604449985404E-2</v>
      </c>
      <c r="N5" s="433" t="s">
        <v>204</v>
      </c>
      <c r="O5" s="433" t="s">
        <v>204</v>
      </c>
      <c r="P5" s="434" t="s">
        <v>204</v>
      </c>
    </row>
    <row r="6" spans="1:18">
      <c r="A6" s="261" t="s">
        <v>717</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1.4444738642277572E-5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1.6753269022258728E-5</v>
      </c>
      <c r="E6" s="421">
        <f>vkm_GW_PW*SUMIFS(TableVerdeelsleutelVkm[LPG],TableVerdeelsleutelVkm[Voertuigtype],"Lichte voertuigen")*SUMIFS(TableECFTransport[EnergieConsumptieFactor (PJ per km)],TableECFTransport[Index],CONCATENATE($A6,"_LPG_LPG"))</f>
        <v>1.0843775343462145E-3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0.17097569801884727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4.3233478598215545E-2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9.5880170648615422E-3</v>
      </c>
      <c r="N6" s="419"/>
      <c r="O6" s="419"/>
      <c r="P6" s="420"/>
    </row>
    <row r="7" spans="1:18">
      <c r="A7" s="261" t="s">
        <v>718</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5.7100318728003654E-7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9.4455876171259917E-2</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2.943714320188238E-6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4.2029970977561608E-3</v>
      </c>
      <c r="N7" s="419"/>
      <c r="O7" s="419"/>
      <c r="P7" s="420"/>
    </row>
    <row r="8" spans="1:18">
      <c r="A8" s="261" t="s">
        <v>719</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3.3503375845481865E-6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6.3330375828755758E-6</v>
      </c>
      <c r="E8" s="421">
        <f>vkm_NGW_PW*SUMIFS(TableVerdeelsleutelVkm[LPG],TableVerdeelsleutelVkm[Voertuigtype],"Lichte voertuigen")*SUMIFS(TableECFTransport[EnergieConsumptieFactor (PJ per km)],TableECFTransport[Index],CONCATENATE($A8,"_LPG_LPG"))</f>
        <v>3.8739925157776884E-4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5.7755476753858191E-2</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1.5554887281597275E-2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3.2823714091909616E-3</v>
      </c>
      <c r="N8" s="419"/>
      <c r="O8" s="419"/>
      <c r="P8" s="420"/>
    </row>
    <row r="9" spans="1:18">
      <c r="A9" s="261" t="s">
        <v>720</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3.4434696911676781E-8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7.30452093279147E-3</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2.1427417867887024E-7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3.250281896010819E-4</v>
      </c>
      <c r="N9" s="419"/>
      <c r="O9" s="419"/>
      <c r="P9" s="420"/>
    </row>
    <row r="10" spans="1:18">
      <c r="A10" s="261" t="s">
        <v>721</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2.3436971398250009E-5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2.6103335662955771E-5</v>
      </c>
      <c r="E10" s="421">
        <f>vkm_SW_PW*SUMIFS(TableVerdeelsleutelVkm[LPG],TableVerdeelsleutelVkm[Voertuigtype],"Lichte voertuigen")*SUMIFS(TableECFTransport[EnergieConsumptieFactor (PJ per km)],TableECFTransport[Index],CONCATENATE($A10,"_LPG_LPG"))</f>
        <v>2.0936847177256942E-3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0.30484842760945191</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7.0998116284319387E-2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1.6816548051026576E-2</v>
      </c>
      <c r="N10" s="419"/>
      <c r="O10" s="419"/>
      <c r="P10" s="420"/>
    </row>
    <row r="11" spans="1:18">
      <c r="A11" s="4" t="s">
        <v>722</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2.5757537612437941E-6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0.39911930679618762</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1.3667588986219996E-5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1.7759642637549072E-2</v>
      </c>
      <c r="N11" s="422"/>
      <c r="O11" s="422"/>
      <c r="P11" s="424"/>
    </row>
    <row r="12" spans="1:18">
      <c r="A12" s="326" t="s">
        <v>543</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12.337010908475353</v>
      </c>
      <c r="C14" s="22"/>
      <c r="D14" s="22">
        <f t="shared" ref="D14:M14" si="0">((D5)*10^9/3600)+D12</f>
        <v>13.66378951891391</v>
      </c>
      <c r="E14" s="22">
        <f t="shared" si="0"/>
        <v>990.4059732360214</v>
      </c>
      <c r="F14" s="22"/>
      <c r="G14" s="22">
        <f t="shared" si="0"/>
        <v>287349.80730066565</v>
      </c>
      <c r="H14" s="22">
        <f t="shared" si="0"/>
        <v>36056.474372671473</v>
      </c>
      <c r="I14" s="22"/>
      <c r="J14" s="22"/>
      <c r="K14" s="22"/>
      <c r="L14" s="22"/>
      <c r="M14" s="22">
        <f t="shared" si="0"/>
        <v>14437.390124995947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0.21224290196984863</v>
      </c>
      <c r="C16" s="57">
        <f ca="1">'EF ele_warmte'!B22</f>
        <v>0.23752245267896602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2.6184429968484877</v>
      </c>
      <c r="C18" s="24"/>
      <c r="D18" s="24">
        <f t="shared" ref="D18:M18" si="1">D14*D16</f>
        <v>2.7600854828206103</v>
      </c>
      <c r="E18" s="24">
        <f t="shared" si="1"/>
        <v>224.82215592457686</v>
      </c>
      <c r="F18" s="24"/>
      <c r="G18" s="24">
        <f t="shared" si="1"/>
        <v>76722.398549277728</v>
      </c>
      <c r="H18" s="24">
        <f t="shared" si="1"/>
        <v>8978.0621187951965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22"/>
    </row>
    <row r="21" spans="1:18">
      <c r="A21" s="852" t="s">
        <v>499</v>
      </c>
      <c r="B21" s="853"/>
      <c r="C21" s="854"/>
      <c r="D21" s="854"/>
      <c r="E21" s="854"/>
      <c r="F21" s="854"/>
      <c r="G21" s="854"/>
      <c r="H21" s="854"/>
      <c r="I21" s="854"/>
      <c r="J21" s="854"/>
      <c r="K21" s="854"/>
      <c r="L21" s="854"/>
      <c r="M21" s="854"/>
      <c r="N21" s="855"/>
    </row>
    <row r="22" spans="1:18">
      <c r="A22" s="259"/>
      <c r="B22" s="260"/>
      <c r="C22" s="44"/>
      <c r="D22" s="44"/>
      <c r="E22" s="44"/>
      <c r="F22" s="44"/>
      <c r="G22" s="44"/>
      <c r="H22" s="44"/>
      <c r="I22" s="44"/>
      <c r="J22" s="44"/>
      <c r="K22" s="44"/>
      <c r="L22" s="44"/>
      <c r="M22" s="44"/>
      <c r="N22" s="174"/>
    </row>
    <row r="23" spans="1:18">
      <c r="A23" s="266" t="s">
        <v>297</v>
      </c>
      <c r="B23" s="856" t="s">
        <v>298</v>
      </c>
      <c r="C23" s="856" t="s">
        <v>727</v>
      </c>
      <c r="D23" s="856" t="s">
        <v>728</v>
      </c>
      <c r="E23" s="856" t="s">
        <v>729</v>
      </c>
      <c r="F23" s="856" t="s">
        <v>686</v>
      </c>
      <c r="G23" s="856" t="s">
        <v>730</v>
      </c>
      <c r="H23" s="856" t="s">
        <v>731</v>
      </c>
      <c r="I23" s="856" t="s">
        <v>112</v>
      </c>
      <c r="J23" s="856" t="s">
        <v>732</v>
      </c>
      <c r="K23" s="856" t="s">
        <v>733</v>
      </c>
      <c r="L23" s="857" t="s">
        <v>734</v>
      </c>
      <c r="M23" s="130" t="s">
        <v>175</v>
      </c>
      <c r="N23" s="267" t="s">
        <v>305</v>
      </c>
    </row>
    <row r="24" spans="1:18">
      <c r="A24" s="33" t="s">
        <v>723</v>
      </c>
      <c r="B24" s="1010">
        <v>6.33583579741309E-5</v>
      </c>
      <c r="C24" s="1010">
        <v>0.7954453963011765</v>
      </c>
      <c r="D24" s="1010" t="s">
        <v>934</v>
      </c>
      <c r="E24" s="1010">
        <v>8.2268218439991616E-7</v>
      </c>
      <c r="F24" s="1010"/>
      <c r="G24" s="1010">
        <v>1.9557604420178119E-4</v>
      </c>
      <c r="H24" s="1010" t="s">
        <v>934</v>
      </c>
      <c r="I24" s="1010">
        <v>4.6492267261280737E-3</v>
      </c>
      <c r="J24" s="1010">
        <v>0.19793436627861516</v>
      </c>
      <c r="K24" s="1010">
        <v>1.6891905278286837E-3</v>
      </c>
      <c r="L24" s="1010">
        <v>2.2063081891244262E-5</v>
      </c>
      <c r="M24" s="1003" t="s">
        <v>928</v>
      </c>
      <c r="N24" s="842">
        <f>SUM(B24:L24)</f>
        <v>0.99999999999999989</v>
      </c>
    </row>
    <row r="25" spans="1:18">
      <c r="A25" s="33" t="s">
        <v>724</v>
      </c>
      <c r="B25" s="1010" t="s">
        <v>934</v>
      </c>
      <c r="C25" s="1010">
        <v>0.99993719311410412</v>
      </c>
      <c r="D25" s="1010" t="s">
        <v>934</v>
      </c>
      <c r="E25" s="1010" t="s">
        <v>934</v>
      </c>
      <c r="F25" s="1010"/>
      <c r="G25" s="1010">
        <v>1.3112617186036559E-5</v>
      </c>
      <c r="H25" s="1010" t="s">
        <v>934</v>
      </c>
      <c r="I25" s="1010" t="s">
        <v>934</v>
      </c>
      <c r="J25" s="1010">
        <v>4.9694268709822807E-5</v>
      </c>
      <c r="K25" s="1010" t="s">
        <v>934</v>
      </c>
      <c r="L25" s="1010" t="s">
        <v>934</v>
      </c>
      <c r="M25" s="1003" t="s">
        <v>928</v>
      </c>
      <c r="N25" s="842">
        <f>SUM(B25:L25)</f>
        <v>1</v>
      </c>
    </row>
    <row r="26" spans="1:18">
      <c r="A26" s="239"/>
      <c r="B26" s="180"/>
      <c r="C26" s="180"/>
      <c r="D26" s="180"/>
      <c r="E26" s="180"/>
      <c r="F26" s="180"/>
      <c r="G26" s="180"/>
      <c r="H26" s="180"/>
      <c r="I26" s="180"/>
      <c r="J26" s="180"/>
      <c r="K26" s="180"/>
      <c r="L26" s="178"/>
      <c r="M26" s="178"/>
      <c r="N26" s="176"/>
    </row>
    <row r="27" spans="1:18" s="44" customFormat="1"/>
    <row r="28" spans="1:18">
      <c r="A28" s="262" t="s">
        <v>500</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38">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08" t="s">
        <v>906</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38">
        <v>2012</v>
      </c>
      <c r="D37" s="272" t="s">
        <v>307</v>
      </c>
      <c r="E37" s="858"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176" t="s">
        <v>498</v>
      </c>
      <c r="B46" s="1177" t="s">
        <v>544</v>
      </c>
      <c r="C46" s="1178"/>
      <c r="D46" s="1178"/>
      <c r="E46" s="1178"/>
      <c r="F46" s="1178"/>
      <c r="G46" s="1178"/>
      <c r="H46" s="1178"/>
      <c r="I46" s="1178"/>
      <c r="J46" s="1178"/>
      <c r="K46" s="1178"/>
      <c r="L46" s="1178"/>
      <c r="M46" s="1178"/>
      <c r="N46" s="1178"/>
      <c r="O46" s="1178"/>
      <c r="P46" s="1178"/>
    </row>
    <row r="47" spans="1:16" s="16"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6" customFormat="1" ht="45">
      <c r="A48" s="1176"/>
      <c r="B48" s="1180"/>
      <c r="C48" s="1180"/>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1.2955878867407136E-5</v>
      </c>
      <c r="C50" s="316">
        <f t="shared" ref="C50:P50" si="2">SUM(C51:C52)</f>
        <v>0</v>
      </c>
      <c r="D50" s="316">
        <f t="shared" si="2"/>
        <v>0</v>
      </c>
      <c r="E50" s="316">
        <f t="shared" si="2"/>
        <v>0</v>
      </c>
      <c r="F50" s="316">
        <f t="shared" si="2"/>
        <v>0</v>
      </c>
      <c r="G50" s="316">
        <f t="shared" si="2"/>
        <v>2.5840756550397559E-3</v>
      </c>
      <c r="H50" s="316">
        <f t="shared" si="2"/>
        <v>0</v>
      </c>
      <c r="I50" s="316">
        <f t="shared" si="2"/>
        <v>0</v>
      </c>
      <c r="J50" s="316">
        <f t="shared" si="2"/>
        <v>0</v>
      </c>
      <c r="K50" s="316">
        <f t="shared" si="2"/>
        <v>0</v>
      </c>
      <c r="L50" s="316">
        <f t="shared" si="2"/>
        <v>0</v>
      </c>
      <c r="M50" s="316">
        <f t="shared" si="2"/>
        <v>1.1421339180126182E-4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1.2955878867407136E-5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2.5840756550397559E-3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1.1421339180126182E-4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3.5988552409464267</v>
      </c>
      <c r="C54" s="22">
        <f t="shared" ref="C54:P54" si="3">(C50)*10^9/3600</f>
        <v>0</v>
      </c>
      <c r="D54" s="22">
        <f t="shared" si="3"/>
        <v>0</v>
      </c>
      <c r="E54" s="22">
        <f t="shared" si="3"/>
        <v>0</v>
      </c>
      <c r="F54" s="22">
        <f t="shared" si="3"/>
        <v>0</v>
      </c>
      <c r="G54" s="22">
        <f t="shared" si="3"/>
        <v>717.79879306659882</v>
      </c>
      <c r="H54" s="22">
        <f t="shared" si="3"/>
        <v>0</v>
      </c>
      <c r="I54" s="22">
        <f t="shared" si="3"/>
        <v>0</v>
      </c>
      <c r="J54" s="22">
        <f t="shared" si="3"/>
        <v>0</v>
      </c>
      <c r="K54" s="22">
        <f t="shared" si="3"/>
        <v>0</v>
      </c>
      <c r="L54" s="22">
        <f t="shared" si="3"/>
        <v>0</v>
      </c>
      <c r="M54" s="22">
        <f t="shared" si="3"/>
        <v>31.725942167017173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0.21224290196984863</v>
      </c>
      <c r="C56" s="57">
        <f ca="1">'EF ele_warmte'!B22</f>
        <v>0.23752245267896602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0.76383148010786839</v>
      </c>
      <c r="C58" s="24">
        <f t="shared" ref="C58:P58" ca="1" si="4">C54*C56</f>
        <v>0</v>
      </c>
      <c r="D58" s="24">
        <f t="shared" si="4"/>
        <v>0</v>
      </c>
      <c r="E58" s="24">
        <f t="shared" si="4"/>
        <v>0</v>
      </c>
      <c r="F58" s="24">
        <f t="shared" si="4"/>
        <v>0</v>
      </c>
      <c r="G58" s="24">
        <f t="shared" si="4"/>
        <v>191.6522777487819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558</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891</v>
      </c>
      <c r="B65" s="1009">
        <v>2.1600000000000001E-2</v>
      </c>
      <c r="C65" s="174" t="s">
        <v>765</v>
      </c>
    </row>
    <row r="66" spans="1:12" s="16" customFormat="1">
      <c r="A66" s="285"/>
      <c r="B66" s="268"/>
      <c r="C66" s="232"/>
    </row>
    <row r="67" spans="1:12">
      <c r="A67" s="288" t="s">
        <v>305</v>
      </c>
      <c r="B67" s="289">
        <f>SUM(B64:B65)</f>
        <v>1</v>
      </c>
      <c r="C67" s="176"/>
    </row>
    <row r="70" spans="1:12">
      <c r="A70" s="262" t="s">
        <v>500</v>
      </c>
      <c r="B70" s="263"/>
      <c r="C70" s="263"/>
      <c r="D70" s="263"/>
      <c r="E70" s="263"/>
      <c r="F70" s="263"/>
      <c r="G70" s="263"/>
      <c r="H70" s="263"/>
      <c r="I70" s="263"/>
      <c r="J70" s="263"/>
      <c r="K70" s="263"/>
      <c r="L70" s="264"/>
    </row>
    <row r="71" spans="1:12">
      <c r="A71" s="415" t="s">
        <v>559</v>
      </c>
    </row>
    <row r="72" spans="1:12">
      <c r="A72" s="261"/>
      <c r="B72" s="265"/>
      <c r="C72" s="265"/>
      <c r="D72" s="265"/>
      <c r="E72" s="265"/>
    </row>
    <row r="73" spans="1:12">
      <c r="A73" s="271"/>
      <c r="B73" s="272" t="s">
        <v>306</v>
      </c>
      <c r="C73" s="838">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B53"/>
  <sheetViews>
    <sheetView showGridLines="0" topLeftCell="F1"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4" width="16.140625" style="603" customWidth="1"/>
    <col min="25" max="25" width="14.7109375" style="603" customWidth="1"/>
    <col min="26" max="27" width="16.140625" style="603" customWidth="1"/>
    <col min="28" max="28" width="17.28515625" style="603" customWidth="1"/>
    <col min="29" max="29" width="16.85546875" style="603" customWidth="1"/>
    <col min="30" max="16384" width="9.140625" style="603"/>
  </cols>
  <sheetData>
    <row r="1" spans="1:21" s="532"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546</v>
      </c>
      <c r="Q1" s="1199"/>
      <c r="S1" s="1205"/>
      <c r="T1" s="1205"/>
      <c r="U1" s="1205"/>
    </row>
    <row r="2" spans="1:21" s="532" customFormat="1" ht="15.75" thickBot="1">
      <c r="A2" s="1185"/>
      <c r="B2" s="1185"/>
      <c r="C2" s="1189" t="s">
        <v>190</v>
      </c>
      <c r="D2" s="1190"/>
      <c r="E2" s="1190"/>
      <c r="F2" s="1190"/>
      <c r="G2" s="1191"/>
      <c r="H2" s="1192" t="s">
        <v>234</v>
      </c>
      <c r="I2" s="1194" t="s">
        <v>235</v>
      </c>
      <c r="J2" s="1194" t="s">
        <v>223</v>
      </c>
      <c r="K2" s="1194" t="s">
        <v>236</v>
      </c>
      <c r="L2" s="1194" t="s">
        <v>120</v>
      </c>
      <c r="M2" s="1194" t="s">
        <v>842</v>
      </c>
      <c r="N2" s="1208" t="s">
        <v>843</v>
      </c>
      <c r="O2" s="1200"/>
      <c r="P2" s="1202"/>
      <c r="Q2" s="1200"/>
      <c r="S2" s="1205"/>
      <c r="T2" s="1205"/>
      <c r="U2" s="1205"/>
    </row>
    <row r="3" spans="1:21" s="532" customFormat="1" ht="53.45" customHeight="1" thickBot="1">
      <c r="A3" s="1186"/>
      <c r="B3" s="1188"/>
      <c r="C3" s="533" t="s">
        <v>192</v>
      </c>
      <c r="D3" s="971" t="s">
        <v>193</v>
      </c>
      <c r="E3" s="534" t="s">
        <v>194</v>
      </c>
      <c r="F3" s="535" t="s">
        <v>196</v>
      </c>
      <c r="G3" s="536" t="s">
        <v>197</v>
      </c>
      <c r="H3" s="1193"/>
      <c r="I3" s="1195"/>
      <c r="J3" s="1195"/>
      <c r="K3" s="1195"/>
      <c r="L3" s="1195"/>
      <c r="M3" s="1195"/>
      <c r="N3" s="1209"/>
      <c r="O3" s="1201"/>
      <c r="P3" s="1188"/>
      <c r="Q3" s="1201"/>
      <c r="S3" s="1205"/>
      <c r="T3" s="1205"/>
      <c r="U3" s="1205"/>
    </row>
    <row r="4" spans="1:21" s="532" customFormat="1" ht="15.75" thickTop="1">
      <c r="A4" s="537" t="s">
        <v>238</v>
      </c>
      <c r="B4" s="538">
        <f>IF(ISERROR(kWh_wind_land),0,kWh_wind_land)</f>
        <v>0</v>
      </c>
      <c r="C4" s="1210"/>
      <c r="D4" s="1213"/>
      <c r="E4" s="1213"/>
      <c r="F4" s="1216"/>
      <c r="G4" s="1219"/>
      <c r="H4" s="1222"/>
      <c r="I4" s="1213"/>
      <c r="J4" s="1213"/>
      <c r="K4" s="1213"/>
      <c r="L4" s="1213"/>
      <c r="M4" s="1213"/>
      <c r="N4" s="929"/>
      <c r="O4" s="539"/>
      <c r="P4" s="1225"/>
      <c r="Q4" s="1226"/>
      <c r="S4" s="968"/>
      <c r="T4" s="1227"/>
      <c r="U4" s="1227"/>
    </row>
    <row r="5" spans="1:21" s="532" customFormat="1">
      <c r="A5" s="540" t="s">
        <v>239</v>
      </c>
      <c r="B5" s="538">
        <f>IF(ISERROR(kWh_waterkracht),0,kWh_waterkracht)</f>
        <v>0</v>
      </c>
      <c r="C5" s="1211"/>
      <c r="D5" s="1214"/>
      <c r="E5" s="1214"/>
      <c r="F5" s="1217"/>
      <c r="G5" s="1220"/>
      <c r="H5" s="1223"/>
      <c r="I5" s="1214"/>
      <c r="J5" s="1214"/>
      <c r="K5" s="1214"/>
      <c r="L5" s="1214"/>
      <c r="M5" s="1214"/>
      <c r="N5" s="929"/>
      <c r="O5" s="541"/>
      <c r="P5" s="1206"/>
      <c r="Q5" s="1207"/>
      <c r="S5" s="968"/>
      <c r="T5" s="1227"/>
      <c r="U5" s="1227"/>
    </row>
    <row r="6" spans="1:21" s="532" customFormat="1">
      <c r="A6" s="540" t="s">
        <v>240</v>
      </c>
      <c r="B6" s="538">
        <f>IF(ISERROR((kWh_PV_kleiner_dan_10kW+kWh_PV_groter_dan_10kW)),0,(kWh_PV_kleiner_dan_10kW+kWh_PV_groter_dan_10kW))</f>
        <v>7734.5460861705533</v>
      </c>
      <c r="C6" s="1211"/>
      <c r="D6" s="1214"/>
      <c r="E6" s="1214"/>
      <c r="F6" s="1217"/>
      <c r="G6" s="1220"/>
      <c r="H6" s="1223"/>
      <c r="I6" s="1214"/>
      <c r="J6" s="1214"/>
      <c r="K6" s="1214"/>
      <c r="L6" s="1214"/>
      <c r="M6" s="1214"/>
      <c r="N6" s="929"/>
      <c r="O6" s="541"/>
      <c r="P6" s="1206"/>
      <c r="Q6" s="1207"/>
      <c r="S6" s="968"/>
      <c r="T6" s="1227"/>
      <c r="U6" s="1227"/>
    </row>
    <row r="7" spans="1:21" s="532" customFormat="1">
      <c r="A7" s="540" t="s">
        <v>844</v>
      </c>
      <c r="B7" s="538"/>
      <c r="C7" s="1212"/>
      <c r="D7" s="1215"/>
      <c r="E7" s="1215"/>
      <c r="F7" s="1218"/>
      <c r="G7" s="1221"/>
      <c r="H7" s="1224"/>
      <c r="I7" s="1215"/>
      <c r="J7" s="1215"/>
      <c r="K7" s="1215"/>
      <c r="L7" s="1215"/>
      <c r="M7" s="1215"/>
      <c r="N7" s="930"/>
      <c r="O7" s="541"/>
      <c r="P7" s="969"/>
      <c r="Q7" s="970"/>
      <c r="S7" s="968"/>
      <c r="T7" s="968"/>
      <c r="U7" s="968"/>
    </row>
    <row r="8" spans="1:21" s="532" customFormat="1">
      <c r="A8" s="542" t="s">
        <v>241</v>
      </c>
      <c r="B8" s="543">
        <f>N31</f>
        <v>1171.3499999999999</v>
      </c>
      <c r="C8" s="544">
        <f>B50</f>
        <v>1377.3362621064696</v>
      </c>
      <c r="D8" s="931"/>
      <c r="E8" s="931">
        <f>E50</f>
        <v>0</v>
      </c>
      <c r="F8" s="932"/>
      <c r="G8" s="545"/>
      <c r="H8" s="931">
        <f>I50</f>
        <v>0</v>
      </c>
      <c r="I8" s="931">
        <f>G50+F50</f>
        <v>0</v>
      </c>
      <c r="J8" s="931">
        <f>H50+D50+C50</f>
        <v>0</v>
      </c>
      <c r="K8" s="931"/>
      <c r="L8" s="931"/>
      <c r="M8" s="931"/>
      <c r="N8" s="546"/>
      <c r="O8" s="547">
        <f>C8*$C$12+D8*$D$12+E8*$E$12+F8*$F$12+G8*$G$12+H8*$H$12+I8*$I$12+J8*$J$12</f>
        <v>278.22192494550688</v>
      </c>
      <c r="P8" s="1206"/>
      <c r="Q8" s="1207"/>
      <c r="S8" s="968"/>
      <c r="T8" s="1227"/>
      <c r="U8" s="1227"/>
    </row>
    <row r="9" spans="1:21" s="532" customFormat="1" ht="17.45" customHeight="1" thickBot="1">
      <c r="A9" s="548" t="s">
        <v>237</v>
      </c>
      <c r="B9" s="933">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34"/>
      <c r="O9" s="547">
        <f>C9*$C$12+D9*$D$12+E9*$E$12+F9*$F$12+G9*$G$12+H9*$H$12+I9*$I$12+J9*$J$12</f>
        <v>0</v>
      </c>
      <c r="P9" s="1203"/>
      <c r="Q9" s="1204"/>
      <c r="R9" s="553"/>
      <c r="S9" s="968"/>
      <c r="T9" s="1227"/>
      <c r="U9" s="1227"/>
    </row>
    <row r="10" spans="1:21" s="532" customFormat="1" ht="16.5" thickTop="1" thickBot="1">
      <c r="A10" s="554" t="s">
        <v>109</v>
      </c>
      <c r="B10" s="555">
        <f>SUM(B4:B9)</f>
        <v>8905.8960861705527</v>
      </c>
      <c r="C10" s="556">
        <f t="shared" ref="C10:L10" si="0">SUM(C8:C9)</f>
        <v>1377.3362621064696</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35"/>
      <c r="N10" s="935"/>
      <c r="O10" s="557">
        <f>SUM(O4:O9)</f>
        <v>278.22192494550688</v>
      </c>
      <c r="P10" s="558"/>
      <c r="R10" s="966"/>
      <c r="S10" s="968"/>
      <c r="T10" s="966"/>
      <c r="U10" s="966"/>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36" t="s">
        <v>279</v>
      </c>
      <c r="B12" s="937"/>
      <c r="C12" s="937">
        <f>EF_CO2_aardgas</f>
        <v>0.20200000000000001</v>
      </c>
      <c r="D12" s="937">
        <f>EF_VLgas_CO2</f>
        <v>0.22700000000000001</v>
      </c>
      <c r="E12" s="937">
        <f>EF_stookolie_CO2</f>
        <v>0.26700000000000002</v>
      </c>
      <c r="F12" s="937">
        <f>EF_bruinkool_CO2</f>
        <v>0.35099999999999998</v>
      </c>
      <c r="G12" s="937">
        <f>EF_steenkool_CO2</f>
        <v>0.35399999999999998</v>
      </c>
      <c r="H12" s="937">
        <f>'EF brandstof'!M4</f>
        <v>0.33</v>
      </c>
      <c r="I12" s="937">
        <f>'EF brandstof'!J4</f>
        <v>0</v>
      </c>
      <c r="J12" s="937">
        <f>'EF brandstof'!L4</f>
        <v>0</v>
      </c>
      <c r="K12" s="937">
        <f>'EF brandstof'!L4</f>
        <v>0</v>
      </c>
      <c r="L12" s="937"/>
      <c r="M12" s="937"/>
      <c r="N12" s="937"/>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2"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842</v>
      </c>
      <c r="N15" s="1208" t="s">
        <v>843</v>
      </c>
      <c r="O15" s="1200"/>
      <c r="P15" s="1202"/>
      <c r="Q15" s="1200"/>
      <c r="R15" s="1205"/>
      <c r="S15" s="1205"/>
      <c r="T15" s="1205"/>
    </row>
    <row r="16" spans="1:21" s="532" customFormat="1" ht="40.700000000000003" customHeight="1" thickBot="1">
      <c r="A16" s="1186"/>
      <c r="B16" s="1186"/>
      <c r="C16" s="564" t="s">
        <v>192</v>
      </c>
      <c r="D16" s="971" t="s">
        <v>193</v>
      </c>
      <c r="E16" s="928" t="s">
        <v>194</v>
      </c>
      <c r="F16" s="971" t="s">
        <v>196</v>
      </c>
      <c r="G16" s="565" t="s">
        <v>197</v>
      </c>
      <c r="H16" s="1193"/>
      <c r="I16" s="1193"/>
      <c r="J16" s="1193"/>
      <c r="K16" s="1193"/>
      <c r="L16" s="1193"/>
      <c r="M16" s="1193"/>
      <c r="N16" s="1209"/>
      <c r="O16" s="1201"/>
      <c r="P16" s="1188"/>
      <c r="Q16" s="1201"/>
      <c r="R16" s="1205"/>
      <c r="S16" s="1205"/>
      <c r="T16" s="1205"/>
    </row>
    <row r="17" spans="1:27" s="532" customFormat="1" ht="15.75" thickTop="1">
      <c r="A17" s="566" t="s">
        <v>241</v>
      </c>
      <c r="B17" s="567">
        <f>O31</f>
        <v>1689.4285714285716</v>
      </c>
      <c r="C17" s="568">
        <f>B51</f>
        <v>1986.5208807506735</v>
      </c>
      <c r="D17" s="569"/>
      <c r="E17" s="569">
        <f>E51</f>
        <v>0</v>
      </c>
      <c r="F17" s="570"/>
      <c r="G17" s="571"/>
      <c r="H17" s="568">
        <f>I51</f>
        <v>0</v>
      </c>
      <c r="I17" s="569">
        <f>G51+F51</f>
        <v>0</v>
      </c>
      <c r="J17" s="569">
        <f>H51+D51+C51</f>
        <v>0</v>
      </c>
      <c r="K17" s="569"/>
      <c r="L17" s="569"/>
      <c r="M17" s="569"/>
      <c r="N17" s="938"/>
      <c r="O17" s="572">
        <f>C17*$C$22+E17*$E$22+H17*$H$22+I17*$I$22+J17*$J$22+D17*$D$22+F17*$F$22+G17*$G$22+K17*$K$22+L17*$L$22</f>
        <v>401.27721791163606</v>
      </c>
      <c r="P17" s="1243"/>
      <c r="Q17" s="1244"/>
      <c r="R17" s="967"/>
      <c r="S17" s="1238"/>
      <c r="T17" s="1238"/>
    </row>
    <row r="18" spans="1:27" s="532" customFormat="1">
      <c r="A18" s="573" t="s">
        <v>247</v>
      </c>
      <c r="B18" s="574">
        <f>'Eigen informatie GS &amp; warmtenet'!B32</f>
        <v>0</v>
      </c>
      <c r="C18" s="931">
        <f>'Eigen informatie GS &amp; warmtenet'!B35</f>
        <v>0</v>
      </c>
      <c r="D18" s="931">
        <f>'Eigen informatie GS &amp; warmtenet'!B36</f>
        <v>0</v>
      </c>
      <c r="E18" s="931">
        <f>'Eigen informatie GS &amp; warmtenet'!B37</f>
        <v>0</v>
      </c>
      <c r="F18" s="931">
        <f>'Eigen informatie GS &amp; warmtenet'!B38</f>
        <v>0</v>
      </c>
      <c r="G18" s="931">
        <f>'Eigen informatie GS &amp; warmtenet'!B39</f>
        <v>0</v>
      </c>
      <c r="H18" s="931">
        <f>'Eigen informatie GS &amp; warmtenet'!B40</f>
        <v>0</v>
      </c>
      <c r="I18" s="931">
        <f>'Eigen informatie GS &amp; warmtenet'!B41</f>
        <v>0</v>
      </c>
      <c r="J18" s="931">
        <f>'Eigen informatie GS &amp; warmtenet'!B42</f>
        <v>0</v>
      </c>
      <c r="K18" s="931">
        <f>'Eigen informatie GS &amp; warmtenet'!B43</f>
        <v>0</v>
      </c>
      <c r="L18" s="931">
        <f>'Eigen informatie GS &amp; warmtenet'!B44</f>
        <v>0</v>
      </c>
      <c r="M18" s="931">
        <f>'Eigen informatie GS &amp; warmtenet'!B45</f>
        <v>0</v>
      </c>
      <c r="N18" s="931">
        <f>'Eigen informatie GS &amp; warmtenet'!B46</f>
        <v>0</v>
      </c>
      <c r="O18" s="572">
        <f>C18*$C$22+E18*$E$22+H18*$H$22+I18*$I$22+J18*$J$22+D18*$D$22+F18*$F$22+G18*$G$22+K18*$K$22+L18*$L$22</f>
        <v>0</v>
      </c>
      <c r="P18" s="1239"/>
      <c r="Q18" s="1240"/>
      <c r="R18" s="968"/>
      <c r="S18" s="1227"/>
      <c r="T18" s="1227"/>
    </row>
    <row r="19" spans="1:27"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3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31"/>
      <c r="N19" s="939"/>
      <c r="O19" s="572">
        <f>C19*$C$22+E19*$E$22+H19*$H$22+I19*$I$22+J19*$J$22+D19*$D$22+F19*$F$22+G19*$G$22+K19*$K$22+L19*$L$22</f>
        <v>0</v>
      </c>
      <c r="P19" s="1241"/>
      <c r="Q19" s="1242"/>
      <c r="R19" s="968"/>
      <c r="S19" s="1227"/>
      <c r="T19" s="1227"/>
    </row>
    <row r="20" spans="1:27" s="532" customFormat="1" ht="16.5" thickTop="1" thickBot="1">
      <c r="A20" s="554" t="s">
        <v>109</v>
      </c>
      <c r="B20" s="555">
        <f>SUM(B17:B19)</f>
        <v>1689.4285714285716</v>
      </c>
      <c r="C20" s="555">
        <f>SUM(C17:C19)</f>
        <v>1986.5208807506735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401.27721791163606</v>
      </c>
      <c r="P20" s="1235"/>
      <c r="Q20" s="1236"/>
      <c r="R20" s="968"/>
      <c r="S20" s="1237"/>
      <c r="T20" s="1237"/>
    </row>
    <row r="21" spans="1:27" s="532" customFormat="1" ht="15.75" thickTop="1">
      <c r="A21" s="967"/>
      <c r="B21" s="968"/>
      <c r="C21" s="968"/>
      <c r="D21" s="968"/>
      <c r="E21" s="968"/>
      <c r="F21" s="968"/>
      <c r="G21" s="968"/>
      <c r="H21" s="968"/>
      <c r="I21" s="968"/>
      <c r="J21" s="968"/>
      <c r="K21" s="968"/>
      <c r="L21" s="968"/>
      <c r="M21" s="968"/>
      <c r="N21" s="968"/>
      <c r="O21" s="968"/>
      <c r="P21" s="966"/>
      <c r="Q21" s="966"/>
      <c r="R21" s="968"/>
      <c r="S21" s="966"/>
      <c r="T21" s="966"/>
    </row>
    <row r="22" spans="1:27" s="561" customFormat="1">
      <c r="A22" s="936" t="s">
        <v>279</v>
      </c>
      <c r="B22" s="937"/>
      <c r="C22" s="937">
        <f>EF_CO2_aardgas</f>
        <v>0.20200000000000001</v>
      </c>
      <c r="D22" s="937">
        <f>EF_VLgas_CO2</f>
        <v>0.22700000000000001</v>
      </c>
      <c r="E22" s="937">
        <f>EF_stookolie_CO2</f>
        <v>0.26700000000000002</v>
      </c>
      <c r="F22" s="937">
        <f>EF_bruinkool_CO2</f>
        <v>0.35099999999999998</v>
      </c>
      <c r="G22" s="937">
        <f>EF_steenkool_CO2</f>
        <v>0.35399999999999998</v>
      </c>
      <c r="H22" s="937">
        <f>'EF brandstof'!M4</f>
        <v>0.33</v>
      </c>
      <c r="I22" s="937">
        <f>'EF brandstof'!J4</f>
        <v>0</v>
      </c>
      <c r="J22" s="937">
        <f>'EF brandstof'!L4</f>
        <v>0</v>
      </c>
      <c r="K22" s="937">
        <f>'EF brandstof'!L4</f>
        <v>0</v>
      </c>
      <c r="L22" s="937"/>
      <c r="M22" s="937"/>
      <c r="N22" s="937"/>
      <c r="O22" s="562"/>
      <c r="P22" s="562"/>
      <c r="Q22" s="562"/>
      <c r="R22" s="562"/>
      <c r="S22" s="532"/>
    </row>
    <row r="23" spans="1:27" s="561" customFormat="1">
      <c r="A23" s="563"/>
      <c r="B23" s="562"/>
      <c r="C23" s="562"/>
      <c r="D23" s="562"/>
      <c r="E23" s="562"/>
      <c r="F23" s="562"/>
      <c r="G23" s="562"/>
      <c r="H23" s="562"/>
      <c r="I23" s="562"/>
      <c r="J23" s="562"/>
      <c r="K23" s="562"/>
      <c r="L23" s="562"/>
      <c r="M23" s="562"/>
      <c r="N23" s="562"/>
      <c r="O23" s="562"/>
      <c r="P23" s="562"/>
      <c r="Q23" s="562"/>
      <c r="R23" s="562"/>
      <c r="S23" s="532"/>
    </row>
    <row r="24" spans="1:27" s="561" customFormat="1">
      <c r="A24" s="563"/>
      <c r="B24" s="562"/>
      <c r="C24" s="562"/>
      <c r="D24" s="577"/>
      <c r="E24" s="577"/>
      <c r="F24" s="577"/>
      <c r="G24" s="562"/>
      <c r="H24" s="562"/>
      <c r="I24" s="562"/>
      <c r="J24" s="562"/>
      <c r="K24" s="562"/>
      <c r="L24" s="562"/>
      <c r="M24" s="562"/>
      <c r="N24" s="562"/>
      <c r="O24" s="562"/>
      <c r="P24" s="562"/>
      <c r="Q24" s="562"/>
      <c r="R24" s="562"/>
    </row>
    <row r="25" spans="1:27" s="561" customFormat="1">
      <c r="A25" s="563"/>
      <c r="B25" s="562"/>
      <c r="C25" s="562"/>
      <c r="D25" s="577"/>
      <c r="E25" s="577"/>
      <c r="F25" s="577"/>
      <c r="G25" s="562"/>
      <c r="H25" s="562"/>
      <c r="I25" s="562"/>
      <c r="J25" s="562"/>
      <c r="K25" s="562"/>
      <c r="L25" s="562"/>
      <c r="M25" s="562"/>
      <c r="N25" s="562"/>
      <c r="O25" s="562"/>
      <c r="P25" s="562"/>
      <c r="Q25" s="562"/>
      <c r="R25" s="562"/>
    </row>
    <row r="26" spans="1:27" s="532" customFormat="1" ht="15.75" thickBot="1">
      <c r="B26" s="577"/>
      <c r="C26" s="577"/>
      <c r="D26" s="577"/>
      <c r="E26" s="577"/>
      <c r="F26" s="577"/>
      <c r="G26" s="577"/>
      <c r="H26" s="577"/>
      <c r="I26" s="577"/>
      <c r="J26" s="577"/>
      <c r="K26" s="577"/>
      <c r="L26" s="577"/>
      <c r="M26" s="577"/>
      <c r="N26" s="577"/>
      <c r="O26" s="577"/>
      <c r="P26" s="577"/>
      <c r="Q26" s="578"/>
      <c r="R26" s="578"/>
    </row>
    <row r="27" spans="1:27"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533</v>
      </c>
      <c r="Q27" s="625" t="s">
        <v>96</v>
      </c>
      <c r="R27" s="625" t="s">
        <v>97</v>
      </c>
      <c r="S27" s="625" t="s">
        <v>98</v>
      </c>
      <c r="T27" s="625" t="s">
        <v>99</v>
      </c>
      <c r="U27" s="625" t="s">
        <v>100</v>
      </c>
      <c r="V27" s="625" t="s">
        <v>101</v>
      </c>
      <c r="W27" s="624" t="s">
        <v>102</v>
      </c>
      <c r="X27" s="624" t="s">
        <v>941</v>
      </c>
      <c r="Y27" s="624" t="s">
        <v>288</v>
      </c>
      <c r="Z27" s="624" t="s">
        <v>103</v>
      </c>
      <c r="AA27" s="626" t="s">
        <v>289</v>
      </c>
    </row>
    <row r="28" spans="1:27" s="581" customFormat="1" ht="25.5" hidden="1">
      <c r="A28" s="580"/>
      <c r="B28" s="740">
        <v>45017</v>
      </c>
      <c r="C28" s="740">
        <v>9770</v>
      </c>
      <c r="D28" s="628"/>
      <c r="E28" s="627"/>
      <c r="F28" s="627"/>
      <c r="G28" s="627" t="s">
        <v>942</v>
      </c>
      <c r="H28" s="627" t="s">
        <v>943</v>
      </c>
      <c r="I28" s="627"/>
      <c r="J28" s="739"/>
      <c r="K28" s="739"/>
      <c r="L28" s="627" t="s">
        <v>944</v>
      </c>
      <c r="M28" s="627">
        <v>254</v>
      </c>
      <c r="N28" s="627">
        <v>1143</v>
      </c>
      <c r="O28" s="627">
        <v>1632.8571428571429</v>
      </c>
      <c r="P28" s="627">
        <v>3265.7142857142858</v>
      </c>
      <c r="Q28" s="627">
        <v>0</v>
      </c>
      <c r="R28" s="627">
        <v>0</v>
      </c>
      <c r="S28" s="627">
        <v>0</v>
      </c>
      <c r="T28" s="627">
        <v>0</v>
      </c>
      <c r="U28" s="627">
        <v>0</v>
      </c>
      <c r="V28" s="627">
        <v>0</v>
      </c>
      <c r="W28" s="627"/>
      <c r="X28" s="627"/>
      <c r="Y28" s="627">
        <v>600</v>
      </c>
      <c r="Z28" s="627" t="s">
        <v>39</v>
      </c>
      <c r="AA28" s="629" t="s">
        <v>378</v>
      </c>
    </row>
    <row r="29" spans="1:27" s="581" customFormat="1" ht="63.75" hidden="1">
      <c r="A29" s="580"/>
      <c r="B29" s="740">
        <v>45057</v>
      </c>
      <c r="C29" s="740">
        <v>9750</v>
      </c>
      <c r="D29" s="628"/>
      <c r="E29" s="627"/>
      <c r="F29" s="627"/>
      <c r="G29" s="627" t="s">
        <v>942</v>
      </c>
      <c r="H29" s="627" t="s">
        <v>943</v>
      </c>
      <c r="I29" s="627"/>
      <c r="J29" s="739"/>
      <c r="K29" s="739"/>
      <c r="L29" s="627" t="s">
        <v>944</v>
      </c>
      <c r="M29" s="627">
        <v>5.3</v>
      </c>
      <c r="N29" s="627">
        <v>23.85</v>
      </c>
      <c r="O29" s="627">
        <v>34.071428571428577</v>
      </c>
      <c r="P29" s="627">
        <v>68.142857142857153</v>
      </c>
      <c r="Q29" s="627">
        <v>0</v>
      </c>
      <c r="R29" s="627">
        <v>0</v>
      </c>
      <c r="S29" s="627">
        <v>0</v>
      </c>
      <c r="T29" s="627">
        <v>0</v>
      </c>
      <c r="U29" s="627">
        <v>0</v>
      </c>
      <c r="V29" s="627">
        <v>0</v>
      </c>
      <c r="W29" s="627"/>
      <c r="X29" s="627"/>
      <c r="Y29" s="627">
        <v>1600</v>
      </c>
      <c r="Z29" s="627" t="s">
        <v>49</v>
      </c>
      <c r="AA29" s="629" t="s">
        <v>149</v>
      </c>
    </row>
    <row r="30" spans="1:27" s="581" customFormat="1" ht="12.75" hidden="1">
      <c r="A30" s="580"/>
      <c r="B30" s="740">
        <v>45057</v>
      </c>
      <c r="C30" s="740">
        <v>9750</v>
      </c>
      <c r="D30" s="628"/>
      <c r="E30" s="627"/>
      <c r="F30" s="627"/>
      <c r="G30" s="627" t="s">
        <v>945</v>
      </c>
      <c r="H30" s="627" t="s">
        <v>945</v>
      </c>
      <c r="I30" s="627"/>
      <c r="J30" s="739"/>
      <c r="K30" s="739"/>
      <c r="L30" s="627" t="s">
        <v>944</v>
      </c>
      <c r="M30" s="627">
        <v>1</v>
      </c>
      <c r="N30" s="627">
        <v>4.5</v>
      </c>
      <c r="O30" s="627">
        <v>22.5</v>
      </c>
      <c r="P30" s="627">
        <v>30</v>
      </c>
      <c r="Q30" s="627">
        <v>0</v>
      </c>
      <c r="R30" s="627">
        <v>0</v>
      </c>
      <c r="S30" s="627">
        <v>0</v>
      </c>
      <c r="T30" s="627">
        <v>0</v>
      </c>
      <c r="U30" s="627">
        <v>0</v>
      </c>
      <c r="V30" s="627">
        <v>0</v>
      </c>
      <c r="W30" s="627"/>
      <c r="X30" s="627"/>
      <c r="Y30" s="627">
        <v>10</v>
      </c>
      <c r="Z30" s="627" t="s">
        <v>105</v>
      </c>
      <c r="AA30" s="629" t="s">
        <v>105</v>
      </c>
    </row>
    <row r="31" spans="1:27" s="563" customFormat="1" hidden="1">
      <c r="A31" s="583" t="s">
        <v>269</v>
      </c>
      <c r="B31" s="584"/>
      <c r="C31" s="584"/>
      <c r="D31" s="584"/>
      <c r="E31" s="584"/>
      <c r="F31" s="584"/>
      <c r="G31" s="584"/>
      <c r="H31" s="584"/>
      <c r="I31" s="584"/>
      <c r="J31" s="584"/>
      <c r="K31" s="584"/>
      <c r="L31" s="585"/>
      <c r="M31" s="585">
        <f>SUM(M28:M30)</f>
        <v>260.3</v>
      </c>
      <c r="N31" s="585">
        <f>SUM(N28:N30)</f>
        <v>1171.3499999999999</v>
      </c>
      <c r="O31" s="585">
        <f>SUM(O28:O30)</f>
        <v>1689.4285714285716</v>
      </c>
      <c r="P31" s="585">
        <f>SUM(P28:P30)</f>
        <v>3363.8571428571431</v>
      </c>
      <c r="Q31" s="585">
        <f>SUM(Q28:Q30)</f>
        <v>0</v>
      </c>
      <c r="R31" s="585">
        <f>SUM(R28:R30)</f>
        <v>0</v>
      </c>
      <c r="S31" s="585">
        <f>SUM(S28:S30)</f>
        <v>0</v>
      </c>
      <c r="T31" s="585">
        <f>SUM(T28:T30)</f>
        <v>0</v>
      </c>
      <c r="U31" s="585">
        <f>SUM(U28:U30)</f>
        <v>0</v>
      </c>
      <c r="V31" s="585">
        <f>SUM(V28:V30)</f>
        <v>0</v>
      </c>
      <c r="W31" s="585">
        <f>SUM(W28:W30)</f>
        <v>0</v>
      </c>
      <c r="X31" s="585"/>
      <c r="Y31" s="586"/>
      <c r="Z31" s="586"/>
      <c r="AA31" s="587"/>
    </row>
    <row r="32" spans="1:27" s="563" customFormat="1">
      <c r="A32" s="583" t="s">
        <v>276</v>
      </c>
      <c r="B32" s="584"/>
      <c r="C32" s="584"/>
      <c r="D32" s="584"/>
      <c r="E32" s="584"/>
      <c r="F32" s="584"/>
      <c r="G32" s="584"/>
      <c r="H32" s="584"/>
      <c r="I32" s="584"/>
      <c r="J32" s="584"/>
      <c r="K32" s="584"/>
      <c r="L32" s="585"/>
      <c r="M32" s="585">
        <f>SUMIF($AA$28:$AA$30,"industrie",M28:M30)</f>
        <v>254</v>
      </c>
      <c r="N32" s="585">
        <f>SUMIF($AA$28:$AA$30,"industrie",N28:N30)</f>
        <v>1143</v>
      </c>
      <c r="O32" s="585">
        <f>SUMIF($AA$28:$AA$30,"industrie",O28:O30)</f>
        <v>1632.8571428571429</v>
      </c>
      <c r="P32" s="585">
        <f>SUMIF($AA$28:$AA$30,"industrie",P28:P30)</f>
        <v>3265.7142857142858</v>
      </c>
      <c r="Q32" s="585">
        <f>SUMIF($AA$28:$AA$30,"industrie",Q28:Q30)</f>
        <v>0</v>
      </c>
      <c r="R32" s="585">
        <f>SUMIF($AA$28:$AA$30,"industrie",R28:R30)</f>
        <v>0</v>
      </c>
      <c r="S32" s="585">
        <f>SUMIF($AA$28:$AA$30,"industrie",S28:S30)</f>
        <v>0</v>
      </c>
      <c r="T32" s="585">
        <f>SUMIF($AA$28:$AA$30,"industrie",T28:T30)</f>
        <v>0</v>
      </c>
      <c r="U32" s="585">
        <f>SUMIF($AA$28:$AA$30,"industrie",U28:U30)</f>
        <v>0</v>
      </c>
      <c r="V32" s="585">
        <f>SUMIF($AA$28:$AA$30,"industrie",V28:V30)</f>
        <v>0</v>
      </c>
      <c r="W32" s="585">
        <f>SUMIF($AA$28:$AA$30,"industrie",W28:W30)</f>
        <v>0</v>
      </c>
      <c r="X32" s="585"/>
      <c r="Y32" s="586"/>
      <c r="Z32" s="586"/>
      <c r="AA32" s="587"/>
    </row>
    <row r="33" spans="1:28" s="563" customFormat="1">
      <c r="A33" s="583" t="s">
        <v>277</v>
      </c>
      <c r="B33" s="584"/>
      <c r="C33" s="584"/>
      <c r="D33" s="584"/>
      <c r="E33" s="584"/>
      <c r="F33" s="584"/>
      <c r="G33" s="584"/>
      <c r="H33" s="584"/>
      <c r="I33" s="584"/>
      <c r="J33" s="584"/>
      <c r="K33" s="584"/>
      <c r="L33" s="585"/>
      <c r="M33" s="585">
        <f ca="1">SUMIF($AA$28:AD30,"tertiair",M28:M30)</f>
        <v>5.3</v>
      </c>
      <c r="N33" s="585">
        <f ca="1">SUMIF($AA$28:AE30,"tertiair",N28:N30)</f>
        <v>23.85</v>
      </c>
      <c r="O33" s="585">
        <f ca="1">SUMIF($AA$28:AF30,"tertiair",O28:O30)</f>
        <v>34.071428571428577</v>
      </c>
      <c r="P33" s="585">
        <f ca="1">SUMIF($AA$28:AG30,"tertiair",P28:P30)</f>
        <v>68.142857142857153</v>
      </c>
      <c r="Q33" s="585">
        <f ca="1">SUMIF($AA$28:AH30,"tertiair",Q28:Q30)</f>
        <v>0</v>
      </c>
      <c r="R33" s="585">
        <f ca="1">SUMIF($AA$28:AI30,"tertiair",R28:R30)</f>
        <v>0</v>
      </c>
      <c r="S33" s="585">
        <f ca="1">SUMIF($AA$28:AJ30,"tertiair",S28:S30)</f>
        <v>0</v>
      </c>
      <c r="T33" s="585">
        <f ca="1">SUMIF($AA$28:AK30,"tertiair",T28:T30)</f>
        <v>0</v>
      </c>
      <c r="U33" s="585">
        <f ca="1">SUMIF($AA$28:AL30,"tertiair",U28:U30)</f>
        <v>0</v>
      </c>
      <c r="V33" s="585">
        <f ca="1">SUMIF($AA$28:AM30,"tertiair",V28:V30)</f>
        <v>0</v>
      </c>
      <c r="W33" s="585">
        <f ca="1">SUMIF($AA$28:AN30,"tertiair",W28:W30)</f>
        <v>0</v>
      </c>
      <c r="X33" s="585"/>
      <c r="Y33" s="586"/>
      <c r="Z33" s="586"/>
      <c r="AA33" s="587"/>
    </row>
    <row r="34" spans="1:28" s="563" customFormat="1" ht="15.75" thickBot="1">
      <c r="A34" s="588" t="s">
        <v>278</v>
      </c>
      <c r="B34" s="589"/>
      <c r="C34" s="589"/>
      <c r="D34" s="589"/>
      <c r="E34" s="589"/>
      <c r="F34" s="589"/>
      <c r="G34" s="589"/>
      <c r="H34" s="589"/>
      <c r="I34" s="589"/>
      <c r="J34" s="589"/>
      <c r="K34" s="589"/>
      <c r="L34" s="590"/>
      <c r="M34" s="590">
        <f>SUMIF($AA$28:$AA$30,"landbouw",M28:M30)</f>
        <v>1</v>
      </c>
      <c r="N34" s="590">
        <f>SUMIF($AA$28:$AA$30,"landbouw",N28:N30)</f>
        <v>4.5</v>
      </c>
      <c r="O34" s="590">
        <f>SUMIF($AA$28:$AA$30,"landbouw",O28:O30)</f>
        <v>22.5</v>
      </c>
      <c r="P34" s="590">
        <f>SUMIF($AA$28:$AA$30,"landbouw",P28:P30)</f>
        <v>30</v>
      </c>
      <c r="Q34" s="590">
        <f>SUMIF($AA$28:$AA$30,"landbouw",Q28:Q30)</f>
        <v>0</v>
      </c>
      <c r="R34" s="590">
        <f>SUMIF($AA$28:$AA$30,"landbouw",R28:R30)</f>
        <v>0</v>
      </c>
      <c r="S34" s="590">
        <f>SUMIF($AA$28:$AA$30,"landbouw",S28:S30)</f>
        <v>0</v>
      </c>
      <c r="T34" s="590">
        <f>SUMIF($AA$28:$AA$30,"landbouw",T28:T30)</f>
        <v>0</v>
      </c>
      <c r="U34" s="590">
        <f>SUMIF($AA$28:$AA$30,"landbouw",U28:U30)</f>
        <v>0</v>
      </c>
      <c r="V34" s="590">
        <f>SUMIF($AA$28:$AA$30,"landbouw",V28:V30)</f>
        <v>0</v>
      </c>
      <c r="W34" s="590">
        <f>SUMIF($AA$28:$AA$30,"landbouw",W28:W30)</f>
        <v>0</v>
      </c>
      <c r="X34" s="590"/>
      <c r="Y34" s="591"/>
      <c r="Z34" s="591"/>
      <c r="AA34" s="592"/>
    </row>
    <row r="35" spans="1:28" s="532" customFormat="1" ht="15.75" thickBot="1">
      <c r="A35" s="593"/>
      <c r="B35" s="594"/>
      <c r="C35" s="594"/>
      <c r="D35" s="594"/>
      <c r="E35" s="594"/>
      <c r="F35" s="594"/>
      <c r="G35" s="594"/>
      <c r="H35" s="594"/>
      <c r="I35" s="594"/>
      <c r="J35" s="594"/>
      <c r="K35" s="594"/>
      <c r="L35" s="577"/>
      <c r="M35" s="577"/>
      <c r="N35" s="577"/>
      <c r="O35" s="578"/>
      <c r="P35" s="578"/>
    </row>
    <row r="36" spans="1:28"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533</v>
      </c>
      <c r="Q36" s="625" t="s">
        <v>96</v>
      </c>
      <c r="R36" s="625" t="s">
        <v>97</v>
      </c>
      <c r="S36" s="625" t="s">
        <v>98</v>
      </c>
      <c r="T36" s="625" t="s">
        <v>99</v>
      </c>
      <c r="U36" s="625" t="s">
        <v>100</v>
      </c>
      <c r="V36" s="625" t="s">
        <v>101</v>
      </c>
      <c r="W36" s="624" t="s">
        <v>102</v>
      </c>
      <c r="X36" s="624" t="s">
        <v>941</v>
      </c>
      <c r="Y36" s="624" t="s">
        <v>288</v>
      </c>
      <c r="Z36" s="624" t="s">
        <v>103</v>
      </c>
      <c r="AA36" s="626" t="s">
        <v>289</v>
      </c>
    </row>
    <row r="37" spans="1:28" s="596" customFormat="1" ht="12.75" hidden="1">
      <c r="A37" s="582"/>
      <c r="B37" s="740"/>
      <c r="C37" s="740"/>
      <c r="D37" s="630"/>
      <c r="E37" s="630"/>
      <c r="F37" s="630"/>
      <c r="G37" s="630"/>
      <c r="H37" s="630"/>
      <c r="I37" s="630"/>
      <c r="J37" s="739"/>
      <c r="K37" s="739"/>
      <c r="L37" s="630"/>
      <c r="M37" s="630"/>
      <c r="N37" s="630"/>
      <c r="O37" s="630"/>
      <c r="P37" s="630"/>
      <c r="Q37" s="630"/>
      <c r="R37" s="630"/>
      <c r="S37" s="630"/>
      <c r="T37" s="630"/>
      <c r="U37" s="630"/>
      <c r="V37" s="630"/>
      <c r="W37" s="630"/>
      <c r="X37" s="630"/>
      <c r="Y37" s="630"/>
      <c r="Z37" s="630"/>
      <c r="AA37" s="631"/>
    </row>
    <row r="38" spans="1:28"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5"/>
      <c r="Y38" s="586"/>
      <c r="Z38" s="586"/>
      <c r="AA38" s="587"/>
    </row>
    <row r="39" spans="1:28" s="563" customFormat="1">
      <c r="A39" s="583" t="s">
        <v>276</v>
      </c>
      <c r="B39" s="584"/>
      <c r="C39" s="584"/>
      <c r="D39" s="584"/>
      <c r="E39" s="584"/>
      <c r="F39" s="584"/>
      <c r="G39" s="584"/>
      <c r="H39" s="584"/>
      <c r="I39" s="584"/>
      <c r="J39" s="584"/>
      <c r="K39" s="584"/>
      <c r="L39" s="585"/>
      <c r="M39" s="585">
        <f>SUMIF($AA$37:$AA$37,"industrie",M37:M37)</f>
        <v>0</v>
      </c>
      <c r="N39" s="585">
        <f>SUMIF($AA$37:$AA$37,"industrie",N37:N37)</f>
        <v>0</v>
      </c>
      <c r="O39" s="585">
        <f>SUMIF($AA$37:$AA$37,"industrie",O37:O37)</f>
        <v>0</v>
      </c>
      <c r="P39" s="585">
        <f>SUMIF($AA$37:$AA$37,"industrie",P37:P37)</f>
        <v>0</v>
      </c>
      <c r="Q39" s="585">
        <f>SUMIF($AA$37:$AA$37,"industrie",Q37:Q37)</f>
        <v>0</v>
      </c>
      <c r="R39" s="585">
        <f>SUMIF($AA$37:$AA$37,"industrie",R37:R37)</f>
        <v>0</v>
      </c>
      <c r="S39" s="585">
        <f>SUMIF($AA$37:$AA$37,"industrie",S37:S37)</f>
        <v>0</v>
      </c>
      <c r="T39" s="585">
        <f>SUMIF($AA$37:$AA$37,"industrie",T37:T37)</f>
        <v>0</v>
      </c>
      <c r="U39" s="585">
        <f>SUMIF($AA$37:$AA$37,"industrie",U37:U37)</f>
        <v>0</v>
      </c>
      <c r="V39" s="585">
        <f>SUMIF($AA$37:$AA$37,"industrie",V37:V37)</f>
        <v>0</v>
      </c>
      <c r="W39" s="585">
        <f>SUMIF($AA$37:$AA$37,"industrie",W37:W37)</f>
        <v>0</v>
      </c>
      <c r="X39" s="585"/>
      <c r="Y39" s="586"/>
      <c r="Z39" s="586"/>
      <c r="AA39" s="587"/>
    </row>
    <row r="40" spans="1:28" s="563" customFormat="1">
      <c r="A40" s="583" t="s">
        <v>277</v>
      </c>
      <c r="B40" s="584"/>
      <c r="C40" s="584"/>
      <c r="D40" s="584"/>
      <c r="E40" s="584"/>
      <c r="F40" s="584"/>
      <c r="G40" s="584"/>
      <c r="H40" s="584"/>
      <c r="I40" s="584"/>
      <c r="J40" s="584"/>
      <c r="K40" s="584"/>
      <c r="L40" s="585"/>
      <c r="M40" s="585">
        <f>SUMIF($AA$37:$AA$38,"tertiair",M37:M38)</f>
        <v>0</v>
      </c>
      <c r="N40" s="585">
        <f>SUMIF($AA$37:$AA$38,"tertiair",N37:N38)</f>
        <v>0</v>
      </c>
      <c r="O40" s="585">
        <f>SUMIF($AA$37:$AA$38,"tertiair",O37:O38)</f>
        <v>0</v>
      </c>
      <c r="P40" s="585">
        <f>SUMIF($AA$37:$AA$38,"tertiair",P37:P38)</f>
        <v>0</v>
      </c>
      <c r="Q40" s="585">
        <f>SUMIF($AA$37:$AA$38,"tertiair",Q37:Q38)</f>
        <v>0</v>
      </c>
      <c r="R40" s="585">
        <f>SUMIF($AA$37:$AA$38,"tertiair",R37:R38)</f>
        <v>0</v>
      </c>
      <c r="S40" s="585">
        <f>SUMIF($AA$37:$AA$38,"tertiair",S37:S38)</f>
        <v>0</v>
      </c>
      <c r="T40" s="585">
        <f>SUMIF($AA$37:$AA$38,"tertiair",T37:T38)</f>
        <v>0</v>
      </c>
      <c r="U40" s="585">
        <f>SUMIF($AA$37:$AA$38,"tertiair",U37:U38)</f>
        <v>0</v>
      </c>
      <c r="V40" s="585">
        <f>SUMIF($AA$37:$AA$38,"tertiair",V37:V38)</f>
        <v>0</v>
      </c>
      <c r="W40" s="585">
        <f>SUMIF($AA$37:$AA$38,"tertiair",W37:W38)</f>
        <v>0</v>
      </c>
      <c r="X40" s="585"/>
      <c r="Y40" s="586"/>
      <c r="Z40" s="586"/>
      <c r="AA40" s="587"/>
    </row>
    <row r="41" spans="1:28" s="563" customFormat="1" ht="15.75" thickBot="1">
      <c r="A41" s="588" t="s">
        <v>278</v>
      </c>
      <c r="B41" s="589"/>
      <c r="C41" s="589"/>
      <c r="D41" s="589"/>
      <c r="E41" s="589"/>
      <c r="F41" s="589"/>
      <c r="G41" s="589"/>
      <c r="H41" s="589"/>
      <c r="I41" s="589"/>
      <c r="J41" s="589"/>
      <c r="K41" s="589"/>
      <c r="L41" s="590"/>
      <c r="M41" s="590">
        <f>SUMIF($AA$37:$AA$39,"landbouw",M37:M39)</f>
        <v>0</v>
      </c>
      <c r="N41" s="590">
        <f>SUMIF($AA$37:$AA$39,"landbouw",N37:N39)</f>
        <v>0</v>
      </c>
      <c r="O41" s="590">
        <f>SUMIF($AA$37:$AA$39,"landbouw",O37:O39)</f>
        <v>0</v>
      </c>
      <c r="P41" s="590">
        <f>SUMIF($AA$37:$AA$39,"landbouw",P37:P39)</f>
        <v>0</v>
      </c>
      <c r="Q41" s="590">
        <f>SUMIF($AA$37:$AA$39,"landbouw",Q37:Q39)</f>
        <v>0</v>
      </c>
      <c r="R41" s="590">
        <f>SUMIF($AA$37:$AA$39,"landbouw",R37:R39)</f>
        <v>0</v>
      </c>
      <c r="S41" s="590">
        <f>SUMIF($AA$37:$AA$39,"landbouw",S37:S39)</f>
        <v>0</v>
      </c>
      <c r="T41" s="590">
        <f>SUMIF($AA$37:$AA$39,"landbouw",T37:T39)</f>
        <v>0</v>
      </c>
      <c r="U41" s="590">
        <f>SUMIF($AA$37:$AA$39,"landbouw",U37:U39)</f>
        <v>0</v>
      </c>
      <c r="V41" s="590">
        <f>SUMIF($AA$37:$AA$39,"landbouw",V37:V39)</f>
        <v>0</v>
      </c>
      <c r="W41" s="590">
        <f>SUMIF($AA$37:$AA$39,"landbouw",W37:W39)</f>
        <v>0</v>
      </c>
      <c r="X41" s="590"/>
      <c r="Y41" s="591"/>
      <c r="Z41" s="591"/>
      <c r="AA41" s="592"/>
    </row>
    <row r="42" spans="1:28"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row>
    <row r="43" spans="1:28"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row>
    <row r="44" spans="1:28">
      <c r="A44" s="598" t="s">
        <v>271</v>
      </c>
      <c r="B44" s="599"/>
      <c r="C44" s="599"/>
      <c r="D44" s="599"/>
      <c r="E44" s="599"/>
      <c r="F44" s="599"/>
      <c r="G44" s="599"/>
      <c r="H44" s="599"/>
      <c r="I44" s="600"/>
      <c r="J44" s="601"/>
      <c r="K44" s="601"/>
      <c r="L44" s="602"/>
      <c r="M44" s="602"/>
      <c r="N44" s="602"/>
      <c r="O44" s="602"/>
      <c r="P44" s="602"/>
    </row>
    <row r="45" spans="1:28">
      <c r="A45" s="604"/>
      <c r="B45" s="594"/>
      <c r="C45" s="594"/>
      <c r="D45" s="594"/>
      <c r="E45" s="594"/>
      <c r="F45" s="594"/>
      <c r="G45" s="594"/>
      <c r="H45" s="594"/>
      <c r="I45" s="605"/>
      <c r="J45" s="594"/>
      <c r="K45" s="594"/>
      <c r="L45" s="602"/>
      <c r="M45" s="602"/>
      <c r="N45" s="602"/>
      <c r="O45" s="602"/>
      <c r="P45" s="602"/>
    </row>
    <row r="46" spans="1:28">
      <c r="A46" s="606"/>
      <c r="B46" s="607" t="s">
        <v>272</v>
      </c>
      <c r="C46" s="607" t="s">
        <v>273</v>
      </c>
      <c r="D46" s="607"/>
      <c r="E46" s="607"/>
      <c r="F46" s="607"/>
      <c r="G46" s="607"/>
      <c r="H46" s="607"/>
      <c r="I46" s="608"/>
      <c r="J46" s="607"/>
      <c r="K46" s="607"/>
      <c r="L46" s="607"/>
      <c r="M46" s="607"/>
      <c r="N46" s="607"/>
      <c r="O46" s="607"/>
      <c r="P46" s="602"/>
    </row>
    <row r="47" spans="1:28">
      <c r="A47" s="604" t="s">
        <v>269</v>
      </c>
      <c r="B47" s="609">
        <f>IF(ISERROR(O31/(O31+N31)),0,O31/(O31+N31))</f>
        <v>0.59054852699939331</v>
      </c>
      <c r="C47" s="610">
        <f>IF(ISERROR(N31/(O31+N31)),0,N31/(N31+O31))</f>
        <v>0.40945147300060669</v>
      </c>
      <c r="D47" s="577"/>
      <c r="E47" s="577"/>
      <c r="F47" s="577"/>
      <c r="G47" s="577"/>
      <c r="H47" s="577"/>
      <c r="I47" s="611"/>
      <c r="J47" s="577"/>
      <c r="K47" s="577"/>
      <c r="L47" s="612"/>
      <c r="M47" s="612"/>
      <c r="N47" s="612"/>
      <c r="O47" s="612"/>
      <c r="P47" s="602"/>
    </row>
    <row r="48" spans="1:28">
      <c r="A48" s="604"/>
      <c r="B48" s="613"/>
      <c r="C48" s="613"/>
      <c r="D48" s="613"/>
      <c r="E48" s="613"/>
      <c r="F48" s="613"/>
      <c r="G48" s="613"/>
      <c r="H48" s="613"/>
      <c r="I48" s="614"/>
      <c r="J48" s="613"/>
      <c r="K48" s="613"/>
      <c r="L48" s="615"/>
      <c r="M48" s="615"/>
      <c r="N48" s="615"/>
      <c r="O48" s="615"/>
      <c r="P48" s="602"/>
    </row>
    <row r="49" spans="1:16" ht="30">
      <c r="A49" s="616"/>
      <c r="B49" s="617" t="s">
        <v>533</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1377.3362621064696</v>
      </c>
      <c r="C50" s="619">
        <f t="shared" si="2"/>
        <v>0</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1986.5208807506735</v>
      </c>
      <c r="C51" s="622">
        <f t="shared" si="3"/>
        <v>0</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6"/>
  <sheetViews>
    <sheetView showGridLines="0" topLeftCell="A4" workbookViewId="0">
      <selection activeCell="A22" sqref="A22:H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410</v>
      </c>
      <c r="B1" s="347" t="s">
        <v>417</v>
      </c>
      <c r="C1" s="347" t="s">
        <v>416</v>
      </c>
      <c r="D1" s="347" t="s">
        <v>415</v>
      </c>
      <c r="E1" s="348" t="s">
        <v>411</v>
      </c>
      <c r="F1" s="349" t="s">
        <v>412</v>
      </c>
      <c r="G1" s="349" t="s">
        <v>413</v>
      </c>
      <c r="H1" s="349" t="s">
        <v>414</v>
      </c>
    </row>
    <row r="2" spans="1:9" s="12" customFormat="1">
      <c r="A2" s="1014" t="s">
        <v>879</v>
      </c>
      <c r="B2" s="1015" t="s">
        <v>897</v>
      </c>
      <c r="C2" s="1014" t="s">
        <v>694</v>
      </c>
      <c r="D2" s="1014" t="s">
        <v>762</v>
      </c>
      <c r="E2" s="860"/>
      <c r="F2" s="863" t="s">
        <v>746</v>
      </c>
      <c r="G2" s="863" t="s">
        <v>747</v>
      </c>
      <c r="H2" s="342" t="s">
        <v>748</v>
      </c>
    </row>
    <row r="3" spans="1:9" s="12" customFormat="1">
      <c r="A3" s="1014" t="s">
        <v>906</v>
      </c>
      <c r="B3" s="1015" t="s">
        <v>907</v>
      </c>
      <c r="C3" s="1014" t="s">
        <v>186</v>
      </c>
      <c r="D3" s="1016" t="s">
        <v>908</v>
      </c>
      <c r="E3" s="860"/>
      <c r="F3" s="861" t="s">
        <v>740</v>
      </c>
      <c r="G3" s="861" t="s">
        <v>741</v>
      </c>
      <c r="H3" s="861" t="s">
        <v>742</v>
      </c>
    </row>
    <row r="4" spans="1:9" s="840" customFormat="1">
      <c r="A4" s="859" t="s">
        <v>403</v>
      </c>
      <c r="B4" s="868">
        <v>2013</v>
      </c>
      <c r="C4" s="859" t="s">
        <v>403</v>
      </c>
      <c r="D4" s="859" t="s">
        <v>761</v>
      </c>
      <c r="E4" s="860"/>
      <c r="F4" s="861" t="s">
        <v>743</v>
      </c>
      <c r="G4" s="861" t="s">
        <v>744</v>
      </c>
      <c r="H4" s="861" t="s">
        <v>745</v>
      </c>
    </row>
    <row r="5" spans="1:9">
      <c r="A5" s="338" t="s">
        <v>392</v>
      </c>
      <c r="B5" s="339" t="s">
        <v>627</v>
      </c>
      <c r="C5" s="338" t="s">
        <v>392</v>
      </c>
      <c r="D5" s="338" t="s">
        <v>628</v>
      </c>
      <c r="E5" s="340"/>
      <c r="F5" s="341" t="s">
        <v>394</v>
      </c>
      <c r="G5" s="341" t="s">
        <v>395</v>
      </c>
      <c r="H5" s="342" t="s">
        <v>396</v>
      </c>
    </row>
    <row r="6" spans="1:9">
      <c r="A6" s="338" t="s">
        <v>397</v>
      </c>
      <c r="B6" s="339" t="s">
        <v>630</v>
      </c>
      <c r="C6" s="338" t="s">
        <v>397</v>
      </c>
      <c r="D6" s="338" t="s">
        <v>629</v>
      </c>
      <c r="E6" s="340"/>
      <c r="F6" s="341" t="s">
        <v>399</v>
      </c>
      <c r="G6" s="341" t="s">
        <v>400</v>
      </c>
      <c r="H6" s="342" t="s">
        <v>398</v>
      </c>
    </row>
    <row r="7" spans="1:9">
      <c r="A7" s="343" t="s">
        <v>429</v>
      </c>
      <c r="B7" s="345" t="s">
        <v>430</v>
      </c>
      <c r="C7" s="343" t="s">
        <v>432</v>
      </c>
      <c r="D7" s="343" t="s">
        <v>428</v>
      </c>
      <c r="E7" s="340" t="s">
        <v>431</v>
      </c>
      <c r="F7" s="341"/>
      <c r="G7" s="341"/>
      <c r="H7" s="342"/>
    </row>
    <row r="8" spans="1:9" s="840" customFormat="1">
      <c r="A8" s="343" t="s">
        <v>749</v>
      </c>
      <c r="B8" s="743">
        <v>2013</v>
      </c>
      <c r="C8" s="343" t="s">
        <v>403</v>
      </c>
      <c r="D8" s="343" t="s">
        <v>898</v>
      </c>
      <c r="E8" s="864" t="s">
        <v>750</v>
      </c>
      <c r="F8" s="341"/>
      <c r="G8" s="341"/>
      <c r="H8" s="342"/>
    </row>
    <row r="9" spans="1:9" s="12" customFormat="1">
      <c r="A9" s="859" t="s">
        <v>777</v>
      </c>
      <c r="B9" s="862" t="s">
        <v>780</v>
      </c>
      <c r="C9" s="859" t="s">
        <v>779</v>
      </c>
      <c r="D9" s="859" t="s">
        <v>778</v>
      </c>
      <c r="E9" s="860" t="s">
        <v>776</v>
      </c>
      <c r="F9" s="863"/>
      <c r="G9" s="863"/>
      <c r="H9" s="342"/>
    </row>
    <row r="10" spans="1:9">
      <c r="A10" s="343" t="s">
        <v>604</v>
      </c>
      <c r="B10" s="339" t="s">
        <v>605</v>
      </c>
      <c r="C10" s="343" t="s">
        <v>609</v>
      </c>
      <c r="D10" s="343" t="s">
        <v>610</v>
      </c>
      <c r="E10" s="340"/>
      <c r="F10" s="341" t="s">
        <v>606</v>
      </c>
      <c r="G10" s="341" t="s">
        <v>607</v>
      </c>
      <c r="H10" s="342" t="s">
        <v>608</v>
      </c>
    </row>
    <row r="11" spans="1:9" s="840" customFormat="1">
      <c r="A11" s="859" t="s">
        <v>763</v>
      </c>
      <c r="B11" s="868">
        <v>2017</v>
      </c>
      <c r="C11" s="859" t="s">
        <v>422</v>
      </c>
      <c r="D11" s="859" t="s">
        <v>764</v>
      </c>
      <c r="E11" s="864"/>
      <c r="F11" s="863" t="s">
        <v>746</v>
      </c>
      <c r="G11" s="863" t="s">
        <v>747</v>
      </c>
      <c r="H11" s="342" t="s">
        <v>748</v>
      </c>
    </row>
    <row r="12" spans="1:9" s="11" customFormat="1">
      <c r="A12" s="343" t="s">
        <v>405</v>
      </c>
      <c r="B12" s="339" t="s">
        <v>421</v>
      </c>
      <c r="C12" s="338"/>
      <c r="D12" s="346" t="s">
        <v>420</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404</v>
      </c>
      <c r="B14" s="339" t="s">
        <v>393</v>
      </c>
      <c r="C14" s="338" t="s">
        <v>404</v>
      </c>
      <c r="D14" s="338" t="s">
        <v>418</v>
      </c>
      <c r="E14" s="340"/>
      <c r="F14" s="341" t="s">
        <v>793</v>
      </c>
      <c r="G14" s="341" t="s">
        <v>794</v>
      </c>
      <c r="H14" s="342" t="s">
        <v>795</v>
      </c>
    </row>
    <row r="15" spans="1:9" s="840" customFormat="1">
      <c r="A15" s="866" t="s">
        <v>755</v>
      </c>
      <c r="B15" s="867" t="s">
        <v>756</v>
      </c>
      <c r="C15" s="866" t="s">
        <v>757</v>
      </c>
      <c r="D15" s="1013" t="s">
        <v>899</v>
      </c>
      <c r="E15" s="638"/>
      <c r="F15" s="863" t="s">
        <v>758</v>
      </c>
      <c r="G15" s="863" t="s">
        <v>759</v>
      </c>
      <c r="H15" s="342" t="s">
        <v>760</v>
      </c>
    </row>
    <row r="16" spans="1:9">
      <c r="A16" s="338" t="s">
        <v>506</v>
      </c>
      <c r="B16" s="339" t="s">
        <v>369</v>
      </c>
      <c r="C16" s="338" t="s">
        <v>367</v>
      </c>
      <c r="D16" s="346" t="s">
        <v>368</v>
      </c>
      <c r="E16" s="340" t="s">
        <v>370</v>
      </c>
      <c r="F16" s="865" t="s">
        <v>751</v>
      </c>
      <c r="G16" s="865" t="s">
        <v>752</v>
      </c>
      <c r="H16" s="342" t="s">
        <v>753</v>
      </c>
      <c r="I16" s="840"/>
    </row>
    <row r="17" spans="1:9" s="840" customFormat="1">
      <c r="A17" s="338" t="s">
        <v>506</v>
      </c>
      <c r="B17" s="339" t="s">
        <v>785</v>
      </c>
      <c r="C17" s="338" t="s">
        <v>789</v>
      </c>
      <c r="D17" s="346" t="s">
        <v>790</v>
      </c>
      <c r="E17" s="340"/>
      <c r="F17" s="865" t="s">
        <v>751</v>
      </c>
      <c r="G17" s="865" t="s">
        <v>752</v>
      </c>
      <c r="H17" s="342" t="s">
        <v>753</v>
      </c>
    </row>
    <row r="18" spans="1:9">
      <c r="A18" s="343" t="s">
        <v>505</v>
      </c>
      <c r="B18" s="345" t="s">
        <v>393</v>
      </c>
      <c r="C18" s="343" t="s">
        <v>422</v>
      </c>
      <c r="D18" s="343" t="s">
        <v>365</v>
      </c>
      <c r="E18" s="340"/>
      <c r="F18" s="861" t="s">
        <v>751</v>
      </c>
      <c r="G18" s="865" t="s">
        <v>752</v>
      </c>
      <c r="H18" s="342" t="s">
        <v>753</v>
      </c>
      <c r="I18" s="840"/>
    </row>
    <row r="19" spans="1:9">
      <c r="A19" s="343" t="s">
        <v>505</v>
      </c>
      <c r="B19" s="805" t="s">
        <v>627</v>
      </c>
      <c r="C19" s="343" t="s">
        <v>422</v>
      </c>
      <c r="D19" s="343" t="s">
        <v>659</v>
      </c>
      <c r="E19" s="340"/>
      <c r="F19" s="861" t="s">
        <v>751</v>
      </c>
      <c r="G19" s="865" t="s">
        <v>754</v>
      </c>
      <c r="H19" s="342" t="s">
        <v>753</v>
      </c>
    </row>
    <row r="20" spans="1:9" s="1019" customFormat="1">
      <c r="A20" s="343" t="s">
        <v>505</v>
      </c>
      <c r="B20" s="805" t="s">
        <v>925</v>
      </c>
      <c r="C20" s="343" t="s">
        <v>924</v>
      </c>
      <c r="D20" s="343"/>
      <c r="E20" s="344" t="s">
        <v>926</v>
      </c>
      <c r="F20" s="861"/>
      <c r="G20" s="865"/>
      <c r="H20" s="342"/>
    </row>
    <row r="21" spans="1:9">
      <c r="A21" s="343" t="s">
        <v>186</v>
      </c>
      <c r="B21" s="743" t="s">
        <v>702</v>
      </c>
      <c r="C21" s="343" t="s">
        <v>423</v>
      </c>
      <c r="D21" s="343" t="s">
        <v>424</v>
      </c>
      <c r="E21" s="340"/>
      <c r="F21" s="341" t="s">
        <v>425</v>
      </c>
      <c r="G21" s="341" t="s">
        <v>426</v>
      </c>
      <c r="H21" s="342" t="s">
        <v>427</v>
      </c>
    </row>
    <row r="22" spans="1:9" s="12" customFormat="1">
      <c r="A22" s="1017" t="s">
        <v>928</v>
      </c>
      <c r="B22" s="1018" t="s">
        <v>929</v>
      </c>
      <c r="C22" s="1017" t="s">
        <v>186</v>
      </c>
      <c r="D22" s="1017" t="s">
        <v>930</v>
      </c>
      <c r="E22" s="340"/>
      <c r="F22" s="1025" t="s">
        <v>740</v>
      </c>
      <c r="G22" s="1025" t="s">
        <v>741</v>
      </c>
      <c r="H22" s="1025" t="s">
        <v>742</v>
      </c>
    </row>
    <row r="23" spans="1:9">
      <c r="A23" s="343" t="s">
        <v>404</v>
      </c>
      <c r="B23" s="339" t="s">
        <v>785</v>
      </c>
      <c r="C23" s="343" t="s">
        <v>404</v>
      </c>
      <c r="D23" s="343" t="s">
        <v>786</v>
      </c>
      <c r="E23" s="340" t="s">
        <v>419</v>
      </c>
      <c r="F23" s="341" t="s">
        <v>796</v>
      </c>
      <c r="G23" s="341" t="s">
        <v>797</v>
      </c>
      <c r="H23" s="342" t="s">
        <v>798</v>
      </c>
    </row>
    <row r="24" spans="1:9" s="840" customFormat="1">
      <c r="A24" s="343" t="s">
        <v>404</v>
      </c>
      <c r="B24" s="339" t="s">
        <v>787</v>
      </c>
      <c r="C24" s="343" t="s">
        <v>404</v>
      </c>
      <c r="D24" s="343" t="s">
        <v>788</v>
      </c>
      <c r="E24" s="340"/>
      <c r="F24" s="341" t="s">
        <v>799</v>
      </c>
      <c r="G24" s="341" t="s">
        <v>800</v>
      </c>
      <c r="H24" s="342" t="s">
        <v>801</v>
      </c>
    </row>
    <row r="25" spans="1:9">
      <c r="A25" s="338" t="s">
        <v>402</v>
      </c>
      <c r="B25" s="339" t="s">
        <v>631</v>
      </c>
      <c r="C25" s="338" t="s">
        <v>402</v>
      </c>
      <c r="D25" s="346" t="s">
        <v>632</v>
      </c>
      <c r="E25" s="340" t="s">
        <v>419</v>
      </c>
      <c r="F25" s="341" t="s">
        <v>802</v>
      </c>
      <c r="G25" s="341" t="s">
        <v>803</v>
      </c>
      <c r="H25" s="342" t="s">
        <v>804</v>
      </c>
    </row>
    <row r="26" spans="1:9" s="840" customFormat="1">
      <c r="A26" s="343" t="s">
        <v>402</v>
      </c>
      <c r="B26" s="339" t="s">
        <v>631</v>
      </c>
      <c r="C26" s="343" t="s">
        <v>402</v>
      </c>
      <c r="D26" s="343" t="s">
        <v>791</v>
      </c>
      <c r="E26" s="340" t="s">
        <v>792</v>
      </c>
      <c r="F26" s="341" t="s">
        <v>802</v>
      </c>
      <c r="G26" s="341" t="s">
        <v>803</v>
      </c>
      <c r="H26" s="342" t="s">
        <v>804</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 ref="E20" r:id="rId10" xr:uid="{847FEB05-CD08-4254-B6D7-A75B1934FA2C}"/>
  </hyperlinks>
  <pageMargins left="0.7" right="0.7" top="0.75" bottom="0.75" header="0.3" footer="0.3"/>
  <pageSetup paperSize="9" orientation="portrait" r:id="rId11"/>
  <ignoredErrors>
    <ignoredError sqref="B7 B12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0"/>
  <sheetViews>
    <sheetView topLeftCell="A43" workbookViewId="0">
      <selection activeCell="D60" sqref="D60"/>
    </sheetView>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21" t="s">
        <v>593</v>
      </c>
      <c r="B1" s="721" t="s">
        <v>594</v>
      </c>
      <c r="C1" s="721" t="s">
        <v>596</v>
      </c>
      <c r="D1" s="721" t="s">
        <v>595</v>
      </c>
    </row>
    <row r="2" spans="1:4">
      <c r="A2" t="s">
        <v>613</v>
      </c>
      <c r="B2" s="719">
        <v>41877</v>
      </c>
      <c r="C2" t="s">
        <v>618</v>
      </c>
      <c r="D2" s="734" t="s">
        <v>614</v>
      </c>
    </row>
    <row r="3" spans="1:4">
      <c r="A3" t="s">
        <v>613</v>
      </c>
      <c r="B3" s="719">
        <v>41877</v>
      </c>
      <c r="C3" t="s">
        <v>616</v>
      </c>
      <c r="D3" s="720" t="s">
        <v>615</v>
      </c>
    </row>
    <row r="4" spans="1:4">
      <c r="A4" t="s">
        <v>613</v>
      </c>
      <c r="B4" s="719">
        <v>41877</v>
      </c>
      <c r="C4" t="s">
        <v>617</v>
      </c>
      <c r="D4" s="734" t="s">
        <v>619</v>
      </c>
    </row>
    <row r="5" spans="1:4">
      <c r="A5" t="s">
        <v>613</v>
      </c>
      <c r="B5" s="719">
        <v>41877</v>
      </c>
      <c r="C5" t="s">
        <v>620</v>
      </c>
      <c r="D5" s="720" t="s">
        <v>621</v>
      </c>
    </row>
    <row r="6" spans="1:4">
      <c r="A6" t="s">
        <v>613</v>
      </c>
      <c r="B6" s="719">
        <v>41883</v>
      </c>
      <c r="C6" t="s">
        <v>635</v>
      </c>
      <c r="D6" s="720" t="s">
        <v>636</v>
      </c>
    </row>
    <row r="7" spans="1:4">
      <c r="A7" t="s">
        <v>613</v>
      </c>
      <c r="B7" s="719">
        <v>41885</v>
      </c>
      <c r="C7" t="s">
        <v>651</v>
      </c>
      <c r="D7" s="720" t="s">
        <v>650</v>
      </c>
    </row>
    <row r="8" spans="1:4">
      <c r="A8" t="s">
        <v>613</v>
      </c>
      <c r="B8" s="719">
        <v>41885</v>
      </c>
      <c r="C8" t="s">
        <v>651</v>
      </c>
      <c r="D8" s="720" t="s">
        <v>652</v>
      </c>
    </row>
    <row r="9" spans="1:4">
      <c r="A9" t="s">
        <v>613</v>
      </c>
      <c r="B9" s="719">
        <v>41892</v>
      </c>
      <c r="C9" t="s">
        <v>653</v>
      </c>
      <c r="D9" s="720" t="s">
        <v>654</v>
      </c>
    </row>
    <row r="10" spans="1:4">
      <c r="A10" t="s">
        <v>613</v>
      </c>
      <c r="B10" s="719">
        <v>41892</v>
      </c>
      <c r="C10" t="s">
        <v>655</v>
      </c>
      <c r="D10" s="720" t="s">
        <v>656</v>
      </c>
    </row>
    <row r="11" spans="1:4">
      <c r="A11" t="s">
        <v>613</v>
      </c>
      <c r="B11" s="719">
        <v>41892</v>
      </c>
      <c r="C11" t="s">
        <v>665</v>
      </c>
      <c r="D11" s="720" t="s">
        <v>664</v>
      </c>
    </row>
    <row r="12" spans="1:4">
      <c r="A12" t="s">
        <v>613</v>
      </c>
      <c r="B12" s="833">
        <v>41914</v>
      </c>
      <c r="C12" s="835" t="s">
        <v>672</v>
      </c>
      <c r="D12" s="834" t="s">
        <v>666</v>
      </c>
    </row>
    <row r="13" spans="1:4">
      <c r="A13" t="s">
        <v>613</v>
      </c>
      <c r="B13" s="833">
        <v>41914</v>
      </c>
      <c r="C13" s="835" t="s">
        <v>673</v>
      </c>
      <c r="D13" s="834" t="s">
        <v>667</v>
      </c>
    </row>
    <row r="14" spans="1:4">
      <c r="A14" t="s">
        <v>613</v>
      </c>
      <c r="B14" s="833">
        <v>41914</v>
      </c>
      <c r="C14" s="832" t="s">
        <v>668</v>
      </c>
      <c r="D14" s="834" t="s">
        <v>669</v>
      </c>
    </row>
    <row r="15" spans="1:4">
      <c r="A15" t="s">
        <v>613</v>
      </c>
      <c r="B15" s="833">
        <v>41914</v>
      </c>
      <c r="C15" s="832" t="s">
        <v>670</v>
      </c>
      <c r="D15" s="834" t="s">
        <v>671</v>
      </c>
    </row>
    <row r="16" spans="1:4">
      <c r="A16" t="s">
        <v>613</v>
      </c>
      <c r="B16" s="837">
        <v>41914</v>
      </c>
      <c r="C16" s="836" t="s">
        <v>674</v>
      </c>
      <c r="D16" s="734" t="s">
        <v>675</v>
      </c>
    </row>
    <row r="17" spans="1:4">
      <c r="A17" s="840" t="s">
        <v>613</v>
      </c>
      <c r="B17" s="837">
        <v>41914</v>
      </c>
      <c r="C17" t="s">
        <v>689</v>
      </c>
      <c r="D17" s="839" t="s">
        <v>676</v>
      </c>
    </row>
    <row r="18" spans="1:4">
      <c r="A18" s="840" t="s">
        <v>613</v>
      </c>
      <c r="B18" s="837">
        <v>41914</v>
      </c>
      <c r="C18" t="s">
        <v>677</v>
      </c>
      <c r="D18" s="846" t="s">
        <v>678</v>
      </c>
    </row>
    <row r="19" spans="1:4">
      <c r="A19" s="840" t="s">
        <v>613</v>
      </c>
      <c r="B19" s="837">
        <v>41914</v>
      </c>
      <c r="C19" t="s">
        <v>679</v>
      </c>
      <c r="D19" s="846" t="s">
        <v>680</v>
      </c>
    </row>
    <row r="20" spans="1:4">
      <c r="A20" s="840" t="s">
        <v>613</v>
      </c>
      <c r="B20" s="837">
        <v>41914</v>
      </c>
      <c r="C20" t="s">
        <v>690</v>
      </c>
      <c r="D20" s="846" t="s">
        <v>681</v>
      </c>
    </row>
    <row r="21" spans="1:4">
      <c r="A21" s="840" t="s">
        <v>613</v>
      </c>
      <c r="B21" s="837">
        <v>41914</v>
      </c>
      <c r="C21" t="s">
        <v>682</v>
      </c>
      <c r="D21" s="845" t="s">
        <v>687</v>
      </c>
    </row>
    <row r="22" spans="1:4">
      <c r="A22" s="840" t="s">
        <v>613</v>
      </c>
      <c r="B22" s="837">
        <v>41914</v>
      </c>
      <c r="C22" t="s">
        <v>683</v>
      </c>
      <c r="D22" s="846" t="s">
        <v>684</v>
      </c>
    </row>
    <row r="23" spans="1:4">
      <c r="A23" s="840" t="s">
        <v>613</v>
      </c>
      <c r="B23" s="837">
        <v>41914</v>
      </c>
      <c r="C23" t="s">
        <v>688</v>
      </c>
      <c r="D23" s="846" t="s">
        <v>685</v>
      </c>
    </row>
    <row r="24" spans="1:4">
      <c r="A24" s="840" t="s">
        <v>613</v>
      </c>
      <c r="B24" s="837">
        <v>41925</v>
      </c>
      <c r="C24" t="s">
        <v>691</v>
      </c>
      <c r="D24" s="846" t="s">
        <v>692</v>
      </c>
    </row>
    <row r="25" spans="1:4">
      <c r="A25" t="s">
        <v>613</v>
      </c>
      <c r="B25" s="837">
        <v>41967</v>
      </c>
      <c r="C25" t="s">
        <v>697</v>
      </c>
      <c r="D25" s="845" t="s">
        <v>696</v>
      </c>
    </row>
    <row r="26" spans="1:4">
      <c r="A26" t="s">
        <v>698</v>
      </c>
      <c r="B26" s="837">
        <v>42275</v>
      </c>
      <c r="C26" t="s">
        <v>699</v>
      </c>
      <c r="D26" s="845" t="s">
        <v>705</v>
      </c>
    </row>
    <row r="27" spans="1:4">
      <c r="A27" t="s">
        <v>698</v>
      </c>
      <c r="B27" s="837">
        <v>42275</v>
      </c>
      <c r="C27" t="s">
        <v>700</v>
      </c>
      <c r="D27" s="845" t="s">
        <v>706</v>
      </c>
    </row>
    <row r="28" spans="1:4">
      <c r="A28" t="s">
        <v>698</v>
      </c>
      <c r="B28" s="837">
        <v>42275</v>
      </c>
      <c r="C28" t="s">
        <v>701</v>
      </c>
      <c r="D28" s="845" t="s">
        <v>707</v>
      </c>
    </row>
    <row r="29" spans="1:4">
      <c r="A29" t="s">
        <v>698</v>
      </c>
      <c r="B29" s="837">
        <v>42283</v>
      </c>
      <c r="C29" t="s">
        <v>708</v>
      </c>
      <c r="D29" s="846" t="s">
        <v>709</v>
      </c>
    </row>
    <row r="30" spans="1:4">
      <c r="A30" s="840" t="s">
        <v>725</v>
      </c>
      <c r="B30" s="849">
        <v>42538</v>
      </c>
      <c r="C30" s="849" t="s">
        <v>710</v>
      </c>
      <c r="D30" s="849"/>
    </row>
    <row r="31" spans="1:4">
      <c r="A31" s="840" t="s">
        <v>725</v>
      </c>
      <c r="B31" s="849">
        <v>42538</v>
      </c>
      <c r="C31" s="849" t="s">
        <v>711</v>
      </c>
      <c r="D31" s="850" t="s">
        <v>712</v>
      </c>
    </row>
    <row r="32" spans="1:4">
      <c r="A32" s="840" t="s">
        <v>725</v>
      </c>
      <c r="B32" s="849">
        <v>42538</v>
      </c>
      <c r="C32" s="849" t="s">
        <v>713</v>
      </c>
      <c r="D32" s="851" t="s">
        <v>714</v>
      </c>
    </row>
    <row r="33" spans="1:4">
      <c r="A33" s="840" t="s">
        <v>725</v>
      </c>
      <c r="B33" s="849">
        <v>42538</v>
      </c>
      <c r="C33" s="849" t="s">
        <v>715</v>
      </c>
      <c r="D33" s="850" t="s">
        <v>675</v>
      </c>
    </row>
    <row r="34" spans="1:4">
      <c r="A34" t="s">
        <v>736</v>
      </c>
      <c r="B34" s="719">
        <v>42877</v>
      </c>
      <c r="C34" s="840" t="s">
        <v>782</v>
      </c>
      <c r="D34" s="845" t="s">
        <v>737</v>
      </c>
    </row>
    <row r="35" spans="1:4">
      <c r="A35" s="840" t="s">
        <v>736</v>
      </c>
      <c r="B35" s="719">
        <v>42877</v>
      </c>
      <c r="C35" s="840" t="s">
        <v>783</v>
      </c>
      <c r="D35" s="846" t="s">
        <v>738</v>
      </c>
    </row>
    <row r="36" spans="1:4">
      <c r="A36" s="840" t="s">
        <v>736</v>
      </c>
      <c r="B36" s="719">
        <v>42877</v>
      </c>
      <c r="C36" s="840" t="s">
        <v>784</v>
      </c>
      <c r="D36" s="846" t="s">
        <v>739</v>
      </c>
    </row>
    <row r="37" spans="1:4">
      <c r="A37" t="s">
        <v>766</v>
      </c>
      <c r="B37" s="719">
        <v>43166</v>
      </c>
      <c r="C37" s="849" t="s">
        <v>767</v>
      </c>
      <c r="D37" s="846" t="s">
        <v>768</v>
      </c>
    </row>
    <row r="38" spans="1:4">
      <c r="A38" t="s">
        <v>766</v>
      </c>
      <c r="B38" s="719">
        <v>43166</v>
      </c>
      <c r="C38" s="849" t="s">
        <v>769</v>
      </c>
      <c r="D38" s="845" t="s">
        <v>770</v>
      </c>
    </row>
    <row r="39" spans="1:4">
      <c r="A39" t="s">
        <v>766</v>
      </c>
      <c r="B39" s="719">
        <v>43166</v>
      </c>
      <c r="C39" s="849" t="s">
        <v>771</v>
      </c>
      <c r="D39" s="845" t="s">
        <v>772</v>
      </c>
    </row>
    <row r="40" spans="1:4">
      <c r="A40" t="s">
        <v>766</v>
      </c>
      <c r="B40" s="719">
        <v>43166</v>
      </c>
      <c r="C40" s="849" t="s">
        <v>773</v>
      </c>
      <c r="D40" s="845" t="s">
        <v>774</v>
      </c>
    </row>
    <row r="41" spans="1:4">
      <c r="A41" t="s">
        <v>766</v>
      </c>
      <c r="B41" s="719">
        <v>43278</v>
      </c>
      <c r="C41" s="849" t="s">
        <v>805</v>
      </c>
    </row>
    <row r="42" spans="1:4">
      <c r="A42" t="s">
        <v>807</v>
      </c>
      <c r="B42" s="719">
        <v>43424</v>
      </c>
      <c r="C42" s="849" t="s">
        <v>806</v>
      </c>
    </row>
    <row r="43" spans="1:4">
      <c r="A43" t="s">
        <v>851</v>
      </c>
      <c r="B43" s="719">
        <v>43573</v>
      </c>
      <c r="C43" s="849" t="s">
        <v>852</v>
      </c>
    </row>
    <row r="44" spans="1:4">
      <c r="A44" t="s">
        <v>873</v>
      </c>
      <c r="B44" s="719">
        <v>43678</v>
      </c>
      <c r="C44" s="849" t="s">
        <v>874</v>
      </c>
      <c r="D44" s="845" t="s">
        <v>696</v>
      </c>
    </row>
    <row r="45" spans="1:4">
      <c r="A45" t="s">
        <v>878</v>
      </c>
      <c r="B45" s="999">
        <v>43930</v>
      </c>
      <c r="C45" s="1004" t="s">
        <v>875</v>
      </c>
      <c r="D45" s="998" t="s">
        <v>876</v>
      </c>
    </row>
    <row r="46" spans="1:4">
      <c r="A46" s="997" t="s">
        <v>878</v>
      </c>
      <c r="B46" s="999">
        <v>43930</v>
      </c>
      <c r="C46" s="1004" t="s">
        <v>877</v>
      </c>
      <c r="D46" s="998" t="s">
        <v>876</v>
      </c>
    </row>
    <row r="47" spans="1:4">
      <c r="A47" s="1001" t="s">
        <v>878</v>
      </c>
      <c r="B47" s="1002">
        <v>43943</v>
      </c>
      <c r="C47" t="s">
        <v>882</v>
      </c>
      <c r="D47" s="1005" t="s">
        <v>737</v>
      </c>
    </row>
    <row r="48" spans="1:4">
      <c r="A48" s="1004" t="s">
        <v>878</v>
      </c>
      <c r="B48" s="1006">
        <v>43943</v>
      </c>
      <c r="C48" t="s">
        <v>880</v>
      </c>
      <c r="D48" s="1007" t="s">
        <v>738</v>
      </c>
    </row>
    <row r="49" spans="1:4">
      <c r="A49" s="1004" t="s">
        <v>878</v>
      </c>
      <c r="B49" s="1006">
        <v>43943</v>
      </c>
      <c r="C49" t="s">
        <v>881</v>
      </c>
      <c r="D49" s="1007" t="s">
        <v>739</v>
      </c>
    </row>
    <row r="50" spans="1:4">
      <c r="A50" s="1004" t="s">
        <v>878</v>
      </c>
      <c r="B50" s="1006">
        <v>43943</v>
      </c>
      <c r="C50" t="s">
        <v>883</v>
      </c>
      <c r="D50" s="1007" t="s">
        <v>884</v>
      </c>
    </row>
    <row r="51" spans="1:4">
      <c r="A51" t="s">
        <v>878</v>
      </c>
      <c r="B51" s="1006">
        <v>43951</v>
      </c>
      <c r="C51" t="s">
        <v>885</v>
      </c>
      <c r="D51" s="1007" t="s">
        <v>886</v>
      </c>
    </row>
    <row r="52" spans="1:4">
      <c r="A52" t="s">
        <v>888</v>
      </c>
      <c r="B52" s="1006">
        <v>44315</v>
      </c>
      <c r="C52" t="s">
        <v>889</v>
      </c>
      <c r="D52" s="1005" t="s">
        <v>705</v>
      </c>
    </row>
    <row r="53" spans="1:4">
      <c r="A53" s="1019" t="s">
        <v>888</v>
      </c>
      <c r="B53" s="1020">
        <v>44326</v>
      </c>
      <c r="C53" s="1023" t="s">
        <v>900</v>
      </c>
      <c r="D53" s="1022" t="s">
        <v>901</v>
      </c>
    </row>
    <row r="54" spans="1:4">
      <c r="A54" s="1019" t="s">
        <v>888</v>
      </c>
      <c r="B54" s="1020">
        <v>44326</v>
      </c>
      <c r="C54" s="1023" t="s">
        <v>902</v>
      </c>
      <c r="D54" s="1022" t="s">
        <v>903</v>
      </c>
    </row>
    <row r="55" spans="1:4">
      <c r="A55" s="1019" t="s">
        <v>888</v>
      </c>
      <c r="B55" s="1020">
        <v>44326</v>
      </c>
      <c r="C55" s="1023" t="s">
        <v>904</v>
      </c>
      <c r="D55" s="1021" t="s">
        <v>738</v>
      </c>
    </row>
    <row r="56" spans="1:4">
      <c r="A56" s="1019" t="s">
        <v>888</v>
      </c>
      <c r="B56" s="1020">
        <v>44326</v>
      </c>
      <c r="C56" s="1023" t="s">
        <v>905</v>
      </c>
      <c r="D56" s="1022" t="s">
        <v>737</v>
      </c>
    </row>
    <row r="57" spans="1:4">
      <c r="A57" t="s">
        <v>920</v>
      </c>
      <c r="B57" s="1020">
        <v>44699</v>
      </c>
      <c r="C57" s="1023" t="s">
        <v>921</v>
      </c>
    </row>
    <row r="58" spans="1:4">
      <c r="A58" s="1019" t="s">
        <v>920</v>
      </c>
      <c r="B58" s="719">
        <v>44768</v>
      </c>
      <c r="C58" s="1026" t="s">
        <v>931</v>
      </c>
      <c r="D58" s="1021" t="s">
        <v>738</v>
      </c>
    </row>
    <row r="59" spans="1:4">
      <c r="A59" s="1019" t="s">
        <v>920</v>
      </c>
      <c r="B59" s="719">
        <v>44768</v>
      </c>
      <c r="C59" s="1026" t="s">
        <v>932</v>
      </c>
      <c r="D59" s="1022" t="s">
        <v>737</v>
      </c>
    </row>
    <row r="60" spans="1:4">
      <c r="A60" s="1019" t="s">
        <v>920</v>
      </c>
      <c r="B60" s="719">
        <v>44768</v>
      </c>
      <c r="C60" s="719" t="s">
        <v>935</v>
      </c>
      <c r="D60" s="1022" t="s">
        <v>936</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 ref="D59" location="'ECF transport '!A1" display="'ECF transport '!A1" xr:uid="{ACF5082F-4BC4-49AE-8244-A04B8AED973D}"/>
    <hyperlink ref="D58" location="transport!A21" display="transport!A21" xr:uid="{3032FD83-8731-490F-B72A-5735A36EDB0C}"/>
    <hyperlink ref="D60" location="'lokale energieproductie'!X27" display="lokale energieproductie'!X27" xr:uid="{0A1BB00E-8ADE-4252-8CB1-86E37FA95B66}"/>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212</vt:i4>
      </vt:variant>
    </vt:vector>
  </HeadingPairs>
  <TitlesOfParts>
    <vt:vector size="243"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2022-07-26T12:41:06Z</dcterms:modified>
</cp:coreProperties>
</file>