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95DD96B7-210D-4847-84B4-DDE04C4F1BCA}"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37" i="18"/>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c r="V37" i="18"/>
  <c r="Q37" i="18"/>
  <c r="R37" i="18"/>
  <c r="J9" i="18"/>
  <c r="U37" i="18"/>
  <c r="T37" i="18"/>
  <c r="I9" i="18"/>
  <c r="P37" i="18"/>
  <c r="C9" i="18"/>
  <c r="O37" i="18"/>
  <c r="N37" i="18"/>
  <c r="B9"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c r="M30" i="18"/>
  <c r="G22" i="18"/>
  <c r="F22" i="18"/>
  <c r="E22" i="18"/>
  <c r="D22" i="18"/>
  <c r="C22" i="18"/>
  <c r="L20" i="18"/>
  <c r="D20" i="18"/>
  <c r="G12" i="18"/>
  <c r="F12" i="18"/>
  <c r="E12" i="18"/>
  <c r="D12" i="18"/>
  <c r="C12" i="18"/>
  <c r="L10" i="18"/>
  <c r="K10" i="18"/>
  <c r="G10" i="18"/>
  <c r="D10" i="18"/>
  <c r="B6" i="18"/>
  <c r="B5" i="18"/>
  <c r="B4" i="18"/>
  <c r="B46" i="18"/>
  <c r="F50" i="18"/>
  <c r="F20" i="18"/>
  <c r="B17" i="18"/>
  <c r="C46" i="18"/>
  <c r="B49" i="18"/>
  <c r="C8" i="18"/>
  <c r="G20" i="18"/>
  <c r="K20" i="18"/>
  <c r="B10" i="18"/>
  <c r="O9" i="18"/>
  <c r="O19" i="18"/>
  <c r="O18" i="18"/>
  <c r="B20" i="18"/>
  <c r="I49" i="18"/>
  <c r="H8" i="18"/>
  <c r="H10" i="18"/>
  <c r="E49" i="18"/>
  <c r="E8" i="18"/>
  <c r="E10" i="18"/>
  <c r="D49" i="18"/>
  <c r="F49" i="18"/>
  <c r="N6" i="17"/>
  <c r="L6" i="17"/>
  <c r="F6" i="17"/>
  <c r="D6" i="17"/>
  <c r="C6" i="17"/>
  <c r="N16" i="16"/>
  <c r="L16" i="16"/>
  <c r="F16" i="16"/>
  <c r="D16" i="16"/>
  <c r="C16" i="16"/>
  <c r="B16" i="16"/>
  <c r="B13" i="15"/>
  <c r="H49" i="18"/>
  <c r="C49" i="18"/>
  <c r="J8" i="18"/>
  <c r="C50" i="18"/>
  <c r="H50" i="18"/>
  <c r="G50" i="18"/>
  <c r="I17" i="18"/>
  <c r="I50" i="18"/>
  <c r="H17" i="18"/>
  <c r="H20" i="18"/>
  <c r="D50" i="18"/>
  <c r="E50" i="18"/>
  <c r="E17" i="18"/>
  <c r="E20" i="18"/>
  <c r="B50" i="18"/>
  <c r="C17" i="18"/>
  <c r="C20" i="18"/>
  <c r="G49"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<sst xmlns="http://schemas.openxmlformats.org/spreadsheetml/2006/main" count="2502" uniqueCount="945">
  <si>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</si>
  <si>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</si>
  <si>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</si>
  <si>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</si>
  <si>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</si>
  <si>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</si>
  <si>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</si>
  <si>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</si>
  <si>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</si>
  <si>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</si>
  <si>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</si>
  <si>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</si>
  <si>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</si>
  <si>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</si>
  <si>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</si>
  <si>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</si>
  <si>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</si>
  <si>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</si>
  <si>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</si>
  <si>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</si>
  <si>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</si>
  <si>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</si>
  <si>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</si>
  <si>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</si>
  <si>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</si>
  <si>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</si>
  <si>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</si>
  <si>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</si>
  <si>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</si>
  <si>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</si>
  <si>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</si>
  <si>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</si>
  <si>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</si>
  <si>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</si>
  <si>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</si>
  <si>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</si>
  <si>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</si>
  <si>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</si>
  <si>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</si>
  <si>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</si>
  <si>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</si>
  <si>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</si>
  <si>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</si>
  <si>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</si>
  <si>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</si>
  <si>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</si>
  <si>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</si>
  <si>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</si>
  <si>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</si>
  <si>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</si>
  <si>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</si>
  <si>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</si>
  <si>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</si>
  <si>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</si>
  <si>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</si>
  <si>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</si>
  <si>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</si>
  <si>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</si>
  <si>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</si>
  <si>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</si>
  <si>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</si>
  <si>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</si>
  <si>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</si>
  <si>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</si>
  <si>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</si>
  <si>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</si>
  <si>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</si>
  <si>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</si>
  <si>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</si>
  <si>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</si>
  <si>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</si>
  <si>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</si>
  <si>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</si>
  <si>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</si>
  <si>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</si>
  <si>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</si>
  <si>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</si>
  <si>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</si>
  <si>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</si>
  <si>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</si>
  <si>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</si>
  <si>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</si>
  <si>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</si>
  <si>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</si>
  <si>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</si>
  <si>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</si>
  <si>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</si>
  <si>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</si>
  <si>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</si>
  <si>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</si>
  <si>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</si>
  <si>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</si>
  <si>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</si>
  <si>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</si>
  <si>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</si>
  <si>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</si>
  <si>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</si>
  <si>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</si>
  <si>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</si>
  <si>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</si>
  <si>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</si>
  <si>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</si>
  <si>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</si>
  <si>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</si>
  <si>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</si>
  <si>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</si>
  <si>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</si>
  <si>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</si>
  <si>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</si>
  <si>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</si>
  <si>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</si>
  <si>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</si>
  <si>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</si>
  <si>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</si>
  <si>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</si>
  <si>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</si>
  <si>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</si>
  <si>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</si>
  <si>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</si>
  <si>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</si>
  <si>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</si>
  <si>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</si>
  <si>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</si>
  <si>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</si>
  <si>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</si>
  <si>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</si>
  <si>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</si>
  <si>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</si>
  <si>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</si>
  <si>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</si>
  <si>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</si>
  <si>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</si>
  <si>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</si>
  <si>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</si>
  <si>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</si>
  <si>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</si>
  <si>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</si>
  <si>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</si>
  <si>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</si>
  <si>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</si>
  <si>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</si>
  <si>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</si>
  <si>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</si>
  <si>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</si>
  <si>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</si>
  <si>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</si>
  <si>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</si>
  <si>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</si>
  <si>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</si>
  <si>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</si>
  <si>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</si>
  <si>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</si>
  <si>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</si>
  <si>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</si>
  <si>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</si>
  <si>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</si>
  <si>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</si>
  <si>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</si>
  <si>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</si>
  <si>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</si>
  <si>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</si>
  <si>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</si>
  <si>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</si>
  <si>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</si>
  <si>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</si>
  <si>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</si>
  <si>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</si>
  <si>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</si>
  <si>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</si>
  <si>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</si>
  <si>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</si>
  <si>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</si>
  <si>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</si>
  <si>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</si>
  <si>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</si>
  <si>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</si>
  <si>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</si>
  <si>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</si>
  <si>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</si>
  <si>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</si>
  <si>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</si>
  <si>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</si>
  <si>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</si>
  <si>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</si>
  <si>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</si>
  <si>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</si>
  <si>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</si>
  <si>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</si>
  <si>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</si>
  <si>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</si>
  <si>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</si>
  <si>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</si>
  <si>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</si>
  <si>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</si>
  <si>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</si>
  <si>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</si>
  <si>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</si>
  <si>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</si>
  <si>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</si>
  <si>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</si>
  <si>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</si>
  <si>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</si>
  <si>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</si>
  <si>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</si>
  <si>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</si>
  <si>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</si>
  <si>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</si>
  <si>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</si>
  <si>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</si>
  <si>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</si>
  <si>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</si>
  <si>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</si>
  <si>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</si>
  <si>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</si>
  <si>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</si>
  <si>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</si>
  <si>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</si>
  <si>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</si>
  <si>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</si>
  <si>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</si>
  <si>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</si>
  <si>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</si>
  <si>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</si>
  <si>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</si>
  <si>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</si>
  <si>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</si>
  <si>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</si>
  <si>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</si>
  <si>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</si>
  <si>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</si>
  <si>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</si>
  <si>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</si>
  <si>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</si>
  <si>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</si>
  <si>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</si>
  <si>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</si>
  <si>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</si>
  <si>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</si>
  <si>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</si>
  <si>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</si>
  <si>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</si>
  <si>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</si>
  <si>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</si>
  <si>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</si>
  <si>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</si>
  <si>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</si>
  <si>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</si>
  <si>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</si>
  <si>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</si>
  <si>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</si>
  <si>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</si>
  <si>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</si>
  <si>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</si>
  <si>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</si>
  <si>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</si>
  <si>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</si>
  <si>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</si>
  <si>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</si>
  <si>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</si>
  <si>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</si>
  <si>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</si>
  <si>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</si>
  <si>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</si>
  <si>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</si>
  <si>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</si>
  <si>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</si>
  <si>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</si>
  <si>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</si>
  <si>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</si>
  <si>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</si>
  <si>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</si>
  <si>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</si>
  <si>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</si>
  <si>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</si>
  <si>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</si>
  <si>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</si>
  <si>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</si>
  <si>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</si>
  <si>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</si>
  <si>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</si>
  <si>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</si>
  <si>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</si>
  <si>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</si>
  <si>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</si>
  <si>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</si>
  <si>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</si>
  <si>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</si>
  <si>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</si>
  <si>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</si>
  <si>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</si>
  <si>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</si>
  <si>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</si>
  <si>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</si>
  <si>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</si>
  <si>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</si>
  <si>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</si>
  <si>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</si>
  <si>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</si>
  <si>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</si>
  <si>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</si>
  <si>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</si>
  <si>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</si>
  <si>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</si>
  <si>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</si>
  <si>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</si>
  <si>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</si>
  <si>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</si>
  <si>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</si>
  <si>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</si>
  <si>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</si>
  <si>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</si>
  <si>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</si>
  <si>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</si>
  <si>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</si>
  <si>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</si>
  <si>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</si>
  <si>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</si>
  <si>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</si>
  <si>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</si>
  <si>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</si>
  <si>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</si>
  <si>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</si>
  <si>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</si>
  <si>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</si>
  <si>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</si>
  <si>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</si>
  <si>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</si>
  <si>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</si>
  <si>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</si>
  <si>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</si>
  <si>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</si>
  <si>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</si>
  <si>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</si>
  <si>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</si>
  <si>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</si>
  <si>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</si>
  <si>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</si>
  <si>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</si>
  <si>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</si>
  <si>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</si>
  <si>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</si>
  <si>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</si>
  <si>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</si>
  <si>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</si>
  <si>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</si>
  <si>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</si>
  <si>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</si>
  <si>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</si>
  <si>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</si>
  <si>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</si>
  <si>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</si>
  <si>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</si>
  <si>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</si>
  <si>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</si>
  <si>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</si>
  <si>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</si>
  <si>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</si>
  <si>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</si>
  <si>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</si>
  <si>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</si>
  <si>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</si>
  <si>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</si>
  <si>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</si>
  <si>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</si>
  <si>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</si>
  <si>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</si>
  <si>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</si>
  <si>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</si>
  <si>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</si>
  <si>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</si>
  <si>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</si>
  <si>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</si>
  <si>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</si>
  <si>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</si>
  <si>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</si>
  <si>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</si>
  <si>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</si>
  <si>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</si>
  <si>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</si>
  <si>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</si>
  <si>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</si>
  <si>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</si>
  <si>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</si>
  <si>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</si>
  <si>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</si>
  <si>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</si>
  <si>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</si>
  <si>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</si>
  <si>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</si>
  <si>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</si>
  <si>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</si>
  <si>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</si>
  <si>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</si>
  <si>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</si>
  <si>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</si>
  <si>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</si>
  <si>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</si>
  <si>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</si>
  <si>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</si>
  <si>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</si>
  <si>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</si>
  <si>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</si>
  <si>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</si>
  <si>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</si>
  <si>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</si>
  <si>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</si>
  <si>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</si>
  <si>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</si>
  <si>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</si>
  <si>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</si>
  <si>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</si>
  <si>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</si>
  <si>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</si>
  <si>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</si>
  <si>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</si>
  <si>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</si>
  <si>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</si>
  <si>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</si>
  <si>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</si>
  <si>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</si>
  <si>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</si>
  <si>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</si>
  <si>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</si>
  <si>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</si>
  <si>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</si>
  <si>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</si>
  <si>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</si>
  <si>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</si>
  <si>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</si>
  <si>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</si>
  <si>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</si>
  <si>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</si>
  <si>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</si>
  <si>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</si>
  <si>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</si>
  <si>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</si>
  <si>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</si>
  <si>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</si>
  <si>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</si>
  <si>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</si>
  <si>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</si>
  <si>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</si>
  <si>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</si>
  <si>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</si>
  <si>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</si>
  <si>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</si>
  <si>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</si>
  <si>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</si>
  <si>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</si>
  <si>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</si>
  <si>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</si>
  <si>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</si>
  <si>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</si>
  <si>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</si>
  <si>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</si>
  <si>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</si>
  <si>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</si>
  <si>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</si>
  <si>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</si>
  <si>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</si>
  <si>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</si>
  <si>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</si>
  <si>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</si>
  <si>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</si>
  <si>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</si>
  <si>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</si>
  <si>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</si>
  <si>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</si>
  <si>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</si>
  <si>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</si>
  <si>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</si>
  <si>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</si>
  <si>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</si>
  <si>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</si>
  <si>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</si>
  <si>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</si>
  <si>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</si>
  <si>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</si>
  <si>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</si>
  <si>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</si>
  <si>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</si>
  <si>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</si>
  <si>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</si>
  <si>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</si>
  <si>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</si>
  <si>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</si>
  <si>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</si>
  <si>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</si>
  <si>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</si>
  <si>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</si>
  <si>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</si>
  <si>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</si>
  <si>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</si>
  <si>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</si>
  <si>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</si>
  <si>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</si>
  <si>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</si>
  <si>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</si>
  <si>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</si>
  <si>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</si>
  <si>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</si>
  <si>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</si>
  <si>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</si>
  <si>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</si>
  <si>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</si>
  <si>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</si>
  <si>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</si>
  <si>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</si>
  <si>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</si>
  <si>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</si>
  <si>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</si>
  <si>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</si>
  <si>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</si>
  <si>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</si>
  <si>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</si>
  <si>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</si>
  <si>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</si>
  <si>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</si>
  <si>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</si>
  <si>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</si>
  <si>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</si>
  <si>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</si>
  <si>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</si>
  <si>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</si>
  <si>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</si>
  <si>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</si>
  <si>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</si>
  <si>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</si>
  <si>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</si>
  <si>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</si>
  <si>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</si>
  <si>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</si>
  <si>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</si>
  <si>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</si>
  <si>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</si>
  <si>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</si>
  <si>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</si>
  <si>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</si>
  <si>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</si>
  <si>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</si>
  <si>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</si>
  <si>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</si>
  <si>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</si>
  <si>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</si>
  <si>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</si>
  <si>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</si>
  <si>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</si>
  <si>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</si>
  <si>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</si>
  <si>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</si>
  <si>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</si>
  <si>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</si>
  <si>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</si>
  <si>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</si>
  <si>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</si>
  <si>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</si>
  <si>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</si>
  <si>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</si>
  <si>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</si>
  <si>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</si>
  <si>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</si>
  <si>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</si>
  <si>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</si>
  <si>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</si>
  <si>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</si>
  <si>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</si>
  <si>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</si>
  <si>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</si>
  <si>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</si>
  <si>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</si>
  <si>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</si>
  <si>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</si>
  <si>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</si>
  <si>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</si>
  <si>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</si>
  <si>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</si>
  <si>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</si>
  <si>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</si>
  <si>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</si>
  <si>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</si>
  <si>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</si>
  <si>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</si>
  <si>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</si>
  <si>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</si>
  <si>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</si>
  <si>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</si>
  <si>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</si>
  <si>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</si>
  <si>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</si>
  <si>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</si>
  <si>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</si>
  <si>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</si>
  <si>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</si>
  <si>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</si>
  <si>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</si>
  <si>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</si>
  <si>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</si>
  <si>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</si>
  <si>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</si>
  <si>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</si>
  <si>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</si>
  <si>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</si>
  <si>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</si>
  <si>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</si>
  <si>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</si>
  <si>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</si>
  <si>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</si>
  <si>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</si>
  <si>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</si>
  <si>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</si>
  <si>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</si>
  <si>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</si>
  <si>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</si>
  <si>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</si>
  <si>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</si>
  <si>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</si>
  <si>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</si>
  <si>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</si>
  <si>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</si>
  <si>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</si>
  <si>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</si>
  <si>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</si>
  <si>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</si>
  <si>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</si>
  <si>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</si>
  <si>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</si>
  <si>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</si>
  <si>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</si>
  <si>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</si>
  <si>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</si>
  <si>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</si>
  <si>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</si>
  <si>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</si>
  <si>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</si>
  <si>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</si>
  <si>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</si>
  <si>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</si>
  <si>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</si>
  <si>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</si>
  <si>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</si>
  <si>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</si>
  <si>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</si>
  <si>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</si>
  <si>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</si>
  <si>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</si>
  <si>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</si>
  <si>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</si>
  <si>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</si>
  <si>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</si>
  <si>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</si>
  <si>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</si>
  <si>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</si>
  <si>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</si>
  <si>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</si>
  <si>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</si>
  <si>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</si>
  <si>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</si>
  <si>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</si>
  <si>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</si>
  <si>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</si>
  <si>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</si>
  <si>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</si>
  <si>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</si>
  <si>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</si>
  <si>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</si>
  <si>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</si>
  <si>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</si>
  <si>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</si>
  <si>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</si>
  <si>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</si>
  <si>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</si>
  <si>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</si>
  <si>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</si>
  <si>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</si>
  <si>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</si>
  <si>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</si>
  <si>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</si>
  <si>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</si>
  <si>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</si>
  <si>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</si>
  <si>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</si>
  <si>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</si>
  <si>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</si>
  <si>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</si>
  <si>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</si>
  <si>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</si>
  <si>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</si>
  <si>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</si>
  <si>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</si>
  <si>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</si>
  <si>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</si>
  <si>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</si>
  <si>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</si>
  <si>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</si>
  <si>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</si>
  <si>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</si>
  <si>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</si>
  <si>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</si>
  <si>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</si>
  <si>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</si>
  <si>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</si>
  <si>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</si>
  <si>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</si>
  <si>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</si>
  <si>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</si>
  <si>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</si>
  <si>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</si>
  <si>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</si>
  <si>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</si>
  <si>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</si>
  <si>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</si>
  <si>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</si>
  <si>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</si>
  <si>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</si>
  <si>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</si>
  <si>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</si>
  <si>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</si>
  <si>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</si>
  <si>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</si>
  <si>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</si>
  <si>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</si>
  <si>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</si>
  <si>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</si>
  <si>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</si>
  <si>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</si>
  <si>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</si>
  <si>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</si>
  <si>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</si>
  <si>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</si>
  <si>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</si>
  <si>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</si>
  <si>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</si>
  <si>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</si>
  <si>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</si>
  <si>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</si>
  <si>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</si>
  <si>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</si>
  <si>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</si>
  <si>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</si>
  <si>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</si>
  <si>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</si>
  <si>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</si>
  <si>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</si>
  <si>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</si>
  <si>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</si>
  <si>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</si>
  <si>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</si>
  <si>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</si>
  <si>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</si>
  <si>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</si>
  <si>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</si>
  <si>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</si>
  <si>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</si>
  <si>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</si>
  <si>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</si>
  <si>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</si>
  <si>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</si>
  <si>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</si>
  <si>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</si>
  <si>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</si>
  <si>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</si>
  <si>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</si>
  <si>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</si>
  <si>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</si>
  <si>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</si>
  <si>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</si>
  <si>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</si>
  <si>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</si>
  <si>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</si>
  <si>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</si>
  <si>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</si>
  <si>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</si>
  <si>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</si>
  <si>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</si>
  <si>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</si>
  <si>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</si>
  <si>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</si>
  <si>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</si>
  <si>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</si>
  <si>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</si>
  <si>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</si>
  <si>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</si>
  <si>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</si>
  <si>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</si>
  <si>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</si>
  <si>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</si>
  <si>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</si>
  <si>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</si>
  <si>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</si>
  <si>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</si>
  <si>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</si>
  <si>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</si>
  <si>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</si>
  <si>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</si>
  <si>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</si>
  <si>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</si>
  <si>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</si>
  <si>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</si>
  <si>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</si>
  <si>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</si>
  <si>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</si>
  <si>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</si>
  <si>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</si>
  <si>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</si>
  <si>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</si>
  <si>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</si>
  <si>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</si>
  <si>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</si>
  <si>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</si>
  <si>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</si>
  <si>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</si>
  <si>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</si>
  <si>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</si>
  <si>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</si>
  <si>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</si>
  <si>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</si>
  <si>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</si>
  <si>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</si>
  <si>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</si>
  <si>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</si>
  <si>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</si>
  <si>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</si>
  <si>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</si>
  <si>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</si>
  <si>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</si>
  <si>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</si>
  <si>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</si>
  <si>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</si>
  <si>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</si>
  <si>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</si>
  <si>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</si>
  <si>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</si>
  <si>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</si>
  <si>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</si>
  <si>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</si>
  <si>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</si>
  <si>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</si>
  <si>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</si>
  <si>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</si>
  <si>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</si>
  <si>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</si>
  <si>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</si>
  <si>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</si>
  <si>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</si>
  <si>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</si>
  <si>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</si>
  <si>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</si>
  <si>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</si>
  <si>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</si>
  <si>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</si>
  <si>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</si>
  <si>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</si>
  <si>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</si>
  <si>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</si>
  <si>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</si>
  <si>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</si>
  <si>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</si>
  <si>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</si>
  <si>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</si>
  <si>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</si>
  <si>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</si>
  <si>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</si>
  <si>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</si>
  <si>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</si>
  <si>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</si>
  <si>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</si>
  <si>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</si>
  <si>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</si>
  <si>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</si>
  <si>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</si>
  <si>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</si>
  <si>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</si>
  <si>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</si>
  <si>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</si>
  <si>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</si>
  <si>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</si>
  <si>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</si>
  <si>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</si>
  <si>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</si>
  <si>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</si>
  <si>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</si>
  <si>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</si>
  <si>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</si>
  <si>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</si>
  <si>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</si>
  <si>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</si>
  <si>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</si>
  <si>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</si>
  <si>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</si>
  <si>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</si>
  <si>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</si>
  <si>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</si>
  <si>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</si>
  <si>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</si>
  <si>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</si>
  <si>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</si>
  <si>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</si>
  <si>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</si>
  <si>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</si>
  <si>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</si>
  <si>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</si>
  <si>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</si>
  <si>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</si>
  <si>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</si>
  <si>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</si>
  <si>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</si>
  <si>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</si>
  <si>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</si>
  <si>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</si>
  <si>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</si>
  <si>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</si>
  <si>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</si>
  <si>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</si>
  <si>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</si>
  <si>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</si>
  <si>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</si>
  <si>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</si>
  <si>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</si>
  <si>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</si>
  <si>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</si>
  <si>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</si>
  <si>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</si>
  <si>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</si>
  <si>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</si>
  <si>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</si>
  <si>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</si>
  <si>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</si>
  <si>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</si>
  <si>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</si>
  <si>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</si>
  <si>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</si>
  <si>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</si>
  <si>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</si>
  <si>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</si>
  <si>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</si>
  <si>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</si>
  <si>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</si>
  <si>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44084</t>
  </si>
  <si>
    <t>AALTER</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</si>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</sst>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22652D7-A883-4F92-B3E2-8E48DF3CB76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44084</v>
      </c>
      <c r="B6" s="384"/>
      <c r="C6" s="385"/>
    </row>
    <row r="7" spans="1:7" s="382" customFormat="1" ht="15.75" customHeight="1">
      <c r="A7" s="386" t="str">
        <f>txtMunicipality</f>
        <v>AALTER</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38088.136185948002</v>
      </c>
      <c r="D10" s="639">
        <f ca="1">tertiair!C16</f>
        <v>0</v>
      </c>
      <c r="E10" s="639">
        <f ca="1">tertiair!D16</f>
        <v>27466.760791831508</v>
      </c>
      <c r="F10" s="639">
        <f>tertiair!E16</f>
        <v>343.56770825372183</v>
      </c>
      <c r="G10" s="639">
        <f ca="1">tertiair!F16</f>
        <v>6959.1635199330485</v>
      </c>
      <c r="H10" s="639">
        <f>tertiair!G16</f>
        <v>0</v>
      </c>
      <c r="I10" s="639">
        <f>tertiair!H16</f>
        <v>0</v>
      </c>
      <c r="J10" s="639">
        <f>tertiair!I16</f>
        <v>0</v>
      </c>
      <c r="K10" s="639">
        <f>tertiair!J16</f>
        <v>0</v>
      </c>
      <c r="L10" s="639">
        <f>tertiair!K16</f>
        <v>0</v>
      </c>
      <c r="M10" s="639">
        <f ca="1">tertiair!L16</f>
        <v>0</v>
      </c>
      <c r="N10" s="639">
        <f>tertiair!M16</f>
        <v>0</v>
      </c>
      <c r="O10" s="639">
        <f ca="1">tertiair!N16</f>
        <v>2660.669430841313</v>
      </c>
      <c r="P10" s="639">
        <f>tertiair!O16</f>
        <v>7.8166666666666664</v>
      </c>
      <c r="Q10" s="640">
        <f>tertiair!P16</f>
        <v>190.66666666666669</v>
      </c>
      <c r="R10" s="642">
        <f ca="1">SUM(C10:Q10)</f>
        <v>75716.780970140928</v>
      </c>
      <c r="S10" s="68"/>
    </row>
    <row r="11" spans="1:19" s="443" customFormat="1">
      <c r="A11" s="753" t="s">
        <v>214</v>
      </c>
      <c r="B11" s="758"/>
      <c r="C11" s="639">
        <f>huishoudens!B8</f>
        <v>60734.377862914975</v>
      </c>
      <c r="D11" s="639">
        <f>huishoudens!C8</f>
        <v>0</v>
      </c>
      <c r="E11" s="639">
        <f>huishoudens!D8</f>
        <v>70004.718578101936</v>
      </c>
      <c r="F11" s="639">
        <f>huishoudens!E8</f>
        <v>3615.8052562756307</v>
      </c>
      <c r="G11" s="639">
        <f>huishoudens!F8</f>
        <v>110235.40451140694</v>
      </c>
      <c r="H11" s="639">
        <f>huishoudens!G8</f>
        <v>0</v>
      </c>
      <c r="I11" s="639">
        <f>huishoudens!H8</f>
        <v>0</v>
      </c>
      <c r="J11" s="639">
        <f>huishoudens!I8</f>
        <v>0</v>
      </c>
      <c r="K11" s="639">
        <f>huishoudens!J8</f>
        <v>2000.1830037920222</v>
      </c>
      <c r="L11" s="639">
        <f>huishoudens!K8</f>
        <v>0</v>
      </c>
      <c r="M11" s="639">
        <f>huishoudens!L8</f>
        <v>0</v>
      </c>
      <c r="N11" s="639">
        <f>huishoudens!M8</f>
        <v>0</v>
      </c>
      <c r="O11" s="639">
        <f>huishoudens!N8</f>
        <v>17404.458085104725</v>
      </c>
      <c r="P11" s="639">
        <f>huishoudens!O8</f>
        <v>245.44333333333333</v>
      </c>
      <c r="Q11" s="640">
        <f>huishoudens!P8</f>
        <v>896.13333333333333</v>
      </c>
      <c r="R11" s="642">
        <f>SUM(C11:Q11)</f>
        <v>265136.52396426292</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78806.404877417997</v>
      </c>
      <c r="D13" s="639">
        <f>industrie!C18</f>
        <v>0</v>
      </c>
      <c r="E13" s="639">
        <f>industrie!D18</f>
        <v>200551.98757210205</v>
      </c>
      <c r="F13" s="639">
        <f>industrie!E18</f>
        <v>935.71505108981648</v>
      </c>
      <c r="G13" s="639">
        <f>industrie!F18</f>
        <v>19983.794582714072</v>
      </c>
      <c r="H13" s="639">
        <f>industrie!G18</f>
        <v>0</v>
      </c>
      <c r="I13" s="639">
        <f>industrie!H18</f>
        <v>0</v>
      </c>
      <c r="J13" s="639">
        <f>industrie!I18</f>
        <v>0</v>
      </c>
      <c r="K13" s="639">
        <f>industrie!J18</f>
        <v>296.01808260287265</v>
      </c>
      <c r="L13" s="639">
        <f>industrie!K18</f>
        <v>0</v>
      </c>
      <c r="M13" s="639">
        <f>industrie!L18</f>
        <v>0</v>
      </c>
      <c r="N13" s="639">
        <f>industrie!M18</f>
        <v>0</v>
      </c>
      <c r="O13" s="639">
        <f>industrie!N18</f>
        <v>5893.0268059684931</v>
      </c>
      <c r="P13" s="639">
        <f>industrie!O18</f>
        <v>0</v>
      </c>
      <c r="Q13" s="640">
        <f>industrie!P18</f>
        <v>0</v>
      </c>
      <c r="R13" s="642">
        <f>SUM(C13:Q13)</f>
        <v>306466.94697189535</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177628.91892628098</v>
      </c>
      <c r="D16" s="672">
        <f t="shared" ref="D16:R16" ca="1" si="0">SUM(D9:D15)</f>
        <v>0</v>
      </c>
      <c r="E16" s="672">
        <f t="shared" ca="1" si="0"/>
        <v>298023.46694203548</v>
      </c>
      <c r="F16" s="672">
        <f t="shared" si="0"/>
        <v>4895.0880156191688</v>
      </c>
      <c r="G16" s="672">
        <f t="shared" ca="1" si="0"/>
        <v>137178.36261405406</v>
      </c>
      <c r="H16" s="672">
        <f t="shared" si="0"/>
        <v>0</v>
      </c>
      <c r="I16" s="672">
        <f t="shared" si="0"/>
        <v>0</v>
      </c>
      <c r="J16" s="672">
        <f t="shared" si="0"/>
        <v>0</v>
      </c>
      <c r="K16" s="672">
        <f t="shared" si="0"/>
        <v>2296.2010863948949</v>
      </c>
      <c r="L16" s="672">
        <f t="shared" si="0"/>
        <v>0</v>
      </c>
      <c r="M16" s="672">
        <f t="shared" ca="1" si="0"/>
        <v>0</v>
      </c>
      <c r="N16" s="672">
        <f t="shared" si="0"/>
        <v>0</v>
      </c>
      <c r="O16" s="672">
        <f t="shared" ca="1" si="0"/>
        <v>25958.154321914531</v>
      </c>
      <c r="P16" s="672">
        <f t="shared" si="0"/>
        <v>253.26</v>
      </c>
      <c r="Q16" s="672">
        <f t="shared" si="0"/>
        <v>1086.8</v>
      </c>
      <c r="R16" s="672">
        <f t="shared" ca="1" si="0"/>
        <v>647320.25190629927</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6.2942881001501814</v>
      </c>
      <c r="D19" s="639">
        <f>transport!C54</f>
        <v>0</v>
      </c>
      <c r="E19" s="639">
        <f>transport!D54</f>
        <v>0</v>
      </c>
      <c r="F19" s="639">
        <f>transport!E54</f>
        <v>0</v>
      </c>
      <c r="G19" s="639">
        <f>transport!F54</f>
        <v>0</v>
      </c>
      <c r="H19" s="639">
        <f>transport!G54</f>
        <v>1255.4082059474845</v>
      </c>
      <c r="I19" s="639">
        <f>transport!H54</f>
        <v>0</v>
      </c>
      <c r="J19" s="639">
        <f>transport!I54</f>
        <v>0</v>
      </c>
      <c r="K19" s="639">
        <f>transport!J54</f>
        <v>0</v>
      </c>
      <c r="L19" s="639">
        <f>transport!K54</f>
        <v>0</v>
      </c>
      <c r="M19" s="639">
        <f>transport!L54</f>
        <v>0</v>
      </c>
      <c r="N19" s="639">
        <f>transport!M54</f>
        <v>55.487705639250443</v>
      </c>
      <c r="O19" s="639">
        <f>transport!N54</f>
        <v>0</v>
      </c>
      <c r="P19" s="639">
        <f>transport!O54</f>
        <v>0</v>
      </c>
      <c r="Q19" s="640">
        <f>transport!P54</f>
        <v>0</v>
      </c>
      <c r="R19" s="642">
        <f>SUM(C19:Q19)</f>
        <v>1317.1901996868851</v>
      </c>
      <c r="S19" s="68"/>
    </row>
    <row r="20" spans="1:19" s="443" customFormat="1">
      <c r="A20" s="753" t="s">
        <v>296</v>
      </c>
      <c r="B20" s="758"/>
      <c r="C20" s="639">
        <f>transport!B14</f>
        <v>21.321256873165883</v>
      </c>
      <c r="D20" s="639">
        <f>transport!C14</f>
        <v>0</v>
      </c>
      <c r="E20" s="639">
        <f>transport!D14</f>
        <v>23.827878468764542</v>
      </c>
      <c r="F20" s="639">
        <f>transport!E14</f>
        <v>1762.9301751830048</v>
      </c>
      <c r="G20" s="639">
        <f>transport!F14</f>
        <v>0</v>
      </c>
      <c r="H20" s="639">
        <f>transport!G14</f>
        <v>450617.37652941997</v>
      </c>
      <c r="I20" s="639">
        <f>transport!H14</f>
        <v>63217.97136342361</v>
      </c>
      <c r="J20" s="639">
        <f>transport!I14</f>
        <v>0</v>
      </c>
      <c r="K20" s="639">
        <f>transport!J14</f>
        <v>0</v>
      </c>
      <c r="L20" s="639">
        <f>transport!K14</f>
        <v>0</v>
      </c>
      <c r="M20" s="639">
        <f>transport!L14</f>
        <v>0</v>
      </c>
      <c r="N20" s="639">
        <f>transport!M14</f>
        <v>22946.231799425386</v>
      </c>
      <c r="O20" s="639">
        <f>transport!N14</f>
        <v>0</v>
      </c>
      <c r="P20" s="639">
        <f>transport!O14</f>
        <v>0</v>
      </c>
      <c r="Q20" s="640">
        <f>transport!P14</f>
        <v>0</v>
      </c>
      <c r="R20" s="642">
        <f>SUM(C20:Q20)</f>
        <v>538589.65900279395</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27.615544973316062</v>
      </c>
      <c r="D22" s="756">
        <f t="shared" ref="D22:R22" si="1">SUM(D18:D21)</f>
        <v>0</v>
      </c>
      <c r="E22" s="756">
        <f t="shared" si="1"/>
        <v>23.827878468764542</v>
      </c>
      <c r="F22" s="756">
        <f t="shared" si="1"/>
        <v>1762.9301751830048</v>
      </c>
      <c r="G22" s="756">
        <f t="shared" si="1"/>
        <v>0</v>
      </c>
      <c r="H22" s="756">
        <f t="shared" si="1"/>
        <v>451872.78473536746</v>
      </c>
      <c r="I22" s="756">
        <f t="shared" si="1"/>
        <v>63217.97136342361</v>
      </c>
      <c r="J22" s="756">
        <f t="shared" si="1"/>
        <v>0</v>
      </c>
      <c r="K22" s="756">
        <f t="shared" si="1"/>
        <v>0</v>
      </c>
      <c r="L22" s="756">
        <f t="shared" si="1"/>
        <v>0</v>
      </c>
      <c r="M22" s="756">
        <f t="shared" si="1"/>
        <v>0</v>
      </c>
      <c r="N22" s="756">
        <f t="shared" si="1"/>
        <v>23001.719505064637</v>
      </c>
      <c r="O22" s="756">
        <f t="shared" si="1"/>
        <v>0</v>
      </c>
      <c r="P22" s="756">
        <f t="shared" si="1"/>
        <v>0</v>
      </c>
      <c r="Q22" s="756">
        <f t="shared" si="1"/>
        <v>0</v>
      </c>
      <c r="R22" s="756">
        <f t="shared" si="1"/>
        <v>539906.84920248087</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8807.8519763345485</v>
      </c>
      <c r="D24" s="639">
        <f>+landbouw!C8</f>
        <v>2279.7759740259744</v>
      </c>
      <c r="E24" s="639">
        <f>+landbouw!D8</f>
        <v>6126.713480489936</v>
      </c>
      <c r="F24" s="639">
        <f>+landbouw!E8</f>
        <v>86.979141369404758</v>
      </c>
      <c r="G24" s="639">
        <f>+landbouw!F8</f>
        <v>29385.324732796766</v>
      </c>
      <c r="H24" s="639">
        <f>+landbouw!G8</f>
        <v>0</v>
      </c>
      <c r="I24" s="639">
        <f>+landbouw!H8</f>
        <v>0</v>
      </c>
      <c r="J24" s="639">
        <f>+landbouw!I8</f>
        <v>0</v>
      </c>
      <c r="K24" s="639">
        <f>+landbouw!J8</f>
        <v>878.75628996281228</v>
      </c>
      <c r="L24" s="639">
        <f>+landbouw!K8</f>
        <v>0</v>
      </c>
      <c r="M24" s="639">
        <f>+landbouw!L8</f>
        <v>0</v>
      </c>
      <c r="N24" s="639">
        <f>+landbouw!M8</f>
        <v>0</v>
      </c>
      <c r="O24" s="639">
        <f>+landbouw!N8</f>
        <v>0</v>
      </c>
      <c r="P24" s="639">
        <f>+landbouw!O8</f>
        <v>0</v>
      </c>
      <c r="Q24" s="640">
        <f>+landbouw!P8</f>
        <v>0</v>
      </c>
      <c r="R24" s="642">
        <f>SUM(C24:Q24)</f>
        <v>47565.401594979441</v>
      </c>
      <c r="S24" s="68"/>
    </row>
    <row r="25" spans="1:19" s="443" customFormat="1" ht="15" thickBot="1">
      <c r="A25" s="775" t="s">
        <v>847</v>
      </c>
      <c r="B25" s="941"/>
      <c r="C25" s="942">
        <f>IF(Onbekend_ele_kWh="---",0,Onbekend_ele_kWh)/1000+IF(REST_rest_ele_kWh="---",0,REST_rest_ele_kWh)/1000</f>
        <v>2681.814785713249</v>
      </c>
      <c r="D25" s="942"/>
      <c r="E25" s="942">
        <f>IF(onbekend_gas_kWh="---",0,onbekend_gas_kWh)/1000+IF(REST_rest_gas_kWh="---",0,REST_rest_gas_kWh)/1000</f>
        <v>4070.1820923798987</v>
      </c>
      <c r="F25" s="942"/>
      <c r="G25" s="942"/>
      <c r="H25" s="942"/>
      <c r="I25" s="942"/>
      <c r="J25" s="942"/>
      <c r="K25" s="942"/>
      <c r="L25" s="942"/>
      <c r="M25" s="942"/>
      <c r="N25" s="942"/>
      <c r="O25" s="942"/>
      <c r="P25" s="942"/>
      <c r="Q25" s="943"/>
      <c r="R25" s="642">
        <f>SUM(C25:Q25)</f>
        <v>6751.9968780931476</v>
      </c>
      <c r="S25" s="68"/>
    </row>
    <row r="26" spans="1:19" s="443" customFormat="1" ht="15.75" thickBot="1">
      <c r="A26" s="645" t="s">
        <v>848</v>
      </c>
      <c r="B26" s="761"/>
      <c r="C26" s="756">
        <f>SUM(C24:C25)</f>
        <v>11489.666762047797</v>
      </c>
      <c r="D26" s="756">
        <f t="shared" ref="D26:R26" si="2">SUM(D24:D25)</f>
        <v>2279.7759740259744</v>
      </c>
      <c r="E26" s="756">
        <f t="shared" si="2"/>
        <v>10196.895572869835</v>
      </c>
      <c r="F26" s="756">
        <f t="shared" si="2"/>
        <v>86.979141369404758</v>
      </c>
      <c r="G26" s="756">
        <f t="shared" si="2"/>
        <v>29385.324732796766</v>
      </c>
      <c r="H26" s="756">
        <f t="shared" si="2"/>
        <v>0</v>
      </c>
      <c r="I26" s="756">
        <f t="shared" si="2"/>
        <v>0</v>
      </c>
      <c r="J26" s="756">
        <f t="shared" si="2"/>
        <v>0</v>
      </c>
      <c r="K26" s="756">
        <f t="shared" si="2"/>
        <v>878.75628996281228</v>
      </c>
      <c r="L26" s="756">
        <f t="shared" si="2"/>
        <v>0</v>
      </c>
      <c r="M26" s="756">
        <f t="shared" si="2"/>
        <v>0</v>
      </c>
      <c r="N26" s="756">
        <f t="shared" si="2"/>
        <v>0</v>
      </c>
      <c r="O26" s="756">
        <f t="shared" si="2"/>
        <v>0</v>
      </c>
      <c r="P26" s="756">
        <f t="shared" si="2"/>
        <v>0</v>
      </c>
      <c r="Q26" s="756">
        <f t="shared" si="2"/>
        <v>0</v>
      </c>
      <c r="R26" s="756">
        <f t="shared" si="2"/>
        <v>54317.398473072586</v>
      </c>
      <c r="S26" s="68"/>
    </row>
    <row r="27" spans="1:19" s="443" customFormat="1" ht="17.25" thickTop="1" thickBot="1">
      <c r="A27" s="646" t="s">
        <v>109</v>
      </c>
      <c r="B27" s="748"/>
      <c r="C27" s="647">
        <f ca="1">C22+C16+C26</f>
        <v>189146.2012333021</v>
      </c>
      <c r="D27" s="647">
        <f t="shared" ref="D27:R27" ca="1" si="3">D22+D16+D26</f>
        <v>2279.7759740259744</v>
      </c>
      <c r="E27" s="647">
        <f t="shared" ca="1" si="3"/>
        <v>308244.19039337407</v>
      </c>
      <c r="F27" s="647">
        <f t="shared" si="3"/>
        <v>6744.9973321715779</v>
      </c>
      <c r="G27" s="647">
        <f t="shared" ca="1" si="3"/>
        <v>166563.68734685081</v>
      </c>
      <c r="H27" s="647">
        <f t="shared" si="3"/>
        <v>451872.78473536746</v>
      </c>
      <c r="I27" s="647">
        <f t="shared" si="3"/>
        <v>63217.97136342361</v>
      </c>
      <c r="J27" s="647">
        <f t="shared" si="3"/>
        <v>0</v>
      </c>
      <c r="K27" s="647">
        <f t="shared" si="3"/>
        <v>3174.9573763577073</v>
      </c>
      <c r="L27" s="647">
        <f t="shared" si="3"/>
        <v>0</v>
      </c>
      <c r="M27" s="647">
        <f t="shared" ca="1" si="3"/>
        <v>0</v>
      </c>
      <c r="N27" s="647">
        <f t="shared" si="3"/>
        <v>23001.719505064637</v>
      </c>
      <c r="O27" s="647">
        <f t="shared" ca="1" si="3"/>
        <v>25958.154321914531</v>
      </c>
      <c r="P27" s="647">
        <f t="shared" si="3"/>
        <v>253.26</v>
      </c>
      <c r="Q27" s="647">
        <f t="shared" si="3"/>
        <v>1086.8</v>
      </c>
      <c r="R27" s="647">
        <f t="shared" ca="1" si="3"/>
        <v>1241544.4995818527</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7983.7583164719854</v>
      </c>
      <c r="D40" s="639">
        <f ca="1">tertiair!C20</f>
        <v>0</v>
      </c>
      <c r="E40" s="639">
        <f ca="1">tertiair!D20</f>
        <v>5548.285679949965</v>
      </c>
      <c r="F40" s="639">
        <f>tertiair!E20</f>
        <v>77.989869773594862</v>
      </c>
      <c r="G40" s="639">
        <f ca="1">tertiair!F20</f>
        <v>1858.0966598221241</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15468.13052601767</v>
      </c>
    </row>
    <row r="41" spans="1:18">
      <c r="A41" s="766" t="s">
        <v>214</v>
      </c>
      <c r="B41" s="773"/>
      <c r="C41" s="639">
        <f ca="1">huishoudens!B12</f>
        <v>12730.698923978622</v>
      </c>
      <c r="D41" s="639">
        <f ca="1">huishoudens!C12</f>
        <v>0</v>
      </c>
      <c r="E41" s="639">
        <f>huishoudens!D12</f>
        <v>14140.953152776592</v>
      </c>
      <c r="F41" s="639">
        <f>huishoudens!E12</f>
        <v>820.78779317456815</v>
      </c>
      <c r="G41" s="639">
        <f>huishoudens!F12</f>
        <v>29432.853004545657</v>
      </c>
      <c r="H41" s="639">
        <f>huishoudens!G12</f>
        <v>0</v>
      </c>
      <c r="I41" s="639">
        <f>huishoudens!H12</f>
        <v>0</v>
      </c>
      <c r="J41" s="639">
        <f>huishoudens!I12</f>
        <v>0</v>
      </c>
      <c r="K41" s="639">
        <f>huishoudens!J12</f>
        <v>708.06478334237579</v>
      </c>
      <c r="L41" s="639">
        <f>huishoudens!K12</f>
        <v>0</v>
      </c>
      <c r="M41" s="639">
        <f>huishoudens!L12</f>
        <v>0</v>
      </c>
      <c r="N41" s="639">
        <f>huishoudens!M12</f>
        <v>0</v>
      </c>
      <c r="O41" s="639">
        <f>huishoudens!N12</f>
        <v>0</v>
      </c>
      <c r="P41" s="639">
        <f>huishoudens!O12</f>
        <v>0</v>
      </c>
      <c r="Q41" s="714">
        <f>huishoudens!P12</f>
        <v>0</v>
      </c>
      <c r="R41" s="794">
        <f t="shared" ca="1" si="4"/>
        <v>57833.357657817818</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16518.825895278827</v>
      </c>
      <c r="D43" s="639">
        <f ca="1">industrie!C22</f>
        <v>0</v>
      </c>
      <c r="E43" s="639">
        <f>industrie!D22</f>
        <v>40511.501489564616</v>
      </c>
      <c r="F43" s="639">
        <f>industrie!E22</f>
        <v>212.40731659738836</v>
      </c>
      <c r="G43" s="639">
        <f>industrie!F22</f>
        <v>5335.6731535846575</v>
      </c>
      <c r="H43" s="639">
        <f>industrie!G22</f>
        <v>0</v>
      </c>
      <c r="I43" s="639">
        <f>industrie!H22</f>
        <v>0</v>
      </c>
      <c r="J43" s="639">
        <f>industrie!I22</f>
        <v>0</v>
      </c>
      <c r="K43" s="639">
        <f>industrie!J22</f>
        <v>104.79040124141692</v>
      </c>
      <c r="L43" s="639">
        <f>industrie!K22</f>
        <v>0</v>
      </c>
      <c r="M43" s="639">
        <f>industrie!L22</f>
        <v>0</v>
      </c>
      <c r="N43" s="639">
        <f>industrie!M22</f>
        <v>0</v>
      </c>
      <c r="O43" s="639">
        <f>industrie!N22</f>
        <v>0</v>
      </c>
      <c r="P43" s="639">
        <f>industrie!O22</f>
        <v>0</v>
      </c>
      <c r="Q43" s="714">
        <f>industrie!P22</f>
        <v>0</v>
      </c>
      <c r="R43" s="793">
        <f t="shared" ca="1" si="4"/>
        <v>62683.198256266907</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37233.283135729434</v>
      </c>
      <c r="D46" s="672">
        <f t="shared" ref="D46:Q46" ca="1" si="5">SUM(D39:D45)</f>
        <v>0</v>
      </c>
      <c r="E46" s="672">
        <f t="shared" ca="1" si="5"/>
        <v>60200.740322291174</v>
      </c>
      <c r="F46" s="672">
        <f t="shared" si="5"/>
        <v>1111.1849795455514</v>
      </c>
      <c r="G46" s="672">
        <f t="shared" ca="1" si="5"/>
        <v>36626.622817952441</v>
      </c>
      <c r="H46" s="672">
        <f t="shared" si="5"/>
        <v>0</v>
      </c>
      <c r="I46" s="672">
        <f t="shared" si="5"/>
        <v>0</v>
      </c>
      <c r="J46" s="672">
        <f t="shared" si="5"/>
        <v>0</v>
      </c>
      <c r="K46" s="672">
        <f t="shared" si="5"/>
        <v>812.85518458379272</v>
      </c>
      <c r="L46" s="672">
        <f t="shared" si="5"/>
        <v>0</v>
      </c>
      <c r="M46" s="672">
        <f t="shared" ca="1" si="5"/>
        <v>0</v>
      </c>
      <c r="N46" s="672">
        <f t="shared" si="5"/>
        <v>0</v>
      </c>
      <c r="O46" s="672">
        <f t="shared" ca="1" si="5"/>
        <v>0</v>
      </c>
      <c r="P46" s="672">
        <f t="shared" si="5"/>
        <v>0</v>
      </c>
      <c r="Q46" s="672">
        <f t="shared" si="5"/>
        <v>0</v>
      </c>
      <c r="R46" s="672">
        <f ca="1">SUM(R39:R45)</f>
        <v>135984.68644010241</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1.3193629302445191</v>
      </c>
      <c r="D49" s="639">
        <f ca="1">transport!C58</f>
        <v>0</v>
      </c>
      <c r="E49" s="639">
        <f>transport!D58</f>
        <v>0</v>
      </c>
      <c r="F49" s="639">
        <f>transport!E58</f>
        <v>0</v>
      </c>
      <c r="G49" s="639">
        <f>transport!F58</f>
        <v>0</v>
      </c>
      <c r="H49" s="639">
        <f>transport!G58</f>
        <v>335.1939909879784</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336.51335391822289</v>
      </c>
    </row>
    <row r="50" spans="1:18">
      <c r="A50" s="769" t="s">
        <v>296</v>
      </c>
      <c r="B50" s="779"/>
      <c r="C50" s="948">
        <f ca="1">transport!B18</f>
        <v>4.4692069217494259</v>
      </c>
      <c r="D50" s="948">
        <f>transport!C18</f>
        <v>0</v>
      </c>
      <c r="E50" s="948">
        <f>transport!D18</f>
        <v>4.8132314506904379</v>
      </c>
      <c r="F50" s="948">
        <f>transport!E18</f>
        <v>400.18514976654211</v>
      </c>
      <c r="G50" s="948">
        <f>transport!F18</f>
        <v>0</v>
      </c>
      <c r="H50" s="948">
        <f>transport!G18</f>
        <v>120314.83953335515</v>
      </c>
      <c r="I50" s="948">
        <f>transport!H18</f>
        <v>15741.274869492479</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136465.5819909866</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5.7885698519939446</v>
      </c>
      <c r="D52" s="672">
        <f t="shared" ref="D52:Q52" ca="1" si="6">SUM(D48:D51)</f>
        <v>0</v>
      </c>
      <c r="E52" s="672">
        <f t="shared" si="6"/>
        <v>4.8132314506904379</v>
      </c>
      <c r="F52" s="672">
        <f t="shared" si="6"/>
        <v>400.18514976654211</v>
      </c>
      <c r="G52" s="672">
        <f t="shared" si="6"/>
        <v>0</v>
      </c>
      <c r="H52" s="672">
        <f t="shared" si="6"/>
        <v>120650.03352434312</v>
      </c>
      <c r="I52" s="672">
        <f t="shared" si="6"/>
        <v>15741.274869492479</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136802.09534490481</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1846.237923615136</v>
      </c>
      <c r="D54" s="948">
        <f ca="1">+landbouw!C12</f>
        <v>540.43487394957992</v>
      </c>
      <c r="E54" s="948">
        <f>+landbouw!D12</f>
        <v>1237.5961230589671</v>
      </c>
      <c r="F54" s="948">
        <f>+landbouw!E12</f>
        <v>19.744265090854881</v>
      </c>
      <c r="G54" s="948">
        <f>+landbouw!F12</f>
        <v>7845.881703656737</v>
      </c>
      <c r="H54" s="948">
        <f>+landbouw!G12</f>
        <v>0</v>
      </c>
      <c r="I54" s="948">
        <f>+landbouw!H12</f>
        <v>0</v>
      </c>
      <c r="J54" s="948">
        <f>+landbouw!I12</f>
        <v>0</v>
      </c>
      <c r="K54" s="948">
        <f>+landbouw!J12</f>
        <v>311.07972664683552</v>
      </c>
      <c r="L54" s="948">
        <f>+landbouw!K12</f>
        <v>0</v>
      </c>
      <c r="M54" s="948">
        <f>+landbouw!L12</f>
        <v>0</v>
      </c>
      <c r="N54" s="948">
        <f>+landbouw!M12</f>
        <v>0</v>
      </c>
      <c r="O54" s="948">
        <f>+landbouw!N12</f>
        <v>0</v>
      </c>
      <c r="P54" s="948">
        <f>+landbouw!O12</f>
        <v>0</v>
      </c>
      <c r="Q54" s="949">
        <f>+landbouw!P12</f>
        <v>0</v>
      </c>
      <c r="R54" s="671">
        <f ca="1">SUM(C54:Q54)</f>
        <v>11800.974616018111</v>
      </c>
    </row>
    <row r="55" spans="1:18" ht="15" thickBot="1">
      <c r="A55" s="769" t="s">
        <v>847</v>
      </c>
      <c r="B55" s="779"/>
      <c r="C55" s="948">
        <f ca="1">C25*'EF ele_warmte'!B12</f>
        <v>562.14252632752641</v>
      </c>
      <c r="D55" s="948"/>
      <c r="E55" s="948">
        <f>E25*EF_CO2_aardgas</f>
        <v>822.1767826607396</v>
      </c>
      <c r="F55" s="948"/>
      <c r="G55" s="948"/>
      <c r="H55" s="948"/>
      <c r="I55" s="948"/>
      <c r="J55" s="948"/>
      <c r="K55" s="948"/>
      <c r="L55" s="948"/>
      <c r="M55" s="948"/>
      <c r="N55" s="948"/>
      <c r="O55" s="948"/>
      <c r="P55" s="948"/>
      <c r="Q55" s="949"/>
      <c r="R55" s="671">
        <f ca="1">SUM(C55:Q55)</f>
        <v>1384.3193089882661</v>
      </c>
    </row>
    <row r="56" spans="1:18" ht="15.75" thickBot="1">
      <c r="A56" s="767" t="s">
        <v>848</v>
      </c>
      <c r="B56" s="780"/>
      <c r="C56" s="672">
        <f ca="1">SUM(C54:C55)</f>
        <v>2408.3804499426624</v>
      </c>
      <c r="D56" s="672">
        <f t="shared" ref="D56:Q56" ca="1" si="7">SUM(D54:D55)</f>
        <v>540.43487394957992</v>
      </c>
      <c r="E56" s="672">
        <f t="shared" si="7"/>
        <v>2059.7729057197066</v>
      </c>
      <c r="F56" s="672">
        <f t="shared" si="7"/>
        <v>19.744265090854881</v>
      </c>
      <c r="G56" s="672">
        <f t="shared" si="7"/>
        <v>7845.881703656737</v>
      </c>
      <c r="H56" s="672">
        <f t="shared" si="7"/>
        <v>0</v>
      </c>
      <c r="I56" s="672">
        <f t="shared" si="7"/>
        <v>0</v>
      </c>
      <c r="J56" s="672">
        <f t="shared" si="7"/>
        <v>0</v>
      </c>
      <c r="K56" s="672">
        <f t="shared" si="7"/>
        <v>311.07972664683552</v>
      </c>
      <c r="L56" s="672">
        <f t="shared" si="7"/>
        <v>0</v>
      </c>
      <c r="M56" s="672">
        <f t="shared" si="7"/>
        <v>0</v>
      </c>
      <c r="N56" s="672">
        <f t="shared" si="7"/>
        <v>0</v>
      </c>
      <c r="O56" s="672">
        <f t="shared" si="7"/>
        <v>0</v>
      </c>
      <c r="P56" s="672">
        <f t="shared" si="7"/>
        <v>0</v>
      </c>
      <c r="Q56" s="673">
        <f t="shared" si="7"/>
        <v>0</v>
      </c>
      <c r="R56" s="674">
        <f ca="1">SUM(R54:R55)</f>
        <v>13185.293925006377</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39647.452155524094</v>
      </c>
      <c r="D61" s="680">
        <f t="shared" ref="D61:Q61" ca="1" si="8">D46+D52+D56</f>
        <v>540.43487394957992</v>
      </c>
      <c r="E61" s="680">
        <f t="shared" ca="1" si="8"/>
        <v>62265.326459461568</v>
      </c>
      <c r="F61" s="680">
        <f t="shared" si="8"/>
        <v>1531.1143944029484</v>
      </c>
      <c r="G61" s="680">
        <f t="shared" ca="1" si="8"/>
        <v>44472.504521609175</v>
      </c>
      <c r="H61" s="680">
        <f t="shared" si="8"/>
        <v>120650.03352434312</v>
      </c>
      <c r="I61" s="680">
        <f t="shared" si="8"/>
        <v>15741.274869492479</v>
      </c>
      <c r="J61" s="680">
        <f t="shared" si="8"/>
        <v>0</v>
      </c>
      <c r="K61" s="680">
        <f t="shared" si="8"/>
        <v>1123.9349112306281</v>
      </c>
      <c r="L61" s="680">
        <f t="shared" si="8"/>
        <v>0</v>
      </c>
      <c r="M61" s="680">
        <f t="shared" ca="1" si="8"/>
        <v>0</v>
      </c>
      <c r="N61" s="680">
        <f t="shared" si="8"/>
        <v>0</v>
      </c>
      <c r="O61" s="680">
        <f t="shared" ca="1" si="8"/>
        <v>0</v>
      </c>
      <c r="P61" s="680">
        <f t="shared" si="8"/>
        <v>0</v>
      </c>
      <c r="Q61" s="680">
        <f t="shared" si="8"/>
        <v>0</v>
      </c>
      <c r="R61" s="680">
        <f ca="1">R46+R52+R56</f>
        <v>285972.07571001357</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0.20961273288603349</v>
      </c>
      <c r="D63" s="724">
        <f t="shared" ca="1" si="9"/>
        <v>0.23705613187737828</v>
      </c>
      <c r="E63" s="950">
        <f t="shared" ca="1" si="9"/>
        <v>0.20200000000000001</v>
      </c>
      <c r="F63" s="724">
        <f t="shared" si="9"/>
        <v>0.22700000000000004</v>
      </c>
      <c r="G63" s="724">
        <f t="shared" ca="1" si="9"/>
        <v>0.26700000000000007</v>
      </c>
      <c r="H63" s="724">
        <f t="shared" si="9"/>
        <v>0.26700000000000002</v>
      </c>
      <c r="I63" s="724">
        <f t="shared" si="9"/>
        <v>0.249</v>
      </c>
      <c r="J63" s="724">
        <f t="shared" si="9"/>
        <v>0</v>
      </c>
      <c r="K63" s="724">
        <f t="shared" si="9"/>
        <v>0.35399999999999993</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0</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9861.9067222559279</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3.9681818181818174</v>
      </c>
      <c r="C76" s="690">
        <f>'lokale energieproductie'!B8*IFERROR(SUM(D76:H76)/SUM(D76:O76),0)</f>
        <v>1591.875</v>
      </c>
      <c r="D76" s="960">
        <f>'lokale energieproductie'!C8</f>
        <v>1872.794117647059</v>
      </c>
      <c r="E76" s="961">
        <f>'lokale energieproductie'!D8</f>
        <v>0</v>
      </c>
      <c r="F76" s="961">
        <f>'lokale energieproductie'!E8</f>
        <v>0</v>
      </c>
      <c r="G76" s="961">
        <f>'lokale energieproductie'!F8</f>
        <v>0</v>
      </c>
      <c r="H76" s="961">
        <f>'lokale energieproductie'!G8</f>
        <v>0</v>
      </c>
      <c r="I76" s="961">
        <f>'lokale energieproductie'!I8</f>
        <v>0</v>
      </c>
      <c r="J76" s="961">
        <f>'lokale energieproductie'!J8</f>
        <v>4.6684491978609621</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378.30441176470595</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9865.8749040741095</v>
      </c>
      <c r="C78" s="695">
        <f>SUM(C72:C77)</f>
        <v>1591.875</v>
      </c>
      <c r="D78" s="696">
        <f t="shared" ref="D78:H78" si="10">SUM(D76:D77)</f>
        <v>1872.794117647059</v>
      </c>
      <c r="E78" s="696">
        <f t="shared" si="10"/>
        <v>0</v>
      </c>
      <c r="F78" s="696">
        <f t="shared" si="10"/>
        <v>0</v>
      </c>
      <c r="G78" s="696">
        <f t="shared" si="10"/>
        <v>0</v>
      </c>
      <c r="H78" s="696">
        <f t="shared" si="10"/>
        <v>0</v>
      </c>
      <c r="I78" s="696">
        <f>SUM(I76:I77)</f>
        <v>0</v>
      </c>
      <c r="J78" s="696">
        <f>SUM(J76:J77)</f>
        <v>4.6684491978609621</v>
      </c>
      <c r="K78" s="696">
        <f t="shared" ref="K78:L78" si="11">SUM(K76:K77)</f>
        <v>0</v>
      </c>
      <c r="L78" s="696">
        <f t="shared" si="11"/>
        <v>0</v>
      </c>
      <c r="M78" s="696">
        <f>SUM(M76:M77)</f>
        <v>0</v>
      </c>
      <c r="N78" s="696">
        <f>SUM(N76:N77)</f>
        <v>0</v>
      </c>
      <c r="O78" s="804">
        <f>SUM(O76:O77)</f>
        <v>0</v>
      </c>
      <c r="P78" s="697">
        <v>0</v>
      </c>
      <c r="Q78" s="697">
        <f>SUM(Q76:Q77)</f>
        <v>378.30441176470595</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5.6688311688311694</v>
      </c>
      <c r="C87" s="706">
        <f>'lokale energieproductie'!B17*IFERROR(SUM(D87:H87)/SUM(D87:O87),0)</f>
        <v>2274.1071428571431</v>
      </c>
      <c r="D87" s="717">
        <f>'lokale energieproductie'!C17</f>
        <v>2675.4201680672272</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6.669213139801375</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540.43487394957992</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5.6688311688311694</v>
      </c>
      <c r="C90" s="695">
        <f>SUM(C87:C89)</f>
        <v>2274.1071428571431</v>
      </c>
      <c r="D90" s="695">
        <f t="shared" ref="D90:H90" si="12">SUM(D87:D89)</f>
        <v>2675.4201680672272</v>
      </c>
      <c r="E90" s="695">
        <f t="shared" si="12"/>
        <v>0</v>
      </c>
      <c r="F90" s="695">
        <f t="shared" si="12"/>
        <v>0</v>
      </c>
      <c r="G90" s="695">
        <f t="shared" si="12"/>
        <v>0</v>
      </c>
      <c r="H90" s="695">
        <f t="shared" si="12"/>
        <v>0</v>
      </c>
      <c r="I90" s="695">
        <f>SUM(I87:I89)</f>
        <v>0</v>
      </c>
      <c r="J90" s="695">
        <f>SUM(J87:J89)</f>
        <v>6.669213139801375</v>
      </c>
      <c r="K90" s="695">
        <f t="shared" ref="K90:L90" si="13">SUM(K87:K89)</f>
        <v>0</v>
      </c>
      <c r="L90" s="695">
        <f t="shared" si="13"/>
        <v>0</v>
      </c>
      <c r="M90" s="695">
        <f>SUM(M87:M89)</f>
        <v>0</v>
      </c>
      <c r="N90" s="695">
        <f>SUM(N87:N89)</f>
        <v>0</v>
      </c>
      <c r="O90" s="695">
        <f>SUM(O87:O89)</f>
        <v>0</v>
      </c>
      <c r="P90" s="695">
        <v>0</v>
      </c>
      <c r="Q90" s="695">
        <f>SUM(Q87:Q89)</f>
        <v>540.43487394957992</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60734.377862914975</v>
      </c>
      <c r="C4" s="447">
        <f>huishoudens!C8</f>
        <v>0</v>
      </c>
      <c r="D4" s="447">
        <f>huishoudens!D8</f>
        <v>70004.718578101936</v>
      </c>
      <c r="E4" s="447">
        <f>huishoudens!E8</f>
        <v>3615.8052562756307</v>
      </c>
      <c r="F4" s="447">
        <f>huishoudens!F8</f>
        <v>110235.40451140694</v>
      </c>
      <c r="G4" s="447">
        <f>huishoudens!G8</f>
        <v>0</v>
      </c>
      <c r="H4" s="447">
        <f>huishoudens!H8</f>
        <v>0</v>
      </c>
      <c r="I4" s="447">
        <f>huishoudens!I8</f>
        <v>0</v>
      </c>
      <c r="J4" s="447">
        <f>huishoudens!J8</f>
        <v>2000.1830037920222</v>
      </c>
      <c r="K4" s="447">
        <f>huishoudens!K8</f>
        <v>0</v>
      </c>
      <c r="L4" s="447">
        <f>huishoudens!L8</f>
        <v>0</v>
      </c>
      <c r="M4" s="447">
        <f>huishoudens!M8</f>
        <v>0</v>
      </c>
      <c r="N4" s="447">
        <f>huishoudens!N8</f>
        <v>17404.458085104725</v>
      </c>
      <c r="O4" s="447">
        <f>huishoudens!O8</f>
        <v>245.44333333333333</v>
      </c>
      <c r="P4" s="448">
        <f>huishoudens!P8</f>
        <v>896.13333333333333</v>
      </c>
      <c r="Q4" s="449">
        <f>SUM(B4:P4)</f>
        <v>265136.52396426292</v>
      </c>
    </row>
    <row r="5" spans="1:17">
      <c r="A5" s="446" t="s">
        <v>149</v>
      </c>
      <c r="B5" s="447">
        <f ca="1">tertiair!B16</f>
        <v>35417.716185948004</v>
      </c>
      <c r="C5" s="447">
        <f ca="1">tertiair!C16</f>
        <v>0</v>
      </c>
      <c r="D5" s="447">
        <f ca="1">tertiair!D16</f>
        <v>27466.760791831508</v>
      </c>
      <c r="E5" s="447">
        <f>tertiair!E16</f>
        <v>343.56770825372183</v>
      </c>
      <c r="F5" s="447">
        <f ca="1">tertiair!F16</f>
        <v>6959.1635199330485</v>
      </c>
      <c r="G5" s="447">
        <f>tertiair!G16</f>
        <v>0</v>
      </c>
      <c r="H5" s="447">
        <f>tertiair!H16</f>
        <v>0</v>
      </c>
      <c r="I5" s="447">
        <f>tertiair!I16</f>
        <v>0</v>
      </c>
      <c r="J5" s="447">
        <f>tertiair!J16</f>
        <v>0</v>
      </c>
      <c r="K5" s="447">
        <f>tertiair!K16</f>
        <v>0</v>
      </c>
      <c r="L5" s="447">
        <f ca="1">tertiair!L16</f>
        <v>0</v>
      </c>
      <c r="M5" s="447">
        <f>tertiair!M16</f>
        <v>0</v>
      </c>
      <c r="N5" s="447">
        <f ca="1">tertiair!N16</f>
        <v>2660.669430841313</v>
      </c>
      <c r="O5" s="447">
        <f>tertiair!O16</f>
        <v>7.8166666666666664</v>
      </c>
      <c r="P5" s="448">
        <f>tertiair!P16</f>
        <v>190.66666666666669</v>
      </c>
      <c r="Q5" s="446">
        <f t="shared" ref="Q5:Q14" ca="1" si="0">SUM(B5:P5)</f>
        <v>73046.36097014093</v>
      </c>
    </row>
    <row r="6" spans="1:17">
      <c r="A6" s="446" t="s">
        <v>187</v>
      </c>
      <c r="B6" s="447">
        <f>'openbare verlichting'!B8</f>
        <v>2670.42</v>
      </c>
      <c r="C6" s="447"/>
      <c r="D6" s="447"/>
      <c r="E6" s="447"/>
      <c r="F6" s="447"/>
      <c r="G6" s="447"/>
      <c r="H6" s="447"/>
      <c r="I6" s="447"/>
      <c r="J6" s="447"/>
      <c r="K6" s="447"/>
      <c r="L6" s="447"/>
      <c r="M6" s="447"/>
      <c r="N6" s="447"/>
      <c r="O6" s="447"/>
      <c r="P6" s="448"/>
      <c r="Q6" s="446">
        <f t="shared" si="0"/>
        <v>2670.42</v>
      </c>
    </row>
    <row r="7" spans="1:17">
      <c r="A7" s="446" t="s">
        <v>105</v>
      </c>
      <c r="B7" s="447">
        <f>landbouw!B8</f>
        <v>8807.8519763345485</v>
      </c>
      <c r="C7" s="447">
        <f>landbouw!C8</f>
        <v>2279.7759740259744</v>
      </c>
      <c r="D7" s="447">
        <f>landbouw!D8</f>
        <v>6126.713480489936</v>
      </c>
      <c r="E7" s="447">
        <f>landbouw!E8</f>
        <v>86.979141369404758</v>
      </c>
      <c r="F7" s="447">
        <f>landbouw!F8</f>
        <v>29385.324732796766</v>
      </c>
      <c r="G7" s="447">
        <f>landbouw!G8</f>
        <v>0</v>
      </c>
      <c r="H7" s="447">
        <f>landbouw!H8</f>
        <v>0</v>
      </c>
      <c r="I7" s="447">
        <f>landbouw!I8</f>
        <v>0</v>
      </c>
      <c r="J7" s="447">
        <f>landbouw!J8</f>
        <v>878.75628996281228</v>
      </c>
      <c r="K7" s="447">
        <f>landbouw!K8</f>
        <v>0</v>
      </c>
      <c r="L7" s="447">
        <f>landbouw!L8</f>
        <v>0</v>
      </c>
      <c r="M7" s="447">
        <f>landbouw!M8</f>
        <v>0</v>
      </c>
      <c r="N7" s="447">
        <f>landbouw!N8</f>
        <v>0</v>
      </c>
      <c r="O7" s="447">
        <f>landbouw!O8</f>
        <v>0</v>
      </c>
      <c r="P7" s="448">
        <f>landbouw!P8</f>
        <v>0</v>
      </c>
      <c r="Q7" s="446">
        <f t="shared" si="0"/>
        <v>47565.401594979441</v>
      </c>
    </row>
    <row r="8" spans="1:17">
      <c r="A8" s="446" t="s">
        <v>640</v>
      </c>
      <c r="B8" s="447">
        <f>industrie!B18</f>
        <v>78806.404877417997</v>
      </c>
      <c r="C8" s="447">
        <f>industrie!C18</f>
        <v>0</v>
      </c>
      <c r="D8" s="447">
        <f>industrie!D18</f>
        <v>200551.98757210205</v>
      </c>
      <c r="E8" s="447">
        <f>industrie!E18</f>
        <v>935.71505108981648</v>
      </c>
      <c r="F8" s="447">
        <f>industrie!F18</f>
        <v>19983.794582714072</v>
      </c>
      <c r="G8" s="447">
        <f>industrie!G18</f>
        <v>0</v>
      </c>
      <c r="H8" s="447">
        <f>industrie!H18</f>
        <v>0</v>
      </c>
      <c r="I8" s="447">
        <f>industrie!I18</f>
        <v>0</v>
      </c>
      <c r="J8" s="447">
        <f>industrie!J18</f>
        <v>296.01808260287265</v>
      </c>
      <c r="K8" s="447">
        <f>industrie!K18</f>
        <v>0</v>
      </c>
      <c r="L8" s="447">
        <f>industrie!L18</f>
        <v>0</v>
      </c>
      <c r="M8" s="447">
        <f>industrie!M18</f>
        <v>0</v>
      </c>
      <c r="N8" s="447">
        <f>industrie!N18</f>
        <v>5893.0268059684931</v>
      </c>
      <c r="O8" s="447">
        <f>industrie!O18</f>
        <v>0</v>
      </c>
      <c r="P8" s="448">
        <f>industrie!P18</f>
        <v>0</v>
      </c>
      <c r="Q8" s="446">
        <f t="shared" si="0"/>
        <v>306466.94697189535</v>
      </c>
    </row>
    <row r="9" spans="1:17" s="452" customFormat="1">
      <c r="A9" s="450" t="s">
        <v>560</v>
      </c>
      <c r="B9" s="451">
        <f>transport!B14</f>
        <v>21.321256873165883</v>
      </c>
      <c r="C9" s="451">
        <f>transport!C14</f>
        <v>0</v>
      </c>
      <c r="D9" s="451">
        <f>transport!D14</f>
        <v>23.827878468764542</v>
      </c>
      <c r="E9" s="451">
        <f>transport!E14</f>
        <v>1762.9301751830048</v>
      </c>
      <c r="F9" s="451">
        <f>transport!F14</f>
        <v>0</v>
      </c>
      <c r="G9" s="451">
        <f>transport!G14</f>
        <v>450617.37652941997</v>
      </c>
      <c r="H9" s="451">
        <f>transport!H14</f>
        <v>63217.97136342361</v>
      </c>
      <c r="I9" s="451">
        <f>transport!I14</f>
        <v>0</v>
      </c>
      <c r="J9" s="451">
        <f>transport!J14</f>
        <v>0</v>
      </c>
      <c r="K9" s="451">
        <f>transport!K14</f>
        <v>0</v>
      </c>
      <c r="L9" s="451">
        <f>transport!L14</f>
        <v>0</v>
      </c>
      <c r="M9" s="451">
        <f>transport!M14</f>
        <v>22946.231799425386</v>
      </c>
      <c r="N9" s="451">
        <f>transport!N14</f>
        <v>0</v>
      </c>
      <c r="O9" s="451">
        <f>transport!O14</f>
        <v>0</v>
      </c>
      <c r="P9" s="451">
        <f>transport!P14</f>
        <v>0</v>
      </c>
      <c r="Q9" s="450">
        <f>SUM(B9:P9)</f>
        <v>538589.65900279395</v>
      </c>
    </row>
    <row r="10" spans="1:17">
      <c r="A10" s="446" t="s">
        <v>550</v>
      </c>
      <c r="B10" s="447">
        <f>transport!B54</f>
        <v>6.2942881001501814</v>
      </c>
      <c r="C10" s="447">
        <f>transport!C54</f>
        <v>0</v>
      </c>
      <c r="D10" s="447">
        <f>transport!D54</f>
        <v>0</v>
      </c>
      <c r="E10" s="447">
        <f>transport!E54</f>
        <v>0</v>
      </c>
      <c r="F10" s="447">
        <f>transport!F54</f>
        <v>0</v>
      </c>
      <c r="G10" s="447">
        <f>transport!G54</f>
        <v>1255.4082059474845</v>
      </c>
      <c r="H10" s="447">
        <f>transport!H54</f>
        <v>0</v>
      </c>
      <c r="I10" s="447">
        <f>transport!I54</f>
        <v>0</v>
      </c>
      <c r="J10" s="447">
        <f>transport!J54</f>
        <v>0</v>
      </c>
      <c r="K10" s="447">
        <f>transport!K54</f>
        <v>0</v>
      </c>
      <c r="L10" s="447">
        <f>transport!L54</f>
        <v>0</v>
      </c>
      <c r="M10" s="447">
        <f>transport!M54</f>
        <v>55.487705639250443</v>
      </c>
      <c r="N10" s="447">
        <f>transport!N54</f>
        <v>0</v>
      </c>
      <c r="O10" s="447">
        <f>transport!O54</f>
        <v>0</v>
      </c>
      <c r="P10" s="448">
        <f>transport!P54</f>
        <v>0</v>
      </c>
      <c r="Q10" s="446">
        <f t="shared" si="0"/>
        <v>1317.1901996868851</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2681.814785713249</v>
      </c>
      <c r="C14" s="454"/>
      <c r="D14" s="454">
        <f>'SEAP template'!E25</f>
        <v>4070.1820923798987</v>
      </c>
      <c r="E14" s="454"/>
      <c r="F14" s="454"/>
      <c r="G14" s="454"/>
      <c r="H14" s="454"/>
      <c r="I14" s="454"/>
      <c r="J14" s="454"/>
      <c r="K14" s="454"/>
      <c r="L14" s="454"/>
      <c r="M14" s="454"/>
      <c r="N14" s="454"/>
      <c r="O14" s="454"/>
      <c r="P14" s="455"/>
      <c r="Q14" s="446">
        <f t="shared" si="0"/>
        <v>6751.9968780931476</v>
      </c>
    </row>
    <row r="15" spans="1:17" s="459" customFormat="1">
      <c r="A15" s="456" t="s">
        <v>554</v>
      </c>
      <c r="B15" s="457">
        <f ca="1">SUM(B4:B14)</f>
        <v>189146.2012333021</v>
      </c>
      <c r="C15" s="457">
        <f t="shared" ref="C15:Q15" ca="1" si="1">SUM(C4:C14)</f>
        <v>2279.7759740259744</v>
      </c>
      <c r="D15" s="457">
        <f t="shared" ca="1" si="1"/>
        <v>308244.19039337413</v>
      </c>
      <c r="E15" s="457">
        <f t="shared" si="1"/>
        <v>6744.9973321715788</v>
      </c>
      <c r="F15" s="457">
        <f t="shared" ca="1" si="1"/>
        <v>166563.68734685081</v>
      </c>
      <c r="G15" s="457">
        <f t="shared" si="1"/>
        <v>451872.78473536746</v>
      </c>
      <c r="H15" s="457">
        <f t="shared" si="1"/>
        <v>63217.97136342361</v>
      </c>
      <c r="I15" s="457">
        <f t="shared" si="1"/>
        <v>0</v>
      </c>
      <c r="J15" s="457">
        <f t="shared" si="1"/>
        <v>3174.9573763577073</v>
      </c>
      <c r="K15" s="457">
        <f t="shared" si="1"/>
        <v>0</v>
      </c>
      <c r="L15" s="457">
        <f t="shared" ca="1" si="1"/>
        <v>0</v>
      </c>
      <c r="M15" s="457">
        <f t="shared" si="1"/>
        <v>23001.719505064637</v>
      </c>
      <c r="N15" s="457">
        <f t="shared" ca="1" si="1"/>
        <v>25958.154321914531</v>
      </c>
      <c r="O15" s="457">
        <f t="shared" si="1"/>
        <v>253.26</v>
      </c>
      <c r="P15" s="457">
        <f t="shared" si="1"/>
        <v>1086.8</v>
      </c>
      <c r="Q15" s="457">
        <f t="shared" ca="1" si="1"/>
        <v>1241544.4995818527</v>
      </c>
    </row>
    <row r="17" spans="1:17">
      <c r="A17" s="460" t="s">
        <v>555</v>
      </c>
      <c r="B17" s="729">
        <f ca="1">huishoudens!B10</f>
        <v>0.20961273288603349</v>
      </c>
      <c r="C17" s="729">
        <f ca="1">huishoudens!C10</f>
        <v>0.23705613187737828</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12730.698923978622</v>
      </c>
      <c r="C22" s="447">
        <f t="shared" ref="C22:C32" ca="1" si="3">C4*$C$17</f>
        <v>0</v>
      </c>
      <c r="D22" s="447">
        <f t="shared" ref="D22:D32" si="4">D4*$D$17</f>
        <v>14140.953152776592</v>
      </c>
      <c r="E22" s="447">
        <f t="shared" ref="E22:E32" si="5">E4*$E$17</f>
        <v>820.78779317456815</v>
      </c>
      <c r="F22" s="447">
        <f t="shared" ref="F22:F32" si="6">F4*$F$17</f>
        <v>29432.853004545657</v>
      </c>
      <c r="G22" s="447">
        <f t="shared" ref="G22:G32" si="7">G4*$G$17</f>
        <v>0</v>
      </c>
      <c r="H22" s="447">
        <f t="shared" ref="H22:H32" si="8">H4*$H$17</f>
        <v>0</v>
      </c>
      <c r="I22" s="447">
        <f t="shared" ref="I22:I32" si="9">I4*$I$17</f>
        <v>0</v>
      </c>
      <c r="J22" s="447">
        <f t="shared" ref="J22:J32" si="10">J4*$J$17</f>
        <v>708.06478334237579</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57833.357657817818</v>
      </c>
    </row>
    <row r="23" spans="1:17">
      <c r="A23" s="446" t="s">
        <v>149</v>
      </c>
      <c r="B23" s="447">
        <f t="shared" ca="1" si="2"/>
        <v>7424.004282318464</v>
      </c>
      <c r="C23" s="447">
        <f t="shared" ca="1" si="3"/>
        <v>0</v>
      </c>
      <c r="D23" s="447">
        <f t="shared" ca="1" si="4"/>
        <v>5548.285679949965</v>
      </c>
      <c r="E23" s="447">
        <f t="shared" si="5"/>
        <v>77.989869773594862</v>
      </c>
      <c r="F23" s="447">
        <f t="shared" ca="1" si="6"/>
        <v>1858.0966598221241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14908.376491864148</v>
      </c>
    </row>
    <row r="24" spans="1:17">
      <c r="A24" s="446" t="s">
        <v>187</v>
      </c>
      <c r="B24" s="447">
        <f t="shared" ca="1" si="2"/>
        <v>559.75403415352162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559.75403415352162</v>
      </c>
    </row>
    <row r="25" spans="1:17">
      <c r="A25" s="446" t="s">
        <v>105</v>
      </c>
      <c r="B25" s="447">
        <f t="shared" ca="1" si="2"/>
        <v>1846.237923615136</v>
      </c>
      <c r="C25" s="447">
        <f t="shared" ca="1" si="3"/>
        <v>540.43487394957992</v>
      </c>
      <c r="D25" s="447">
        <f t="shared" si="4"/>
        <v>1237.5961230589671</v>
      </c>
      <c r="E25" s="447">
        <f t="shared" si="5"/>
        <v>19.744265090854881</v>
      </c>
      <c r="F25" s="447">
        <f t="shared" si="6"/>
        <v>7845.881703656737</v>
      </c>
      <c r="G25" s="447">
        <f t="shared" si="7"/>
        <v>0</v>
      </c>
      <c r="H25" s="447">
        <f t="shared" si="8"/>
        <v>0</v>
      </c>
      <c r="I25" s="447">
        <f t="shared" si="9"/>
        <v>0</v>
      </c>
      <c r="J25" s="447">
        <f t="shared" si="10"/>
        <v>311.07972664683552</v>
      </c>
      <c r="K25" s="447">
        <f t="shared" si="11"/>
        <v>0</v>
      </c>
      <c r="L25" s="447">
        <f t="shared" si="12"/>
        <v>0</v>
      </c>
      <c r="M25" s="447">
        <f t="shared" si="13"/>
        <v>0</v>
      </c>
      <c r="N25" s="447">
        <f t="shared" si="14"/>
        <v>0</v>
      </c>
      <c r="O25" s="447">
        <f t="shared" si="15"/>
        <v>0</v>
      </c>
      <c r="P25" s="448">
        <f t="shared" si="16"/>
        <v>0</v>
      </c>
      <c r="Q25" s="446">
        <f t="shared" ca="1" si="17"/>
        <v>11800.974616018111</v>
      </c>
    </row>
    <row r="26" spans="1:17">
      <c r="A26" s="446" t="s">
        <v>640</v>
      </c>
      <c r="B26" s="447">
        <f t="shared" ca="1" si="2"/>
        <v>16518.825895278827</v>
      </c>
      <c r="C26" s="447">
        <f t="shared" ca="1" si="3"/>
        <v>0</v>
      </c>
      <c r="D26" s="447">
        <f t="shared" si="4"/>
        <v>40511.501489564616</v>
      </c>
      <c r="E26" s="447">
        <f t="shared" si="5"/>
        <v>212.40731659738836</v>
      </c>
      <c r="F26" s="447">
        <f t="shared" si="6"/>
        <v>5335.6731535846575</v>
      </c>
      <c r="G26" s="447">
        <f t="shared" si="7"/>
        <v>0</v>
      </c>
      <c r="H26" s="447">
        <f t="shared" si="8"/>
        <v>0</v>
      </c>
      <c r="I26" s="447">
        <f t="shared" si="9"/>
        <v>0</v>
      </c>
      <c r="J26" s="447">
        <f t="shared" si="10"/>
        <v>104.79040124141692</v>
      </c>
      <c r="K26" s="447">
        <f t="shared" si="11"/>
        <v>0</v>
      </c>
      <c r="L26" s="447">
        <f t="shared" si="12"/>
        <v>0</v>
      </c>
      <c r="M26" s="447">
        <f t="shared" si="13"/>
        <v>0</v>
      </c>
      <c r="N26" s="447">
        <f t="shared" si="14"/>
        <v>0</v>
      </c>
      <c r="O26" s="447">
        <f t="shared" si="15"/>
        <v>0</v>
      </c>
      <c r="P26" s="448">
        <f t="shared" si="16"/>
        <v>0</v>
      </c>
      <c r="Q26" s="446">
        <f t="shared" ca="1" si="17"/>
        <v>62683.198256266907</v>
      </c>
    </row>
    <row r="27" spans="1:17" s="452" customFormat="1">
      <c r="A27" s="450" t="s">
        <v>560</v>
      </c>
      <c r="B27" s="723">
        <f t="shared" ca="1" si="2"/>
        <v>4.4692069217494259</v>
      </c>
      <c r="C27" s="451">
        <f t="shared" ca="1" si="3"/>
        <v>0</v>
      </c>
      <c r="D27" s="451">
        <f t="shared" si="4"/>
        <v>4.8132314506904379</v>
      </c>
      <c r="E27" s="451">
        <f t="shared" si="5"/>
        <v>400.18514976654211</v>
      </c>
      <c r="F27" s="451">
        <f t="shared" si="6"/>
        <v>0</v>
      </c>
      <c r="G27" s="451">
        <f t="shared" si="7"/>
        <v>120314.83953335515</v>
      </c>
      <c r="H27" s="451">
        <f t="shared" si="8"/>
        <v>15741.274869492479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136465.5819909866</v>
      </c>
    </row>
    <row r="28" spans="1:17">
      <c r="A28" s="446" t="s">
        <v>550</v>
      </c>
      <c r="B28" s="447">
        <f t="shared" ca="1" si="2"/>
        <v>1.3193629302445191</v>
      </c>
      <c r="C28" s="447">
        <f t="shared" ca="1" si="3"/>
        <v>0</v>
      </c>
      <c r="D28" s="447">
        <f t="shared" si="4"/>
        <v>0</v>
      </c>
      <c r="E28" s="447">
        <f t="shared" si="5"/>
        <v>0</v>
      </c>
      <c r="F28" s="447">
        <f t="shared" si="6"/>
        <v>0</v>
      </c>
      <c r="G28" s="447">
        <f t="shared" si="7"/>
        <v>335.1939909879784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336.51335391822289</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562.14252632752641</v>
      </c>
      <c r="C32" s="447">
        <f t="shared" ca="1" si="3"/>
        <v>0</v>
      </c>
      <c r="D32" s="447">
        <f t="shared" si="4"/>
        <v>822.1767826607396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1384.3193089882661</v>
      </c>
    </row>
    <row r="33" spans="1:17" s="459" customFormat="1">
      <c r="A33" s="456" t="s">
        <v>554</v>
      </c>
      <c r="B33" s="457">
        <f ca="1">SUM(B22:B32)</f>
        <v>39647.452155524086</v>
      </c>
      <c r="C33" s="457">
        <f t="shared" ref="C33:Q33" ca="1" si="18">SUM(C22:C32)</f>
        <v>540.43487394957992</v>
      </c>
      <c r="D33" s="457">
        <f t="shared" ca="1" si="18"/>
        <v>62265.326459461568</v>
      </c>
      <c r="E33" s="457">
        <f t="shared" si="18"/>
        <v>1531.1143944029484</v>
      </c>
      <c r="F33" s="457">
        <f t="shared" ca="1" si="18"/>
        <v>44472.504521609175</v>
      </c>
      <c r="G33" s="457">
        <f t="shared" si="18"/>
        <v>120650.03352434312</v>
      </c>
      <c r="H33" s="457">
        <f t="shared" si="18"/>
        <v>15741.274869492479</v>
      </c>
      <c r="I33" s="457">
        <f t="shared" si="18"/>
        <v>0</v>
      </c>
      <c r="J33" s="457">
        <f t="shared" si="18"/>
        <v>1123.9349112306281</v>
      </c>
      <c r="K33" s="457">
        <f t="shared" si="18"/>
        <v>0</v>
      </c>
      <c r="L33" s="457">
        <f t="shared" ca="1" si="18"/>
        <v>0</v>
      </c>
      <c r="M33" s="457">
        <f t="shared" si="18"/>
        <v>0</v>
      </c>
      <c r="N33" s="457">
        <f t="shared" ca="1" si="18"/>
        <v>0</v>
      </c>
      <c r="O33" s="457">
        <f t="shared" si="18"/>
        <v>0</v>
      </c>
      <c r="P33" s="457">
        <f t="shared" si="18"/>
        <v>0</v>
      </c>
      <c r="Q33" s="457">
        <f t="shared" ca="1" si="18"/>
        <v>285972.07571001363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0</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9861.9067222559279</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3.9681818181818174</v>
      </c>
      <c r="C8" s="977">
        <f>'SEAP template'!C76</f>
        <v>1591.875</v>
      </c>
      <c r="D8" s="977">
        <f>'SEAP template'!D76</f>
        <v>1872.794117647059</v>
      </c>
      <c r="E8" s="977">
        <f>'SEAP template'!E76</f>
        <v>0</v>
      </c>
      <c r="F8" s="977">
        <f>'SEAP template'!F76</f>
        <v>0</v>
      </c>
      <c r="G8" s="977">
        <f>'SEAP template'!G76</f>
        <v>0</v>
      </c>
      <c r="H8" s="977">
        <f>'SEAP template'!H76</f>
        <v>0</v>
      </c>
      <c r="I8" s="977">
        <f>'SEAP template'!I76</f>
        <v>0</v>
      </c>
      <c r="J8" s="977">
        <f>'SEAP template'!J76</f>
        <v>4.6684491978609621</v>
      </c>
      <c r="K8" s="977">
        <f>'SEAP template'!K76</f>
        <v>0</v>
      </c>
      <c r="L8" s="977">
        <f>'SEAP template'!L76</f>
        <v>0</v>
      </c>
      <c r="M8" s="977">
        <f>'SEAP template'!M76</f>
        <v>0</v>
      </c>
      <c r="N8" s="977">
        <f>'SEAP template'!N76</f>
        <v>0</v>
      </c>
      <c r="O8" s="977">
        <f>'SEAP template'!O76</f>
        <v>0</v>
      </c>
      <c r="P8" s="978">
        <f>'SEAP template'!Q76</f>
        <v>378.30441176470595</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9865.8749040741095</v>
      </c>
      <c r="C10" s="981">
        <f>SUM(C4:C9)</f>
        <v>1591.875</v>
      </c>
      <c r="D10" s="981">
        <f t="shared" ref="D10:H10" si="0">SUM(D8:D9)</f>
        <v>1872.794117647059</v>
      </c>
      <c r="E10" s="981">
        <f t="shared" si="0"/>
        <v>0</v>
      </c>
      <c r="F10" s="981">
        <f t="shared" si="0"/>
        <v>0</v>
      </c>
      <c r="G10" s="981">
        <f t="shared" si="0"/>
        <v>0</v>
      </c>
      <c r="H10" s="981">
        <f t="shared" si="0"/>
        <v>0</v>
      </c>
      <c r="I10" s="981">
        <f>SUM(I8:I9)</f>
        <v>0</v>
      </c>
      <c r="J10" s="981">
        <f>SUM(J8:J9)</f>
        <v>4.6684491978609621</v>
      </c>
      <c r="K10" s="981">
        <f t="shared" ref="K10:L10" si="1">SUM(K8:K9)</f>
        <v>0</v>
      </c>
      <c r="L10" s="981">
        <f t="shared" si="1"/>
        <v>0</v>
      </c>
      <c r="M10" s="981">
        <f>SUM(M8:M9)</f>
        <v>0</v>
      </c>
      <c r="N10" s="981">
        <f>SUM(N8:N9)</f>
        <v>0</v>
      </c>
      <c r="O10" s="981">
        <f>SUM(O8:O9)</f>
        <v>0</v>
      </c>
      <c r="P10" s="981">
        <f>SUM(P8:P9)</f>
        <v>378.30441176470595</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0.20961273288603349</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5.6688311688311694</v>
      </c>
      <c r="C17" s="984">
        <f>'SEAP template'!C87</f>
        <v>2274.1071428571431</v>
      </c>
      <c r="D17" s="978">
        <f>'SEAP template'!D87</f>
        <v>2675.4201680672272</v>
      </c>
      <c r="E17" s="978">
        <f>'SEAP template'!E87</f>
        <v>0</v>
      </c>
      <c r="F17" s="978">
        <f>'SEAP template'!F87</f>
        <v>0</v>
      </c>
      <c r="G17" s="978">
        <f>'SEAP template'!G87</f>
        <v>0</v>
      </c>
      <c r="H17" s="978">
        <f>'SEAP template'!H87</f>
        <v>0</v>
      </c>
      <c r="I17" s="978">
        <f>'SEAP template'!I87</f>
        <v>0</v>
      </c>
      <c r="J17" s="978">
        <f>'SEAP template'!J87</f>
        <v>6.669213139801375</v>
      </c>
      <c r="K17" s="978">
        <f>'SEAP template'!K87</f>
        <v>0</v>
      </c>
      <c r="L17" s="978">
        <f>'SEAP template'!L87</f>
        <v>0</v>
      </c>
      <c r="M17" s="978">
        <f>'SEAP template'!M87</f>
        <v>0</v>
      </c>
      <c r="N17" s="978">
        <f>'SEAP template'!N87</f>
        <v>0</v>
      </c>
      <c r="O17" s="978">
        <f>'SEAP template'!O87</f>
        <v>0</v>
      </c>
      <c r="P17" s="978">
        <f>'SEAP template'!Q87</f>
        <v>540.43487394957992</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5.6688311688311694</v>
      </c>
      <c r="C20" s="981">
        <f>SUM(C17:C19)</f>
        <v>2274.1071428571431</v>
      </c>
      <c r="D20" s="981">
        <f t="shared" ref="D20:H20" si="2">SUM(D17:D19)</f>
        <v>2675.4201680672272</v>
      </c>
      <c r="E20" s="981">
        <f t="shared" si="2"/>
        <v>0</v>
      </c>
      <c r="F20" s="981">
        <f t="shared" si="2"/>
        <v>0</v>
      </c>
      <c r="G20" s="981">
        <f t="shared" si="2"/>
        <v>0</v>
      </c>
      <c r="H20" s="981">
        <f t="shared" si="2"/>
        <v>0</v>
      </c>
      <c r="I20" s="981">
        <f>SUM(I17:I19)</f>
        <v>0</v>
      </c>
      <c r="J20" s="981">
        <f>SUM(J17:J19)</f>
        <v>6.669213139801375</v>
      </c>
      <c r="K20" s="981">
        <f t="shared" ref="K20:L20" si="3">SUM(K17:K19)</f>
        <v>0</v>
      </c>
      <c r="L20" s="981">
        <f t="shared" si="3"/>
        <v>0</v>
      </c>
      <c r="M20" s="981">
        <f>SUM(M17:M19)</f>
        <v>0</v>
      </c>
      <c r="N20" s="981">
        <f>SUM(N17:N19)</f>
        <v>0</v>
      </c>
      <c r="O20" s="981">
        <f>SUM(O17:O19)</f>
        <v>0</v>
      </c>
      <c r="P20" s="981">
        <f>SUM(P17:P19)</f>
        <v>540.43487394957992</v>
      </c>
    </row>
    <row r="22" spans="1:16">
      <c r="A22" s="460" t="s">
        <v>867</v>
      </c>
      <c r="B22" s="729" t="s">
        <v>861</v>
      </c>
      <c r="C22" s="729">
        <f ca="1">'EF ele_warmte'!B22</f>
        <v>0.23705613187737828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0.20961273288603349</v>
      </c>
      <c r="C17" s="496">
        <f ca="1">'EF ele_warmte'!B22</f>
        <v>0.23705613187737828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3.1266666666666669</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0.20961273288603349</v>
      </c>
      <c r="C17" s="496">
        <f ca="1">'EF ele_warmte'!B22</f>
        <v>0.23705613187737828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0.20961273288603349</v>
      </c>
      <c r="C29" s="497">
        <f ca="1">'EF ele_warmte'!B22</f>
        <v>0.23705613187737828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11423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7347</v>
      </c>
      <c r="C14" s="327"/>
      <c r="D14" s="327"/>
      <c r="E14" s="327"/>
      <c r="F14" s="327"/>
    </row>
    <row r="15" spans="1:6">
      <c r="A15" s="1258" t="s">
        <v>177</v>
      </c>
      <c r="B15" s="1259">
        <v>686</v>
      </c>
      <c r="C15" s="327"/>
      <c r="D15" s="327"/>
      <c r="E15" s="327"/>
      <c r="F15" s="327"/>
    </row>
    <row r="16" spans="1:6">
      <c r="A16" s="1258" t="s">
        <v>6</v>
      </c>
      <c r="B16" s="1259">
        <v>4419</v>
      </c>
      <c r="C16" s="327"/>
      <c r="D16" s="327"/>
      <c r="E16" s="327"/>
      <c r="F16" s="327"/>
    </row>
    <row r="17" spans="1:6">
      <c r="A17" s="1258" t="s">
        <v>7</v>
      </c>
      <c r="B17" s="1259">
        <v>2043</v>
      </c>
      <c r="C17" s="327"/>
      <c r="D17" s="327"/>
      <c r="E17" s="327"/>
      <c r="F17" s="327"/>
    </row>
    <row r="18" spans="1:6">
      <c r="A18" s="1258" t="s">
        <v>8</v>
      </c>
      <c r="B18" s="1259">
        <v>4103</v>
      </c>
      <c r="C18" s="327"/>
      <c r="D18" s="327"/>
      <c r="E18" s="327"/>
      <c r="F18" s="327"/>
    </row>
    <row r="19" spans="1:6">
      <c r="A19" s="1258" t="s">
        <v>9</v>
      </c>
      <c r="B19" s="1259">
        <v>4350</v>
      </c>
      <c r="C19" s="327"/>
      <c r="D19" s="327"/>
      <c r="E19" s="327"/>
      <c r="F19" s="327"/>
    </row>
    <row r="20" spans="1:6">
      <c r="A20" s="1258" t="s">
        <v>10</v>
      </c>
      <c r="B20" s="1259">
        <v>2711</v>
      </c>
      <c r="C20" s="327"/>
      <c r="D20" s="327"/>
      <c r="E20" s="327"/>
      <c r="F20" s="327"/>
    </row>
    <row r="21" spans="1:6">
      <c r="A21" s="1258" t="s">
        <v>11</v>
      </c>
      <c r="B21" s="1259">
        <v>35407</v>
      </c>
      <c r="C21" s="327"/>
      <c r="D21" s="327"/>
      <c r="E21" s="327"/>
      <c r="F21" s="327"/>
    </row>
    <row r="22" spans="1:6">
      <c r="A22" s="1258" t="s">
        <v>12</v>
      </c>
      <c r="B22" s="1259">
        <v>109462</v>
      </c>
      <c r="C22" s="327"/>
      <c r="D22" s="327"/>
      <c r="E22" s="327"/>
      <c r="F22" s="327"/>
    </row>
    <row r="23" spans="1:6">
      <c r="A23" s="1258" t="s">
        <v>13</v>
      </c>
      <c r="B23" s="1259">
        <v>1693</v>
      </c>
      <c r="C23" s="327"/>
      <c r="D23" s="327"/>
      <c r="E23" s="327"/>
      <c r="F23" s="327"/>
    </row>
    <row r="24" spans="1:6">
      <c r="A24" s="1258" t="s">
        <v>14</v>
      </c>
      <c r="B24" s="1259">
        <v>160</v>
      </c>
      <c r="C24" s="327"/>
      <c r="D24" s="327"/>
      <c r="E24" s="327"/>
      <c r="F24" s="327"/>
    </row>
    <row r="25" spans="1:6">
      <c r="A25" s="1258" t="s">
        <v>15</v>
      </c>
      <c r="B25" s="1259">
        <v>7489</v>
      </c>
      <c r="C25" s="327"/>
      <c r="D25" s="327"/>
      <c r="E25" s="327"/>
      <c r="F25" s="327"/>
    </row>
    <row r="26" spans="1:6">
      <c r="A26" s="1258" t="s">
        <v>16</v>
      </c>
      <c r="B26" s="1259">
        <v>592</v>
      </c>
      <c r="C26" s="327"/>
      <c r="D26" s="327"/>
      <c r="E26" s="327"/>
      <c r="F26" s="327"/>
    </row>
    <row r="27" spans="1:6">
      <c r="A27" s="1258" t="s">
        <v>17</v>
      </c>
      <c r="B27" s="1259">
        <v>130</v>
      </c>
      <c r="C27" s="327"/>
      <c r="D27" s="327"/>
      <c r="E27" s="327"/>
      <c r="F27" s="327"/>
    </row>
    <row r="28" spans="1:6">
      <c r="A28" s="1258" t="s">
        <v>18</v>
      </c>
      <c r="B28" s="1260">
        <v>683900</v>
      </c>
      <c r="C28" s="327"/>
      <c r="D28" s="327"/>
      <c r="E28" s="327"/>
      <c r="F28" s="327"/>
    </row>
    <row r="29" spans="1:6">
      <c r="A29" s="1258" t="s">
        <v>939</v>
      </c>
      <c r="B29" s="1260">
        <v>475</v>
      </c>
      <c r="C29" s="327"/>
      <c r="D29" s="327"/>
      <c r="E29" s="327"/>
      <c r="F29" s="327"/>
    </row>
    <row r="30" spans="1:6">
      <c r="A30" s="1253" t="s">
        <v>940</v>
      </c>
      <c r="B30" s="1261">
        <v>133</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0</v>
      </c>
      <c r="F36" s="1259">
        <v>0</v>
      </c>
    </row>
    <row r="37" spans="1:6">
      <c r="A37" s="1258" t="s">
        <v>24</v>
      </c>
      <c r="B37" s="1258" t="s">
        <v>27</v>
      </c>
      <c r="C37" s="1259">
        <v>0</v>
      </c>
      <c r="D37" s="1259">
        <v>0</v>
      </c>
      <c r="E37" s="1259">
        <v>0</v>
      </c>
      <c r="F37" s="1259">
        <v>0</v>
      </c>
    </row>
    <row r="38" spans="1:6">
      <c r="A38" s="1258" t="s">
        <v>24</v>
      </c>
      <c r="B38" s="1258" t="s">
        <v>28</v>
      </c>
      <c r="C38" s="1259">
        <v>0</v>
      </c>
      <c r="D38" s="1259">
        <v>0</v>
      </c>
      <c r="E38" s="1259">
        <v>6</v>
      </c>
      <c r="F38" s="1259">
        <v>89779.839140848708</v>
      </c>
    </row>
    <row r="39" spans="1:6">
      <c r="A39" s="1258" t="s">
        <v>29</v>
      </c>
      <c r="B39" s="1258" t="s">
        <v>30</v>
      </c>
      <c r="C39" s="1259">
        <v>4657</v>
      </c>
      <c r="D39" s="1259">
        <v>77610552.747341394</v>
      </c>
      <c r="E39" s="1259">
        <v>10813</v>
      </c>
      <c r="F39" s="1259">
        <v>55626816.490714297</v>
      </c>
    </row>
    <row r="40" spans="1:6">
      <c r="A40" s="1258" t="s">
        <v>29</v>
      </c>
      <c r="B40" s="1258" t="s">
        <v>28</v>
      </c>
      <c r="C40" s="1259">
        <v>0</v>
      </c>
      <c r="D40" s="1259">
        <v>0</v>
      </c>
      <c r="E40" s="1259">
        <v>0</v>
      </c>
      <c r="F40" s="1259">
        <v>0</v>
      </c>
    </row>
    <row r="41" spans="1:6">
      <c r="A41" s="1258" t="s">
        <v>31</v>
      </c>
      <c r="B41" s="1258" t="s">
        <v>32</v>
      </c>
      <c r="C41" s="1259">
        <v>75</v>
      </c>
      <c r="D41" s="1259">
        <v>2508401.9718055511</v>
      </c>
      <c r="E41" s="1259">
        <v>298</v>
      </c>
      <c r="F41" s="1259">
        <v>8905931.1509980001</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0</v>
      </c>
      <c r="D44" s="1259">
        <v>0</v>
      </c>
      <c r="E44" s="1259">
        <v>29</v>
      </c>
      <c r="F44" s="1259">
        <v>1739261.5534205781</v>
      </c>
    </row>
    <row r="45" spans="1:6">
      <c r="A45" s="1258" t="s">
        <v>31</v>
      </c>
      <c r="B45" s="1258" t="s">
        <v>36</v>
      </c>
      <c r="C45" s="1259">
        <v>3</v>
      </c>
      <c r="D45" s="1259">
        <v>885155.17815602198</v>
      </c>
      <c r="E45" s="1259">
        <v>4</v>
      </c>
      <c r="F45" s="1259">
        <v>705462.57582042203</v>
      </c>
    </row>
    <row r="46" spans="1:6">
      <c r="A46" s="1258" t="s">
        <v>31</v>
      </c>
      <c r="B46" s="1258" t="s">
        <v>37</v>
      </c>
      <c r="C46" s="1259">
        <v>0</v>
      </c>
      <c r="D46" s="1259">
        <v>0</v>
      </c>
      <c r="E46" s="1259">
        <v>0</v>
      </c>
      <c r="F46" s="1259">
        <v>0</v>
      </c>
    </row>
    <row r="47" spans="1:6">
      <c r="A47" s="1258" t="s">
        <v>31</v>
      </c>
      <c r="B47" s="1258" t="s">
        <v>38</v>
      </c>
      <c r="C47" s="1259">
        <v>5</v>
      </c>
      <c r="D47" s="1259">
        <v>6846171.4822617797</v>
      </c>
      <c r="E47" s="1259">
        <v>15</v>
      </c>
      <c r="F47" s="1259">
        <v>9588099.9975171201</v>
      </c>
    </row>
    <row r="48" spans="1:6">
      <c r="A48" s="1258" t="s">
        <v>31</v>
      </c>
      <c r="B48" s="1258" t="s">
        <v>28</v>
      </c>
      <c r="C48" s="1259">
        <v>47</v>
      </c>
      <c r="D48" s="1259">
        <v>206701216.74512157</v>
      </c>
      <c r="E48" s="1259">
        <v>73</v>
      </c>
      <c r="F48" s="1259">
        <v>52094845.412108146</v>
      </c>
    </row>
    <row r="49" spans="1:6">
      <c r="A49" s="1258" t="s">
        <v>31</v>
      </c>
      <c r="B49" s="1258" t="s">
        <v>39</v>
      </c>
      <c r="C49" s="1259">
        <v>4</v>
      </c>
      <c r="D49" s="1259">
        <v>260561.83242099901</v>
      </c>
      <c r="E49" s="1259">
        <v>5</v>
      </c>
      <c r="F49" s="1259">
        <v>119331.06119851999</v>
      </c>
    </row>
    <row r="50" spans="1:6">
      <c r="A50" s="1258" t="s">
        <v>31</v>
      </c>
      <c r="B50" s="1258" t="s">
        <v>40</v>
      </c>
      <c r="C50" s="1259">
        <v>14</v>
      </c>
      <c r="D50" s="1259">
        <v>5139942.4267108198</v>
      </c>
      <c r="E50" s="1259">
        <v>23</v>
      </c>
      <c r="F50" s="1259">
        <v>5653473.1263552103</v>
      </c>
    </row>
    <row r="51" spans="1:6">
      <c r="A51" s="1258" t="s">
        <v>41</v>
      </c>
      <c r="B51" s="1258" t="s">
        <v>42</v>
      </c>
      <c r="C51" s="1259">
        <v>12</v>
      </c>
      <c r="D51" s="1259">
        <v>169075.53290379199</v>
      </c>
      <c r="E51" s="1259">
        <v>375</v>
      </c>
      <c r="F51" s="1259">
        <v>8444685.5809734911</v>
      </c>
    </row>
    <row r="52" spans="1:6">
      <c r="A52" s="1258" t="s">
        <v>41</v>
      </c>
      <c r="B52" s="1258" t="s">
        <v>28</v>
      </c>
      <c r="C52" s="1259">
        <v>15</v>
      </c>
      <c r="D52" s="1259">
        <v>11665655.915216189</v>
      </c>
      <c r="E52" s="1259">
        <v>18</v>
      </c>
      <c r="F52" s="1259">
        <v>363166.39536105684</v>
      </c>
    </row>
    <row r="53" spans="1:6">
      <c r="A53" s="1258" t="s">
        <v>43</v>
      </c>
      <c r="B53" s="1258" t="s">
        <v>44</v>
      </c>
      <c r="C53" s="1259">
        <v>149</v>
      </c>
      <c r="D53" s="1259">
        <v>4070182.0923798988</v>
      </c>
      <c r="E53" s="1259">
        <v>374</v>
      </c>
      <c r="F53" s="1259">
        <v>2681814.7857132489</v>
      </c>
    </row>
    <row r="54" spans="1:6">
      <c r="A54" s="1258" t="s">
        <v>45</v>
      </c>
      <c r="B54" s="1258" t="s">
        <v>46</v>
      </c>
      <c r="C54" s="1259">
        <v>0</v>
      </c>
      <c r="D54" s="1259">
        <v>0</v>
      </c>
      <c r="E54" s="1259">
        <v>6</v>
      </c>
      <c r="F54" s="1259">
        <v>2670420</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30</v>
      </c>
      <c r="D57" s="1259">
        <v>701597.49047833902</v>
      </c>
      <c r="E57" s="1259">
        <v>137</v>
      </c>
      <c r="F57" s="1259">
        <v>4728568.2564321505</v>
      </c>
    </row>
    <row r="58" spans="1:6">
      <c r="A58" s="1258" t="s">
        <v>48</v>
      </c>
      <c r="B58" s="1258" t="s">
        <v>50</v>
      </c>
      <c r="C58" s="1259">
        <v>16</v>
      </c>
      <c r="D58" s="1259">
        <v>4666238.5792081896</v>
      </c>
      <c r="E58" s="1259">
        <v>53</v>
      </c>
      <c r="F58" s="1259">
        <v>714597.32870011649</v>
      </c>
    </row>
    <row r="59" spans="1:6">
      <c r="A59" s="1258" t="s">
        <v>48</v>
      </c>
      <c r="B59" s="1258" t="s">
        <v>51</v>
      </c>
      <c r="C59" s="1259">
        <v>100</v>
      </c>
      <c r="D59" s="1259">
        <v>4333348.7240773896</v>
      </c>
      <c r="E59" s="1259">
        <v>336</v>
      </c>
      <c r="F59" s="1259">
        <v>14500777.230927739</v>
      </c>
    </row>
    <row r="60" spans="1:6">
      <c r="A60" s="1258" t="s">
        <v>48</v>
      </c>
      <c r="B60" s="1258" t="s">
        <v>52</v>
      </c>
      <c r="C60" s="1259">
        <v>67</v>
      </c>
      <c r="D60" s="1259">
        <v>4097051.2686801199</v>
      </c>
      <c r="E60" s="1259">
        <v>118</v>
      </c>
      <c r="F60" s="1259">
        <v>3360970.4370867643</v>
      </c>
    </row>
    <row r="61" spans="1:6">
      <c r="A61" s="1258" t="s">
        <v>48</v>
      </c>
      <c r="B61" s="1258" t="s">
        <v>53</v>
      </c>
      <c r="C61" s="1259">
        <v>134</v>
      </c>
      <c r="D61" s="1259">
        <v>9513438.3848954607</v>
      </c>
      <c r="E61" s="1259">
        <v>502</v>
      </c>
      <c r="F61" s="1259">
        <v>7015810.3312542755</v>
      </c>
    </row>
    <row r="62" spans="1:6">
      <c r="A62" s="1258" t="s">
        <v>48</v>
      </c>
      <c r="B62" s="1258" t="s">
        <v>54</v>
      </c>
      <c r="C62" s="1259">
        <v>3</v>
      </c>
      <c r="D62" s="1259">
        <v>213338.14233679901</v>
      </c>
      <c r="E62" s="1259">
        <v>13</v>
      </c>
      <c r="F62" s="1259">
        <v>130793.0223717558</v>
      </c>
    </row>
    <row r="63" spans="1:6">
      <c r="A63" s="1258" t="s">
        <v>48</v>
      </c>
      <c r="B63" s="1258" t="s">
        <v>28</v>
      </c>
      <c r="C63" s="1259">
        <v>163</v>
      </c>
      <c r="D63" s="1259">
        <v>6925941.72499278</v>
      </c>
      <c r="E63" s="1259">
        <v>213</v>
      </c>
      <c r="F63" s="1259">
        <v>4966199.5791752003</v>
      </c>
    </row>
    <row r="64" spans="1:6">
      <c r="A64" s="1258" t="s">
        <v>55</v>
      </c>
      <c r="B64" s="1258" t="s">
        <v>56</v>
      </c>
      <c r="C64" s="1259">
        <v>0</v>
      </c>
      <c r="D64" s="1259">
        <v>0</v>
      </c>
      <c r="E64" s="1259">
        <v>0</v>
      </c>
      <c r="F64" s="1259">
        <v>0</v>
      </c>
    </row>
    <row r="65" spans="1:6">
      <c r="A65" s="1258" t="s">
        <v>55</v>
      </c>
      <c r="B65" s="1258" t="s">
        <v>28</v>
      </c>
      <c r="C65" s="1259">
        <v>3</v>
      </c>
      <c r="D65" s="1259">
        <v>35408.158051415798</v>
      </c>
      <c r="E65" s="1259">
        <v>2</v>
      </c>
      <c r="F65" s="1259">
        <v>23183.289507031801</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5</v>
      </c>
      <c r="D68" s="1261">
        <v>245919.235518409</v>
      </c>
      <c r="E68" s="1261">
        <v>22</v>
      </c>
      <c r="F68" s="1261">
        <v>358848.426979777</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134173209</v>
      </c>
      <c r="E73" s="445"/>
      <c r="F73" s="327"/>
    </row>
    <row r="74" spans="1:6">
      <c r="A74" s="1258" t="s">
        <v>63</v>
      </c>
      <c r="B74" s="1258" t="s">
        <v>724</v>
      </c>
      <c r="C74" s="1271" t="s">
        <v>718</v>
      </c>
      <c r="D74" s="1259">
        <v>15685939.369399324</v>
      </c>
      <c r="E74" s="445"/>
      <c r="F74" s="327"/>
    </row>
    <row r="75" spans="1:6">
      <c r="A75" s="1258" t="s">
        <v>64</v>
      </c>
      <c r="B75" s="1258" t="s">
        <v>723</v>
      </c>
      <c r="C75" s="1271" t="s">
        <v>719</v>
      </c>
      <c r="D75" s="1259">
        <v>37048840</v>
      </c>
      <c r="E75" s="445"/>
      <c r="F75" s="327"/>
    </row>
    <row r="76" spans="1:6">
      <c r="A76" s="1258" t="s">
        <v>64</v>
      </c>
      <c r="B76" s="1258" t="s">
        <v>724</v>
      </c>
      <c r="C76" s="1271" t="s">
        <v>720</v>
      </c>
      <c r="D76" s="1259">
        <v>717379.36939932534</v>
      </c>
      <c r="E76" s="445"/>
      <c r="F76" s="327"/>
    </row>
    <row r="77" spans="1:6">
      <c r="A77" s="1258" t="s">
        <v>65</v>
      </c>
      <c r="B77" s="1258" t="s">
        <v>723</v>
      </c>
      <c r="C77" s="1271" t="s">
        <v>721</v>
      </c>
      <c r="D77" s="1259">
        <v>333008132</v>
      </c>
      <c r="E77" s="445"/>
      <c r="F77" s="327"/>
    </row>
    <row r="78" spans="1:6">
      <c r="A78" s="1253" t="s">
        <v>65</v>
      </c>
      <c r="B78" s="1253" t="s">
        <v>724</v>
      </c>
      <c r="C78" s="1253" t="s">
        <v>722</v>
      </c>
      <c r="D78" s="1261">
        <v>57121289</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346771.26120134932</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0</v>
      </c>
      <c r="C90" s="327"/>
      <c r="D90" s="327"/>
      <c r="E90" s="327"/>
      <c r="F90" s="327"/>
    </row>
    <row r="91" spans="1:6">
      <c r="A91" s="1258" t="s">
        <v>67</v>
      </c>
      <c r="B91" s="1259">
        <v>5107.5613722006747</v>
      </c>
      <c r="C91" s="327"/>
      <c r="D91" s="327"/>
      <c r="E91" s="327"/>
      <c r="F91" s="327"/>
    </row>
    <row r="92" spans="1:6">
      <c r="A92" s="1253" t="s">
        <v>68</v>
      </c>
      <c r="B92" s="1254">
        <v>4754.3453500552532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2014</v>
      </c>
      <c r="C97" s="327"/>
      <c r="D97" s="327"/>
      <c r="E97" s="327"/>
      <c r="F97" s="327"/>
    </row>
    <row r="98" spans="1:6">
      <c r="A98" s="1258" t="s">
        <v>71</v>
      </c>
      <c r="B98" s="1259">
        <v>1</v>
      </c>
      <c r="C98" s="327"/>
      <c r="D98" s="327"/>
      <c r="E98" s="327"/>
      <c r="F98" s="327"/>
    </row>
    <row r="99" spans="1:6">
      <c r="A99" s="1258" t="s">
        <v>72</v>
      </c>
      <c r="B99" s="1259">
        <v>320</v>
      </c>
      <c r="C99" s="327"/>
      <c r="D99" s="327"/>
      <c r="E99" s="327"/>
      <c r="F99" s="327"/>
    </row>
    <row r="100" spans="1:6">
      <c r="A100" s="1258" t="s">
        <v>73</v>
      </c>
      <c r="B100" s="1259">
        <v>1503</v>
      </c>
      <c r="C100" s="327"/>
      <c r="D100" s="327"/>
      <c r="E100" s="327"/>
      <c r="F100" s="327"/>
    </row>
    <row r="101" spans="1:6">
      <c r="A101" s="1258" t="s">
        <v>74</v>
      </c>
      <c r="B101" s="1259">
        <v>285</v>
      </c>
      <c r="C101" s="327"/>
      <c r="D101" s="327"/>
      <c r="E101" s="327"/>
      <c r="F101" s="327"/>
    </row>
    <row r="102" spans="1:6">
      <c r="A102" s="1258" t="s">
        <v>75</v>
      </c>
      <c r="B102" s="1259">
        <v>252</v>
      </c>
      <c r="C102" s="327"/>
      <c r="D102" s="327"/>
      <c r="E102" s="327"/>
      <c r="F102" s="327"/>
    </row>
    <row r="103" spans="1:6">
      <c r="A103" s="1258" t="s">
        <v>76</v>
      </c>
      <c r="B103" s="1259">
        <v>440</v>
      </c>
      <c r="C103" s="327"/>
      <c r="D103" s="327"/>
      <c r="E103" s="327"/>
      <c r="F103" s="327"/>
    </row>
    <row r="104" spans="1:6">
      <c r="A104" s="1258" t="s">
        <v>77</v>
      </c>
      <c r="B104" s="1259">
        <v>5047</v>
      </c>
      <c r="C104" s="327"/>
      <c r="D104" s="327"/>
      <c r="E104" s="327"/>
      <c r="F104" s="327"/>
    </row>
    <row r="105" spans="1:6">
      <c r="A105" s="1253" t="s">
        <v>78</v>
      </c>
      <c r="B105" s="1261">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2</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36</v>
      </c>
      <c r="C123" s="1259">
        <v>24</v>
      </c>
      <c r="D123" s="327"/>
      <c r="E123" s="327"/>
      <c r="F123" s="327"/>
    </row>
    <row r="124" spans="1:6">
      <c r="A124" s="1258" t="s">
        <v>88</v>
      </c>
      <c r="B124" s="1259">
        <v>1</v>
      </c>
      <c r="C124" s="1259">
        <v>1</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132</v>
      </c>
      <c r="C129" s="327"/>
      <c r="D129" s="327"/>
      <c r="E129" s="327"/>
      <c r="F129" s="327"/>
    </row>
    <row r="130" spans="1:6">
      <c r="A130" s="1258" t="s">
        <v>284</v>
      </c>
      <c r="B130" s="1259">
        <v>5</v>
      </c>
      <c r="C130" s="327"/>
      <c r="D130" s="327"/>
      <c r="E130" s="327"/>
      <c r="F130" s="327"/>
    </row>
    <row r="131" spans="1:6">
      <c r="A131" s="1258" t="s">
        <v>285</v>
      </c>
      <c r="B131" s="1259">
        <v>10</v>
      </c>
      <c r="C131" s="327"/>
      <c r="D131" s="327"/>
      <c r="E131" s="327"/>
      <c r="F131" s="327"/>
    </row>
    <row r="132" spans="1:6">
      <c r="A132" s="1253" t="s">
        <v>286</v>
      </c>
      <c r="B132" s="1254">
        <v>10</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189146.2012333021</v>
      </c>
      <c r="C3" s="44" t="s">
        <v>163</v>
      </c>
      <c r="D3" s="44"/>
      <c r="E3" s="157"/>
      <c r="F3" s="44"/>
      <c r="G3" s="44"/>
      <c r="H3" s="44"/>
      <c r="I3" s="44"/>
      <c r="J3" s="44"/>
      <c r="K3" s="97"/>
    </row>
    <row r="4" spans="1:11">
      <c r="A4" s="352" t="s">
        <v>164</v>
      </c>
      <c r="B4" s="50">
        <f>IF(ISERROR('SEAP template'!B78+'SEAP template'!C78),0,'SEAP template'!B78+'SEAP template'!C78)</f>
        <v>11457.74990407411</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378.30441176470595</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0.20961273288603349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540.43487394957992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2279.7759740259744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0.23705613187737828</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2670.42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2670.42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0.20961273288603349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559.75403415352162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55626.8164907143</v>
      </c>
      <c r="C5" s="18">
        <f>IF(ISERROR('Eigen informatie GS &amp; warmtenet'!B57),0,'Eigen informatie GS &amp; warmtenet'!B57)</f>
        <v>0</v>
      </c>
      <c r="D5" s="31">
        <f>(SUM(HH_hh_gas_kWh,HH_rest_gas_kWh)/1000)*0.902</f>
        <v>70004.718578101936</v>
      </c>
      <c r="E5" s="18">
        <f>B32*B41</f>
        <v>3615.8052562756307</v>
      </c>
      <c r="F5" s="18">
        <f>B36*B45</f>
        <v>110235.40451140694</v>
      </c>
      <c r="G5" s="19"/>
      <c r="H5" s="18"/>
      <c r="I5" s="18"/>
      <c r="J5" s="18">
        <f>B35*B44+C35*C44</f>
        <v>2000.1830037920222</v>
      </c>
      <c r="K5" s="18"/>
      <c r="L5" s="18"/>
      <c r="M5" s="18"/>
      <c r="N5" s="18">
        <f>B34*B43+C34*C43</f>
        <v>17404.458085104725</v>
      </c>
      <c r="O5" s="18">
        <f>B52*B53*B54</f>
        <v>245.44333333333333</v>
      </c>
      <c r="P5" s="18">
        <f>B60*B61*B62/1000-B60*B61*B62/1000/B63</f>
        <v>896.13333333333333</v>
      </c>
    </row>
    <row r="6" spans="1:16">
      <c r="A6" s="17" t="s">
        <v>597</v>
      </c>
      <c r="B6" s="731">
        <f>kWh_PV_kleiner_dan_10kW</f>
        <v>5107.5613722006747</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60734.377862914975</v>
      </c>
      <c r="C8" s="22">
        <f>C5</f>
        <v>0</v>
      </c>
      <c r="D8" s="22">
        <f>D5</f>
        <v>70004.718578101936</v>
      </c>
      <c r="E8" s="22">
        <f>E5</f>
        <v>3615.8052562756307</v>
      </c>
      <c r="F8" s="22">
        <f>F5</f>
        <v>110235.40451140694</v>
      </c>
      <c r="G8" s="22"/>
      <c r="H8" s="22"/>
      <c r="I8" s="22"/>
      <c r="J8" s="22">
        <f>J5</f>
        <v>2000.1830037920222</v>
      </c>
      <c r="K8" s="22"/>
      <c r="L8" s="22">
        <f>L5</f>
        <v>0</v>
      </c>
      <c r="M8" s="22">
        <f>M5</f>
        <v>0</v>
      </c>
      <c r="N8" s="22">
        <f>N5</f>
        <v>17404.458085104725</v>
      </c>
      <c r="O8" s="22">
        <f>O5</f>
        <v>245.44333333333333</v>
      </c>
      <c r="P8" s="22">
        <f>P5</f>
        <v>896.13333333333333</v>
      </c>
    </row>
    <row r="9" spans="1:16">
      <c r="B9" s="20"/>
      <c r="C9" s="20"/>
      <c r="D9" s="258"/>
      <c r="E9" s="20"/>
      <c r="F9" s="20"/>
      <c r="G9" s="20"/>
      <c r="H9" s="20"/>
      <c r="I9" s="20"/>
      <c r="J9" s="20"/>
      <c r="K9" s="20"/>
      <c r="L9" s="20"/>
      <c r="M9" s="20"/>
      <c r="N9" s="20"/>
      <c r="O9" s="20"/>
      <c r="P9" s="20"/>
    </row>
    <row r="10" spans="1:16">
      <c r="A10" s="25" t="s">
        <v>207</v>
      </c>
      <c r="B10" s="26">
        <f ca="1">'EF ele_warmte'!B12</f>
        <v>0.20961273288603349</v>
      </c>
      <c r="C10" s="26">
        <f ca="1">'EF ele_warmte'!B22</f>
        <v>0.23705613187737828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12730.698923978622</v>
      </c>
      <c r="C12" s="24">
        <f ca="1">C10*C8</f>
        <v>0</v>
      </c>
      <c r="D12" s="24">
        <f>D8*D10</f>
        <v>14140.953152776592</v>
      </c>
      <c r="E12" s="24">
        <f>E10*E8</f>
        <v>820.78779317456815</v>
      </c>
      <c r="F12" s="24">
        <f>F10*F8</f>
        <v>29432.853004545657</v>
      </c>
      <c r="G12" s="24"/>
      <c r="H12" s="24"/>
      <c r="I12" s="24"/>
      <c r="J12" s="24">
        <f>J10*J8</f>
        <v>708.06478334237579</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11423</v>
      </c>
      <c r="C26" s="37"/>
      <c r="D26" s="228"/>
    </row>
    <row r="27" spans="1:5" s="16" customFormat="1">
      <c r="A27" s="230" t="s">
        <v>623</v>
      </c>
      <c r="B27" s="38">
        <f>SUM(HH_hh_gas_aantal,HH_rest_gas_aantal)</f>
        <v>4657</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4424.1499999999996</v>
      </c>
      <c r="C31" s="35" t="s">
        <v>104</v>
      </c>
      <c r="D31" s="174"/>
    </row>
    <row r="32" spans="1:5">
      <c r="A32" s="171" t="s">
        <v>72</v>
      </c>
      <c r="B32" s="34">
        <f>IF((B21*($B$26-($B$27-0.05*$B$27)-$B$60))&lt;0,0,B21*($B$26-($B$27-0.05*$B$27)-$B$60))</f>
        <v>170.8440118117143</v>
      </c>
      <c r="C32" s="35" t="s">
        <v>104</v>
      </c>
      <c r="D32" s="174"/>
    </row>
    <row r="33" spans="1:6">
      <c r="A33" s="171" t="s">
        <v>73</v>
      </c>
      <c r="B33" s="34">
        <f>IF((B22*($B$26-($B$27-0.05*$B$27)-$B$60))&lt;0,0,B22*($B$26-($B$27-0.05*$B$27)-$B$60))</f>
        <v>1149.9805720992833</v>
      </c>
      <c r="C33" s="35" t="s">
        <v>104</v>
      </c>
      <c r="D33" s="174"/>
    </row>
    <row r="34" spans="1:6">
      <c r="A34" s="171" t="s">
        <v>74</v>
      </c>
      <c r="B34" s="34">
        <f>IF((B24*($B$26-($B$27-0.05*$B$27)-$B$60))&lt;0,0,B24*($B$26-($B$27-0.05*$B$27)-$B$60))</f>
        <v>291.65931247849716</v>
      </c>
      <c r="C34" s="34">
        <f>B26*C24</f>
        <v>2336.0300889638124</v>
      </c>
      <c r="D34" s="233"/>
    </row>
    <row r="35" spans="1:6">
      <c r="A35" s="171" t="s">
        <v>76</v>
      </c>
      <c r="B35" s="34">
        <f>IF((B19*($B$26-($B$27-0.05*$B$27)-$B$60))&lt;0,0,B19*($B$26-($B$27-0.05*$B$27)-$B$60))</f>
        <v>108.42970255827836</v>
      </c>
      <c r="C35" s="34">
        <f>B35/2</f>
        <v>54.214851279139182</v>
      </c>
      <c r="D35" s="233"/>
    </row>
    <row r="36" spans="1:6">
      <c r="A36" s="171" t="s">
        <v>77</v>
      </c>
      <c r="B36" s="34">
        <f>IF((B18*($B$26-($B$27-0.05*$B$27)-$B$60))&lt;0,0,B18*($B$26-($B$27-0.05*$B$27)-$B$60))</f>
        <v>5230.9364010522258</v>
      </c>
      <c r="C36" s="35" t="s">
        <v>104</v>
      </c>
      <c r="D36" s="174"/>
    </row>
    <row r="37" spans="1:6">
      <c r="A37" s="171" t="s">
        <v>78</v>
      </c>
      <c r="B37" s="34">
        <f>B60</f>
        <v>47</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157</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47</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35417.716185948004</v>
      </c>
      <c r="C5" s="18">
        <f>IF(ISERROR('Eigen informatie GS &amp; warmtenet'!B58),0,'Eigen informatie GS &amp; warmtenet'!B58)</f>
        <v>0</v>
      </c>
      <c r="D5" s="31">
        <f>SUM(D6:D12)</f>
        <v>27466.760791831508</v>
      </c>
      <c r="E5" s="18">
        <f>SUM(E6:E12)</f>
        <v>343.56770825372183</v>
      </c>
      <c r="F5" s="18">
        <f>SUM(F6:F12)</f>
        <v>6959.1635199330485</v>
      </c>
      <c r="G5" s="19"/>
      <c r="H5" s="18"/>
      <c r="I5" s="18"/>
      <c r="J5" s="18">
        <f>SUM(J6:J12)</f>
        <v>0</v>
      </c>
      <c r="K5" s="18"/>
      <c r="L5" s="18"/>
      <c r="M5" s="18"/>
      <c r="N5" s="18">
        <f>SUM(N6:N12)</f>
        <v>2660.669430841313</v>
      </c>
      <c r="O5" s="18">
        <f>B38*B39*B40</f>
        <v>7.8166666666666664</v>
      </c>
      <c r="P5" s="18">
        <f>B46*B47*B48/1000-B46*B47*B48/1000/B49</f>
        <v>190.66666666666669</v>
      </c>
      <c r="R5" s="33"/>
    </row>
    <row r="6" spans="1:18">
      <c r="A6" s="33" t="s">
        <v>53</v>
      </c>
      <c r="B6" s="38">
        <f>B26</f>
        <v>7015.8103312542753</v>
      </c>
      <c r="C6" s="34"/>
      <c r="D6" s="38">
        <f>IF(ISERROR(TER_kantoor_gas_kWh/1000),0,TER_kantoor_gas_kWh/1000)*0.902</f>
        <v>8581.1214231757058</v>
      </c>
      <c r="E6" s="34">
        <f>$C$26*'E Balans VL '!I12/100/3.6*1000000</f>
        <v>11.460537149565441</v>
      </c>
      <c r="F6" s="34">
        <f>$C$26*('E Balans VL '!L12+'E Balans VL '!N12)/100/3.6*1000000</f>
        <v>824.23163688514501</v>
      </c>
      <c r="G6" s="35"/>
      <c r="H6" s="34"/>
      <c r="I6" s="34"/>
      <c r="J6" s="34">
        <f>$C$26*('E Balans VL '!D12+'E Balans VL '!E12)/100/3.6*1000000</f>
        <v>0</v>
      </c>
      <c r="K6" s="34"/>
      <c r="L6" s="34"/>
      <c r="M6" s="34"/>
      <c r="N6" s="34">
        <f>$C$26*'E Balans VL '!Y12/100/3.6*1000000</f>
        <v>51.084072496702348</v>
      </c>
      <c r="O6" s="34"/>
      <c r="P6" s="34"/>
      <c r="R6" s="33"/>
    </row>
    <row r="7" spans="1:18">
      <c r="A7" s="33" t="s">
        <v>52</v>
      </c>
      <c r="B7" s="38">
        <f t="shared" ref="B7:B12" si="0">B27</f>
        <v>3360.9704370867644</v>
      </c>
      <c r="C7" s="34"/>
      <c r="D7" s="38">
        <f>IF(ISERROR(TER_horeca_gas_kWh/1000),0,TER_horeca_gas_kWh/1000)*0.902</f>
        <v>3695.5402443494686</v>
      </c>
      <c r="E7" s="34">
        <f>$C$27*'E Balans VL '!I9/100/3.6*1000000</f>
        <v>173.88634744384538</v>
      </c>
      <c r="F7" s="34">
        <f>$C$27*('E Balans VL '!L9+'E Balans VL '!N9)/100/3.6*1000000</f>
        <v>764.67290849361177</v>
      </c>
      <c r="G7" s="35"/>
      <c r="H7" s="34"/>
      <c r="I7" s="34"/>
      <c r="J7" s="34">
        <f>$C$27*('E Balans VL '!D9+'E Balans VL '!E9)/100/3.6*1000000</f>
        <v>0</v>
      </c>
      <c r="K7" s="34"/>
      <c r="L7" s="34"/>
      <c r="M7" s="34"/>
      <c r="N7" s="34">
        <f>$C$27*'E Balans VL '!Y9/100/3.6*1000000</f>
        <v>0.35385144353059889</v>
      </c>
      <c r="O7" s="34"/>
      <c r="P7" s="34"/>
      <c r="R7" s="33"/>
    </row>
    <row r="8" spans="1:18">
      <c r="A8" s="6" t="s">
        <v>51</v>
      </c>
      <c r="B8" s="38">
        <f t="shared" si="0"/>
        <v>14500.777230927739</v>
      </c>
      <c r="C8" s="34"/>
      <c r="D8" s="38">
        <f>IF(ISERROR(TER_handel_gas_kWh/1000),0,TER_handel_gas_kWh/1000)*0.902</f>
        <v>3908.6805491178052</v>
      </c>
      <c r="E8" s="34">
        <f>$C$28*'E Balans VL '!I13/100/3.6*1000000</f>
        <v>76.168899739687376</v>
      </c>
      <c r="F8" s="34">
        <f>$C$28*('E Balans VL '!L13+'E Balans VL '!N13)/100/3.6*1000000</f>
        <v>2733.8821446049042</v>
      </c>
      <c r="G8" s="35"/>
      <c r="H8" s="34"/>
      <c r="I8" s="34"/>
      <c r="J8" s="34">
        <f>$C$28*('E Balans VL '!D13+'E Balans VL '!E13)/100/3.6*1000000</f>
        <v>0</v>
      </c>
      <c r="K8" s="34"/>
      <c r="L8" s="34"/>
      <c r="M8" s="34"/>
      <c r="N8" s="34">
        <f>$C$28*'E Balans VL '!Y13/100/3.6*1000000</f>
        <v>71.888242340483373</v>
      </c>
      <c r="O8" s="34"/>
      <c r="P8" s="34"/>
      <c r="R8" s="33"/>
    </row>
    <row r="9" spans="1:18">
      <c r="A9" s="33" t="s">
        <v>50</v>
      </c>
      <c r="B9" s="38">
        <f t="shared" si="0"/>
        <v>714.59732870011646</v>
      </c>
      <c r="C9" s="34"/>
      <c r="D9" s="38">
        <f>IF(ISERROR(TER_gezond_gas_kWh/1000),0,TER_gezond_gas_kWh/1000)*0.902</f>
        <v>4208.9471984457869</v>
      </c>
      <c r="E9" s="34">
        <f>$C$29*'E Balans VL '!I10/100/3.6*1000000</f>
        <v>0.63437912743385128</v>
      </c>
      <c r="F9" s="34">
        <f>$C$29*('E Balans VL '!L10+'E Balans VL '!N10)/100/3.6*1000000</f>
        <v>222.10771558447288</v>
      </c>
      <c r="G9" s="35"/>
      <c r="H9" s="34"/>
      <c r="I9" s="34"/>
      <c r="J9" s="34">
        <f>$C$29*('E Balans VL '!D10+'E Balans VL '!E10)/100/3.6*1000000</f>
        <v>0</v>
      </c>
      <c r="K9" s="34"/>
      <c r="L9" s="34"/>
      <c r="M9" s="34"/>
      <c r="N9" s="34">
        <f>$C$29*'E Balans VL '!Y10/100/3.6*1000000</f>
        <v>5.5159709967049357</v>
      </c>
      <c r="O9" s="34"/>
      <c r="P9" s="34"/>
      <c r="R9" s="33"/>
    </row>
    <row r="10" spans="1:18">
      <c r="A10" s="33" t="s">
        <v>49</v>
      </c>
      <c r="B10" s="38">
        <f t="shared" si="0"/>
        <v>4728.5682564321505</v>
      </c>
      <c r="C10" s="34"/>
      <c r="D10" s="38">
        <f>IF(ISERROR(TER_ander_gas_kWh/1000),0,TER_ander_gas_kWh/1000)*0.902</f>
        <v>632.84093641146183</v>
      </c>
      <c r="E10" s="34">
        <f>$C$30*'E Balans VL '!I14/100/3.6*1000000</f>
        <v>38.568259124092144</v>
      </c>
      <c r="F10" s="34">
        <f>$C$30*('E Balans VL '!L14+'E Balans VL '!N14)/100/3.6*1000000</f>
        <v>1378.2898555476443</v>
      </c>
      <c r="G10" s="35"/>
      <c r="H10" s="34"/>
      <c r="I10" s="34"/>
      <c r="J10" s="34">
        <f>$C$30*('E Balans VL '!D14+'E Balans VL '!E14)/100/3.6*1000000</f>
        <v>0</v>
      </c>
      <c r="K10" s="34"/>
      <c r="L10" s="34"/>
      <c r="M10" s="34"/>
      <c r="N10" s="34">
        <f>$C$30*'E Balans VL '!Y14/100/3.6*1000000</f>
        <v>2245.859139140804</v>
      </c>
      <c r="O10" s="34"/>
      <c r="P10" s="34"/>
      <c r="R10" s="33"/>
    </row>
    <row r="11" spans="1:18">
      <c r="A11" s="33" t="s">
        <v>54</v>
      </c>
      <c r="B11" s="38">
        <f t="shared" si="0"/>
        <v>130.7930223717558</v>
      </c>
      <c r="C11" s="34"/>
      <c r="D11" s="38">
        <f>IF(ISERROR(TER_onderwijs_gas_kWh/1000),0,TER_onderwijs_gas_kWh/1000)*0.902</f>
        <v>192.43100438779271</v>
      </c>
      <c r="E11" s="34">
        <f>$C$31*'E Balans VL '!I11/100/3.6*1000000</f>
        <v>0.10911621727472896</v>
      </c>
      <c r="F11" s="34">
        <f>$C$31*('E Balans VL '!L11+'E Balans VL '!N11)/100/3.6*1000000</f>
        <v>68.444167173263196</v>
      </c>
      <c r="G11" s="35"/>
      <c r="H11" s="34"/>
      <c r="I11" s="34"/>
      <c r="J11" s="34">
        <f>$C$31*('E Balans VL '!D11+'E Balans VL '!E11)/100/3.6*1000000</f>
        <v>0</v>
      </c>
      <c r="K11" s="34"/>
      <c r="L11" s="34"/>
      <c r="M11" s="34"/>
      <c r="N11" s="34">
        <f>$C$31*'E Balans VL '!Y11/100/3.6*1000000</f>
        <v>0.57585329226364534</v>
      </c>
      <c r="O11" s="34"/>
      <c r="P11" s="34"/>
      <c r="R11" s="33"/>
    </row>
    <row r="12" spans="1:18">
      <c r="A12" s="33" t="s">
        <v>249</v>
      </c>
      <c r="B12" s="38">
        <f t="shared" si="0"/>
        <v>4966.1995791752006</v>
      </c>
      <c r="C12" s="34"/>
      <c r="D12" s="38">
        <f>IF(ISERROR(TER_rest_gas_kWh/1000),0,TER_rest_gas_kWh/1000)*0.902</f>
        <v>6247.1994359434875</v>
      </c>
      <c r="E12" s="34">
        <f>$C$32*'E Balans VL '!I8/100/3.6*1000000</f>
        <v>42.74016945182283</v>
      </c>
      <c r="F12" s="34">
        <f>$C$32*('E Balans VL '!L8+'E Balans VL '!N8)/100/3.6*1000000</f>
        <v>967.53509164400793</v>
      </c>
      <c r="G12" s="35"/>
      <c r="H12" s="34"/>
      <c r="I12" s="34"/>
      <c r="J12" s="34">
        <f>$C$32*('E Balans VL '!D8+'E Balans VL '!E8)/100/3.6*1000000</f>
        <v>0</v>
      </c>
      <c r="K12" s="34"/>
      <c r="L12" s="34"/>
      <c r="M12" s="34"/>
      <c r="N12" s="34">
        <f>$C$32*'E Balans VL '!Y8/100/3.6*1000000</f>
        <v>285.39230113082397</v>
      </c>
      <c r="O12" s="34"/>
      <c r="P12" s="34"/>
      <c r="R12" s="33"/>
    </row>
    <row r="13" spans="1:18">
      <c r="A13" s="17" t="s">
        <v>488</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35417.716185948004</v>
      </c>
      <c r="C16" s="22">
        <f t="shared" ca="1" si="1"/>
        <v>0</v>
      </c>
      <c r="D16" s="22">
        <f t="shared" ca="1" si="1"/>
        <v>27466.760791831508</v>
      </c>
      <c r="E16" s="22">
        <f t="shared" si="1"/>
        <v>343.56770825372183</v>
      </c>
      <c r="F16" s="22">
        <f t="shared" ca="1" si="1"/>
        <v>6959.1635199330485</v>
      </c>
      <c r="G16" s="22">
        <f t="shared" si="1"/>
        <v>0</v>
      </c>
      <c r="H16" s="22">
        <f t="shared" si="1"/>
        <v>0</v>
      </c>
      <c r="I16" s="22">
        <f t="shared" si="1"/>
        <v>0</v>
      </c>
      <c r="J16" s="22">
        <f t="shared" si="1"/>
        <v>0</v>
      </c>
      <c r="K16" s="22">
        <f t="shared" si="1"/>
        <v>0</v>
      </c>
      <c r="L16" s="22">
        <f t="shared" ca="1" si="1"/>
        <v>0</v>
      </c>
      <c r="M16" s="22">
        <f t="shared" si="1"/>
        <v>0</v>
      </c>
      <c r="N16" s="22">
        <f t="shared" ca="1" si="1"/>
        <v>2660.669430841313</v>
      </c>
      <c r="O16" s="22">
        <f>O5</f>
        <v>7.8166666666666664</v>
      </c>
      <c r="P16" s="22">
        <f>P5</f>
        <v>190.66666666666669</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0.20961273288603349</v>
      </c>
      <c r="C18" s="26">
        <f ca="1">'EF ele_warmte'!B22</f>
        <v>0.23705613187737828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7424.004282318464</v>
      </c>
      <c r="C20" s="24">
        <f t="shared" ref="C20:P20" ca="1" si="2">C16*C18</f>
        <v>0</v>
      </c>
      <c r="D20" s="24">
        <f t="shared" ca="1" si="2"/>
        <v>5548.285679949965</v>
      </c>
      <c r="E20" s="24">
        <f t="shared" si="2"/>
        <v>77.989869773594862</v>
      </c>
      <c r="F20" s="24">
        <f t="shared" ca="1" si="2"/>
        <v>1858.0966598221241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7015.8103312542753</v>
      </c>
      <c r="C26" s="40">
        <f>IF(ISERROR(B26*3.6/1000000/'E Balans VL '!Z12*100),0,B26*3.6/1000000/'E Balans VL '!Z12*100)</f>
        <v>0.14870049532811347</v>
      </c>
      <c r="D26" s="236" t="s">
        <v>660</v>
      </c>
      <c r="F26" s="6"/>
    </row>
    <row r="27" spans="1:18">
      <c r="A27" s="231" t="s">
        <v>52</v>
      </c>
      <c r="B27" s="34">
        <f>IF(ISERROR(TER_horeca_ele_kWh/1000),0,TER_horeca_ele_kWh/1000)</f>
        <v>3360.9704370867644</v>
      </c>
      <c r="C27" s="40">
        <f>IF(ISERROR(B27*3.6/1000000/'E Balans VL '!Z9*100),0,B27*3.6/1000000/'E Balans VL '!Z9*100)</f>
        <v>0.26374020635821038</v>
      </c>
      <c r="D27" s="236" t="s">
        <v>660</v>
      </c>
      <c r="F27" s="6"/>
    </row>
    <row r="28" spans="1:18">
      <c r="A28" s="171" t="s">
        <v>51</v>
      </c>
      <c r="B28" s="34">
        <f>IF(ISERROR(TER_handel_ele_kWh/1000),0,TER_handel_ele_kWh/1000)</f>
        <v>14500.777230927739</v>
      </c>
      <c r="C28" s="40">
        <f>IF(ISERROR(B28*3.6/1000000/'E Balans VL '!Z13*100),0,B28*3.6/1000000/'E Balans VL '!Z13*100)</f>
        <v>0.40495515618668215</v>
      </c>
      <c r="D28" s="236" t="s">
        <v>660</v>
      </c>
      <c r="F28" s="6"/>
    </row>
    <row r="29" spans="1:18">
      <c r="A29" s="231" t="s">
        <v>50</v>
      </c>
      <c r="B29" s="34">
        <f>IF(ISERROR(TER_gezond_ele_kWh/1000),0,TER_gezond_ele_kWh/1000)</f>
        <v>714.59732870011646</v>
      </c>
      <c r="C29" s="40">
        <f>IF(ISERROR(B29*3.6/1000000/'E Balans VL '!Z10*100),0,B29*3.6/1000000/'E Balans VL '!Z10*100)</f>
        <v>8.1892373334823507E-2</v>
      </c>
      <c r="D29" s="236" t="s">
        <v>660</v>
      </c>
      <c r="F29" s="6"/>
    </row>
    <row r="30" spans="1:18">
      <c r="A30" s="231" t="s">
        <v>49</v>
      </c>
      <c r="B30" s="34">
        <f>IF(ISERROR(TER_ander_ele_kWh/1000),0,TER_ander_ele_kWh/1000)</f>
        <v>4728.5682564321505</v>
      </c>
      <c r="C30" s="40">
        <f>IF(ISERROR(B30*3.6/1000000/'E Balans VL '!Z14*100),0,B30*3.6/1000000/'E Balans VL '!Z14*100)</f>
        <v>0.35259534984251761</v>
      </c>
      <c r="D30" s="236" t="s">
        <v>660</v>
      </c>
      <c r="F30" s="6"/>
    </row>
    <row r="31" spans="1:18">
      <c r="A31" s="231" t="s">
        <v>54</v>
      </c>
      <c r="B31" s="34">
        <f>IF(ISERROR(TER_onderwijs_ele_kWh/1000),0,TER_onderwijs_ele_kWh/1000)</f>
        <v>130.7930223717558</v>
      </c>
      <c r="C31" s="40">
        <f>IF(ISERROR(B31*3.6/1000000/'E Balans VL '!Z11*100),0,B31*3.6/1000000/'E Balans VL '!Z11*100)</f>
        <v>3.7380934259243458E-2</v>
      </c>
      <c r="D31" s="236" t="s">
        <v>660</v>
      </c>
    </row>
    <row r="32" spans="1:18">
      <c r="A32" s="231" t="s">
        <v>249</v>
      </c>
      <c r="B32" s="34">
        <f>IF(ISERROR(TER_rest_ele_kWh/1000),0,TER_rest_ele_kWh/1000)</f>
        <v>4966.1995791752006</v>
      </c>
      <c r="C32" s="40">
        <f>IF(ISERROR(B32*3.6/1000000/'E Balans VL '!Z8*100),0,B32*3.6/1000000/'E Balans VL '!Z8*100)</f>
        <v>4.0918395796167108E-2</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5</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10</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78806.404877417997</v>
      </c>
      <c r="C5" s="18">
        <f>IF(ISERROR('Eigen informatie GS &amp; warmtenet'!B59),0,'Eigen informatie GS &amp; warmtenet'!B59)</f>
        <v>0</v>
      </c>
      <c r="D5" s="31">
        <f>SUM(D6:D15)</f>
        <v>200551.98757210205</v>
      </c>
      <c r="E5" s="18">
        <f>SUM(E6:E15)</f>
        <v>935.71505108981648</v>
      </c>
      <c r="F5" s="18">
        <f>SUM(F6:F15)</f>
        <v>19983.794582714072</v>
      </c>
      <c r="G5" s="19"/>
      <c r="H5" s="18"/>
      <c r="I5" s="18"/>
      <c r="J5" s="18">
        <f>SUM(J6:J15)</f>
        <v>296.01808260287265</v>
      </c>
      <c r="K5" s="18"/>
      <c r="L5" s="18"/>
      <c r="M5" s="18"/>
      <c r="N5" s="18">
        <f>SUM(N6:N15)</f>
        <v>5893.0268059684931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1739.2615534205781</v>
      </c>
      <c r="C8" s="34"/>
      <c r="D8" s="38">
        <f>IF( ISERROR(IND_metaal_Gas_kWH/1000),0,IND_metaal_Gas_kWH/1000)*0.902</f>
        <v>0</v>
      </c>
      <c r="E8" s="34">
        <f>C30*'E Balans VL '!I18/100/3.6*1000000</f>
        <v>15.839141530581687</v>
      </c>
      <c r="F8" s="34">
        <f>C30*'E Balans VL '!L18/100/3.6*1000000+C30*'E Balans VL '!N18/100/3.6*1000000</f>
        <v>229.39539071707998</v>
      </c>
      <c r="G8" s="35"/>
      <c r="H8" s="34"/>
      <c r="I8" s="34"/>
      <c r="J8" s="41">
        <f>C30*'E Balans VL '!D18/100/3.6*1000000+C30*'E Balans VL '!E18/100/3.6*1000000</f>
        <v>28.52136415925585</v>
      </c>
      <c r="K8" s="34"/>
      <c r="L8" s="34"/>
      <c r="M8" s="34"/>
      <c r="N8" s="34">
        <f>C30*'E Balans VL '!Y18/100/3.6*1000000</f>
        <v>5.9771510392267739</v>
      </c>
      <c r="O8" s="34"/>
      <c r="P8" s="34"/>
      <c r="R8" s="33"/>
    </row>
    <row r="9" spans="1:18">
      <c r="A9" s="6" t="s">
        <v>32</v>
      </c>
      <c r="B9" s="38">
        <f t="shared" si="0"/>
        <v>8905.9311509979998</v>
      </c>
      <c r="C9" s="34"/>
      <c r="D9" s="38">
        <f>IF( ISERROR(IND_andere_gas_kWh/1000),0,IND_andere_gas_kWh/1000)*0.902</f>
        <v>2262.5785785686071</v>
      </c>
      <c r="E9" s="34">
        <f>C31*'E Balans VL '!I19/100/3.6*1000000</f>
        <v>51.477612934097792</v>
      </c>
      <c r="F9" s="34">
        <f>C31*'E Balans VL '!L19/100/3.6*1000000+C31*'E Balans VL '!N19/100/3.6*1000000</f>
        <v>7085.0967670680839</v>
      </c>
      <c r="G9" s="35"/>
      <c r="H9" s="34"/>
      <c r="I9" s="34"/>
      <c r="J9" s="41">
        <f>C31*'E Balans VL '!D19/100/3.6*1000000+C31*'E Balans VL '!E19/100/3.6*1000000</f>
        <v>0.84240216260309686</v>
      </c>
      <c r="K9" s="34"/>
      <c r="L9" s="34"/>
      <c r="M9" s="34"/>
      <c r="N9" s="34">
        <f>C31*'E Balans VL '!Y19/100/3.6*1000000</f>
        <v>674.75906088055808</v>
      </c>
      <c r="O9" s="34"/>
      <c r="P9" s="34"/>
      <c r="R9" s="33"/>
    </row>
    <row r="10" spans="1:18">
      <c r="A10" s="6" t="s">
        <v>40</v>
      </c>
      <c r="B10" s="38">
        <f t="shared" si="0"/>
        <v>5653.4731263552103</v>
      </c>
      <c r="C10" s="34"/>
      <c r="D10" s="38">
        <f>IF( ISERROR(IND_voed_gas_kWh/1000),0,IND_voed_gas_kWh/1000)*0.902</f>
        <v>4636.2280688931596</v>
      </c>
      <c r="E10" s="34">
        <f>C32*'E Balans VL '!I20/100/3.6*1000000</f>
        <v>55.588431173223903</v>
      </c>
      <c r="F10" s="34">
        <f>C32*'E Balans VL '!L20/100/3.6*1000000+C32*'E Balans VL '!N20/100/3.6*1000000</f>
        <v>627.89198345604177</v>
      </c>
      <c r="G10" s="35"/>
      <c r="H10" s="34"/>
      <c r="I10" s="34"/>
      <c r="J10" s="41">
        <f>C32*'E Balans VL '!D20/100/3.6*1000000+C32*'E Balans VL '!E20/100/3.6*1000000</f>
        <v>2.2282904113331687E-2</v>
      </c>
      <c r="K10" s="34"/>
      <c r="L10" s="34"/>
      <c r="M10" s="34"/>
      <c r="N10" s="34">
        <f>C32*'E Balans VL '!Y20/100/3.6*1000000</f>
        <v>83.714638630776463</v>
      </c>
      <c r="O10" s="34"/>
      <c r="P10" s="34"/>
      <c r="R10" s="33"/>
    </row>
    <row r="11" spans="1:18">
      <c r="A11" s="6" t="s">
        <v>39</v>
      </c>
      <c r="B11" s="38">
        <f t="shared" si="0"/>
        <v>119.33106119851999</v>
      </c>
      <c r="C11" s="34"/>
      <c r="D11" s="38">
        <f>IF( ISERROR(IND_textiel_gas_kWh/1000),0,IND_textiel_gas_kWh/1000)*0.902</f>
        <v>235.0267728437411</v>
      </c>
      <c r="E11" s="34">
        <f>C33*'E Balans VL '!I21/100/3.6*1000000</f>
        <v>0.23236528564287337</v>
      </c>
      <c r="F11" s="34">
        <f>C33*'E Balans VL '!L21/100/3.6*1000000+C33*'E Balans VL '!N21/100/3.6*1000000</f>
        <v>3.9359299836319943</v>
      </c>
      <c r="G11" s="35"/>
      <c r="H11" s="34"/>
      <c r="I11" s="34"/>
      <c r="J11" s="41">
        <f>C33*'E Balans VL '!D21/100/3.6*1000000+C33*'E Balans VL '!E21/100/3.6*1000000</f>
        <v>0</v>
      </c>
      <c r="K11" s="34"/>
      <c r="L11" s="34"/>
      <c r="M11" s="34"/>
      <c r="N11" s="34">
        <f>C33*'E Balans VL '!Y21/100/3.6*1000000</f>
        <v>1.2377769664762543</v>
      </c>
      <c r="O11" s="34"/>
      <c r="P11" s="34"/>
      <c r="R11" s="33"/>
    </row>
    <row r="12" spans="1:18">
      <c r="A12" s="6" t="s">
        <v>36</v>
      </c>
      <c r="B12" s="38">
        <f t="shared" si="0"/>
        <v>705.46257582042199</v>
      </c>
      <c r="C12" s="34"/>
      <c r="D12" s="38">
        <f>IF( ISERROR(IND_min_gas_kWh/1000),0,IND_min_gas_kWh/1000)*0.902</f>
        <v>798.40997069673188</v>
      </c>
      <c r="E12" s="34">
        <f>C34*'E Balans VL '!I22/100/3.6*1000000</f>
        <v>17.884731664228998</v>
      </c>
      <c r="F12" s="34">
        <f>C34*'E Balans VL '!L22/100/3.6*1000000+C34*'E Balans VL '!N22/100/3.6*1000000</f>
        <v>195.20395368300566</v>
      </c>
      <c r="G12" s="35"/>
      <c r="H12" s="34"/>
      <c r="I12" s="34"/>
      <c r="J12" s="41">
        <f>C34*'E Balans VL '!D22/100/3.6*1000000+C34*'E Balans VL '!E22/100/3.6*1000000</f>
        <v>4.6590166140772311</v>
      </c>
      <c r="K12" s="34"/>
      <c r="L12" s="34"/>
      <c r="M12" s="34"/>
      <c r="N12" s="34">
        <f>C34*'E Balans VL '!Y22/100/3.6*1000000</f>
        <v>0</v>
      </c>
      <c r="O12" s="34"/>
      <c r="P12" s="34"/>
      <c r="R12" s="33"/>
    </row>
    <row r="13" spans="1:18">
      <c r="A13" s="6" t="s">
        <v>38</v>
      </c>
      <c r="B13" s="38">
        <f t="shared" si="0"/>
        <v>9588.0999975171198</v>
      </c>
      <c r="C13" s="34"/>
      <c r="D13" s="38">
        <f>IF( ISERROR(IND_papier_gas_kWh/1000),0,IND_papier_gas_kWh/1000)*0.902</f>
        <v>6175.2466770001256</v>
      </c>
      <c r="E13" s="34">
        <f>C35*'E Balans VL '!I23/100/3.6*1000000</f>
        <v>326.58458776164042</v>
      </c>
      <c r="F13" s="34">
        <f>C35*'E Balans VL '!L23/100/3.6*1000000+C35*'E Balans VL '!N23/100/3.6*1000000</f>
        <v>1583.7290917267394</v>
      </c>
      <c r="G13" s="35"/>
      <c r="H13" s="34"/>
      <c r="I13" s="34"/>
      <c r="J13" s="41">
        <f>C35*'E Balans VL '!D23/100/3.6*1000000+C35*'E Balans VL '!E23/100/3.6*1000000</f>
        <v>0</v>
      </c>
      <c r="K13" s="34"/>
      <c r="L13" s="34"/>
      <c r="M13" s="34"/>
      <c r="N13" s="34">
        <f>C35*'E Balans VL '!Y23/100/3.6*1000000</f>
        <v>3528.1636661773232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52094.845412108145</v>
      </c>
      <c r="C15" s="34"/>
      <c r="D15" s="38">
        <f>IF( ISERROR(IND_rest_gas_kWh/1000),0,IND_rest_gas_kWh/1000)*0.902</f>
        <v>186444.49750409968</v>
      </c>
      <c r="E15" s="34">
        <f>C37*'E Balans VL '!I15/100/3.6*1000000</f>
        <v>468.10818074040083</v>
      </c>
      <c r="F15" s="34">
        <f>C37*'E Balans VL '!L15/100/3.6*1000000+C37*'E Balans VL '!N15/100/3.6*1000000</f>
        <v>10258.541466079489</v>
      </c>
      <c r="G15" s="35"/>
      <c r="H15" s="34"/>
      <c r="I15" s="34"/>
      <c r="J15" s="41">
        <f>C37*'E Balans VL '!D15/100/3.6*1000000+C37*'E Balans VL '!E15/100/3.6*1000000</f>
        <v>261.97301676282314</v>
      </c>
      <c r="K15" s="34"/>
      <c r="L15" s="34"/>
      <c r="M15" s="34"/>
      <c r="N15" s="34">
        <f>C37*'E Balans VL '!Y15/100/3.6*1000000</f>
        <v>1599.1745122741327</v>
      </c>
      <c r="O15" s="34"/>
      <c r="P15" s="34"/>
      <c r="R15" s="33"/>
    </row>
    <row r="16" spans="1:18">
      <c r="A16" s="17" t="s">
        <v>488</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78806.404877417997</v>
      </c>
      <c r="C18" s="22">
        <f>C5+C16</f>
        <v>0</v>
      </c>
      <c r="D18" s="22">
        <f>MAX((D5+D16),0)</f>
        <v>200551.98757210205</v>
      </c>
      <c r="E18" s="22">
        <f>MAX((E5+E16),0)</f>
        <v>935.71505108981648</v>
      </c>
      <c r="F18" s="22">
        <f>MAX((F5+F16),0)</f>
        <v>19983.794582714072</v>
      </c>
      <c r="G18" s="22"/>
      <c r="H18" s="22"/>
      <c r="I18" s="22"/>
      <c r="J18" s="22">
        <f>MAX((J5+J16),0)</f>
        <v>296.01808260287265</v>
      </c>
      <c r="K18" s="22"/>
      <c r="L18" s="22">
        <f>MAX((L5+L16),0)</f>
        <v>0</v>
      </c>
      <c r="M18" s="22"/>
      <c r="N18" s="22">
        <f>MAX((N5+N16),0)</f>
        <v>5893.0268059684931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0.20961273288603349</v>
      </c>
      <c r="C20" s="26">
        <f ca="1">'EF ele_warmte'!B22</f>
        <v>0.23705613187737828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16518.825895278827</v>
      </c>
      <c r="C22" s="24">
        <f ca="1">C18*C20</f>
        <v>0</v>
      </c>
      <c r="D22" s="24">
        <f>D18*D20</f>
        <v>40511.501489564616</v>
      </c>
      <c r="E22" s="24">
        <f>E18*E20</f>
        <v>212.40731659738836</v>
      </c>
      <c r="F22" s="24">
        <f>F18*F20</f>
        <v>5335.6731535846575</v>
      </c>
      <c r="G22" s="24"/>
      <c r="H22" s="24"/>
      <c r="I22" s="24"/>
      <c r="J22" s="24">
        <f>J18*J20</f>
        <v>104.79040124141692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1739.2615534205781</v>
      </c>
      <c r="C30" s="40">
        <f>IF(ISERROR(B30*3.6/1000000/'E Balans VL '!Z18*100),0,B30*3.6/1000000/'E Balans VL '!Z18*100)</f>
        <v>9.6778275105632749E-2</v>
      </c>
      <c r="D30" s="236" t="s">
        <v>660</v>
      </c>
    </row>
    <row r="31" spans="1:18">
      <c r="A31" s="6" t="s">
        <v>32</v>
      </c>
      <c r="B31" s="38">
        <f>IF( ISERROR(IND_ander_ele_kWh/1000),0,IND_ander_ele_kWh/1000)</f>
        <v>8905.9311509979998</v>
      </c>
      <c r="C31" s="40">
        <f>IF(ISERROR(B31*3.6/1000000/'E Balans VL '!Z19*100),0,B31*3.6/1000000/'E Balans VL '!Z19*100)</f>
        <v>0.41401334953872337</v>
      </c>
      <c r="D31" s="236" t="s">
        <v>660</v>
      </c>
    </row>
    <row r="32" spans="1:18">
      <c r="A32" s="171" t="s">
        <v>40</v>
      </c>
      <c r="B32" s="38">
        <f>IF( ISERROR(IND_voed_ele_kWh/1000),0,IND_voed_ele_kWh/1000)</f>
        <v>5653.4731263552103</v>
      </c>
      <c r="C32" s="40">
        <f>IF(ISERROR(B32*3.6/1000000/'E Balans VL '!Z20*100),0,B32*3.6/1000000/'E Balans VL '!Z20*100)</f>
        <v>0.19983885734413459</v>
      </c>
      <c r="D32" s="236" t="s">
        <v>660</v>
      </c>
    </row>
    <row r="33" spans="1:5">
      <c r="A33" s="171" t="s">
        <v>39</v>
      </c>
      <c r="B33" s="38">
        <f>IF( ISERROR(IND_textiel_ele_kWh/1000),0,IND_textiel_ele_kWh/1000)</f>
        <v>119.33106119851999</v>
      </c>
      <c r="C33" s="40">
        <f>IF(ISERROR(B33*3.6/1000000/'E Balans VL '!Z21*100),0,B33*3.6/1000000/'E Balans VL '!Z21*100)</f>
        <v>1.6117470536819601E-2</v>
      </c>
      <c r="D33" s="236" t="s">
        <v>660</v>
      </c>
    </row>
    <row r="34" spans="1:5">
      <c r="A34" s="171" t="s">
        <v>36</v>
      </c>
      <c r="B34" s="38">
        <f>IF( ISERROR(IND_min_ele_kWh/1000),0,IND_min_ele_kWh/1000)</f>
        <v>705.46257582042199</v>
      </c>
      <c r="C34" s="40">
        <f>IF(ISERROR(B34*3.6/1000000/'E Balans VL '!Z22*100),0,B34*3.6/1000000/'E Balans VL '!Z22*100)</f>
        <v>0.1417780843673464</v>
      </c>
      <c r="D34" s="236" t="s">
        <v>660</v>
      </c>
    </row>
    <row r="35" spans="1:5">
      <c r="A35" s="171" t="s">
        <v>38</v>
      </c>
      <c r="B35" s="38">
        <f>IF( ISERROR(IND_papier_ele_kWh/1000),0,IND_papier_ele_kWh/1000)</f>
        <v>9588.0999975171198</v>
      </c>
      <c r="C35" s="40">
        <f>IF(ISERROR(B35*3.6/1000000/'E Balans VL '!Z22*100),0,B35*3.6/1000000/'E Balans VL '!Z22*100)</f>
        <v>1.9269377242153971</v>
      </c>
      <c r="D35" s="236" t="s">
        <v>660</v>
      </c>
    </row>
    <row r="36" spans="1:5">
      <c r="A36" s="171" t="s">
        <v>33</v>
      </c>
      <c r="B36" s="38">
        <f>IF( ISERROR(IND_chemie_ele_kWh/1000),0,IND_chemie_ele_kWh/1000)</f>
        <v>0</v>
      </c>
      <c r="C36" s="40">
        <f>IF(ISERROR(B36*3.6/1000000/'E Balans VL '!Z24*100),0,B36*3.6/1000000/'E Balans VL '!Z24*100)</f>
        <v>0</v>
      </c>
      <c r="D36" s="236" t="s">
        <v>660</v>
      </c>
    </row>
    <row r="37" spans="1:5">
      <c r="A37" s="171" t="s">
        <v>259</v>
      </c>
      <c r="B37" s="38">
        <f>IF( ISERROR(IND_rest_ele_kWh/1000),0,IND_rest_ele_kWh/1000)</f>
        <v>52094.845412108145</v>
      </c>
      <c r="C37" s="40">
        <f>IF(ISERROR(B37*3.6/1000000/'E Balans VL '!Z15*100),0,B37*3.6/1000000/'E Balans VL '!Z15*100)</f>
        <v>0.39339303858494745</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8807.8519763345485</v>
      </c>
      <c r="C5" s="18">
        <f>'Eigen informatie GS &amp; warmtenet'!B60</f>
        <v>0</v>
      </c>
      <c r="D5" s="31">
        <f>IF(ISERROR(SUM(LB_lb_gas_kWh,LB_rest_gas_kWh)/1000),0,SUM(LB_lb_gas_kWh,LB_rest_gas_kWh)/1000)*0.902</f>
        <v>10674.927766204222</v>
      </c>
      <c r="E5" s="18">
        <f>B17*'E Balans VL '!I25/3.6*1000000/100</f>
        <v>86.979141369404758</v>
      </c>
      <c r="F5" s="18">
        <f>B17*('E Balans VL '!L25/3.6*1000000+'E Balans VL '!N25/3.6*1000000)/100</f>
        <v>29385.324732796766</v>
      </c>
      <c r="G5" s="19"/>
      <c r="H5" s="18"/>
      <c r="I5" s="18"/>
      <c r="J5" s="18">
        <f>('E Balans VL '!D25+'E Balans VL '!E25)/3.6*1000000*landbouw!B17/100</f>
        <v>878.75628996281228</v>
      </c>
      <c r="K5" s="18"/>
      <c r="L5" s="18">
        <f>L6*(-1)</f>
        <v>0</v>
      </c>
      <c r="M5" s="18"/>
      <c r="N5" s="18">
        <f>N6*(-1)</f>
        <v>11.337662337662337</v>
      </c>
      <c r="O5" s="18"/>
      <c r="P5" s="18"/>
      <c r="R5" s="33"/>
    </row>
    <row r="6" spans="1:18">
      <c r="A6" s="17" t="s">
        <v>488</v>
      </c>
      <c r="B6" s="18" t="s">
        <v>204</v>
      </c>
      <c r="C6" s="18">
        <f>'lokale energieproductie'!O40+'lokale energieproductie'!O33</f>
        <v>2279.7759740259744</v>
      </c>
      <c r="D6" s="305">
        <f>('lokale energieproductie'!P33+'lokale energieproductie'!P40)*(-1)</f>
        <v>-4548.2142857142862</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-11.337662337662337</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8807.8519763345485</v>
      </c>
      <c r="C8" s="22">
        <f>C5+C6</f>
        <v>2279.7759740259744</v>
      </c>
      <c r="D8" s="22">
        <f>MAX((D5+D6),0)</f>
        <v>6126.713480489936</v>
      </c>
      <c r="E8" s="22">
        <f>MAX((E5+E6),0)</f>
        <v>86.979141369404758</v>
      </c>
      <c r="F8" s="22">
        <f>MAX((F5+F6),0)</f>
        <v>29385.324732796766</v>
      </c>
      <c r="G8" s="22"/>
      <c r="H8" s="22"/>
      <c r="I8" s="22"/>
      <c r="J8" s="22">
        <f>MAX((J5+J6),0)</f>
        <v>878.75628996281228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0.20961273288603349</v>
      </c>
      <c r="C10" s="32">
        <f ca="1">'EF ele_warmte'!B22</f>
        <v>0.23705613187737828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1846.237923615136</v>
      </c>
      <c r="C12" s="24">
        <f ca="1">C8*C10</f>
        <v>540.43487394957992</v>
      </c>
      <c r="D12" s="24">
        <f>D8*D10</f>
        <v>1237.5961230589671</v>
      </c>
      <c r="E12" s="24">
        <f>E8*E10</f>
        <v>19.744265090854881</v>
      </c>
      <c r="F12" s="24">
        <f>F8*F10</f>
        <v>7845.881703656737</v>
      </c>
      <c r="G12" s="24"/>
      <c r="H12" s="24"/>
      <c r="I12" s="24"/>
      <c r="J12" s="24">
        <f>J8*J10</f>
        <v>311.07972664683552</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1.1924424126203064</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1384.0166116460668</v>
      </c>
      <c r="C26" s="246">
        <f>B26*'GWP N2O_CH4'!B5</f>
        <v>29064.348844567405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882.19546783172871</v>
      </c>
      <c r="C27" s="246">
        <f>B27*'GWP N2O_CH4'!B5</f>
        <v>18526.104824466303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22.661958272678763</v>
      </c>
      <c r="C28" s="246">
        <f>B28*'GWP N2O_CH4'!B4</f>
        <v>7025.2070645304166</v>
      </c>
      <c r="D28" s="51"/>
    </row>
    <row r="29" spans="1:4">
      <c r="A29" s="42" t="s">
        <v>266</v>
      </c>
      <c r="B29" s="246">
        <f>B34*'ha_N2O bodem landbouw'!B4</f>
        <v>40.521385583370005</v>
      </c>
      <c r="C29" s="246">
        <f>B29*'GWP N2O_CH4'!B4</f>
        <v>12561.629530844702</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1.0939498483479079E-2</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7.675652474339718E-5</v>
      </c>
      <c r="C5" s="433" t="s">
        <v>204</v>
      </c>
      <c r="D5" s="418">
        <f>SUM(D6:D11)</f>
        <v>8.5780362487552353E-5</v>
      </c>
      <c r="E5" s="418">
        <f>SUM(E6:E11)</f>
        <v>6.3465486306588173E-3</v>
      </c>
      <c r="F5" s="431" t="s">
        <v>204</v>
      </c>
      <c r="G5" s="418">
        <f>SUM(G6:G11)</f>
        <v>1.6222225555059118</v>
      </c>
      <c r="H5" s="418">
        <f>SUM(H6:H11)</f>
        <v>0.22758469690832497</v>
      </c>
      <c r="I5" s="433" t="s">
        <v>204</v>
      </c>
      <c r="J5" s="433" t="s">
        <v>204</v>
      </c>
      <c r="K5" s="433" t="s">
        <v>204</v>
      </c>
      <c r="L5" s="433" t="s">
        <v>204</v>
      </c>
      <c r="M5" s="418">
        <f>SUM(M6:M11)</f>
        <v>8.2606434477931395E-2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1.8838361449743388E-5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2.1849072186212706E-5</v>
      </c>
      <c r="E6" s="421">
        <f>vkm_GW_PW*SUMIFS(TableVerdeelsleutelVkm[LPG],TableVerdeelsleutelVkm[Voertuigtype],"Lichte voertuigen")*SUMIFS(TableECFTransport[EnergieConsumptieFactor (PJ per km)],TableECFTransport[Index],CONCATENATE($A6,"_LPG_LPG"))</f>
        <v>1.4142101457070421E-3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0.22298098139166903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5.6383705979917362E-2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1.2504382081757744E-2</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9.1817211784085344E-7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0.15188488225398611</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4.7334874338628396E-6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6.7584119186941309E-3</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5.431150527857656E-6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1.0266332733098452E-5</v>
      </c>
      <c r="E8" s="421">
        <f>vkm_NGW_PW*SUMIFS(TableVerdeelsleutelVkm[LPG],TableVerdeelsleutelVkm[Voertuigtype],"Lichte voertuigen")*SUMIFS(TableECFTransport[EnergieConsumptieFactor (PJ per km)],TableECFTransport[Index],CONCATENATE($A8,"_LPG_LPG"))</f>
        <v>6.2800347624730496E-4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9.3625994438613858E-2</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2.5215648315513296E-2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5.3209722189999711E-3</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4.1991602758690106E-8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8.9075429395838422E-3</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2.6129796395787606E-7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3.9635762318781045E-4</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4.8183270209411645E-5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5.3664957568241198E-5</v>
      </c>
      <c r="E10" s="421">
        <f>vkm_SW_PW*SUMIFS(TableVerdeelsleutelVkm[LPG],TableVerdeelsleutelVkm[Voertuigtype],"Lichte voertuigen")*SUMIFS(TableECFTransport[EnergieConsumptieFactor (PJ per km)],TableECFTransport[Index],CONCATENATE($A10,"_LPG_LPG"))</f>
        <v>4.3043350087044697E-3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0.62672748585242766</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0.14596260596802291</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3.4572567631015239E-2</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3.3435788357849463E-6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0.51809566862963152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1.7741859473580032E-5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2.3053743004276501E-2</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21.321256873165883</v>
      </c>
      <c r="C14" s="22"/>
      <c r="D14" s="22">
        <f t="shared" ref="D14:M14" si="0">((D5)*10^9/3600)+D12</f>
        <v>23.827878468764542</v>
      </c>
      <c r="E14" s="22">
        <f t="shared" si="0"/>
        <v>1762.9301751830048</v>
      </c>
      <c r="F14" s="22"/>
      <c r="G14" s="22">
        <f t="shared" si="0"/>
        <v>450617.37652941997</v>
      </c>
      <c r="H14" s="22">
        <f t="shared" si="0"/>
        <v>63217.97136342361</v>
      </c>
      <c r="I14" s="22"/>
      <c r="J14" s="22"/>
      <c r="K14" s="22"/>
      <c r="L14" s="22"/>
      <c r="M14" s="22">
        <f t="shared" si="0"/>
        <v>22946.231799425386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0.20961273288603349</v>
      </c>
      <c r="C16" s="57">
        <f ca="1">'EF ele_warmte'!B22</f>
        <v>0.23705613187737828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4.4692069217494259</v>
      </c>
      <c r="C18" s="24"/>
      <c r="D18" s="24">
        <f t="shared" ref="D18:M18" si="1">D14*D16</f>
        <v>4.8132314506904379</v>
      </c>
      <c r="E18" s="24">
        <f t="shared" si="1"/>
        <v>400.18514976654211</v>
      </c>
      <c r="F18" s="24"/>
      <c r="G18" s="24">
        <f t="shared" si="1"/>
        <v>120314.83953335515</v>
      </c>
      <c r="H18" s="24">
        <f t="shared" si="1"/>
        <v>15741.274869492479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2.2659437160540651E-5</v>
      </c>
      <c r="C50" s="316">
        <f t="shared" ref="C50:P50" si="2">SUM(C51:C52)</f>
        <v>0</v>
      </c>
      <c r="D50" s="316">
        <f t="shared" si="2"/>
        <v>0</v>
      </c>
      <c r="E50" s="316">
        <f t="shared" si="2"/>
        <v>0</v>
      </c>
      <c r="F50" s="316">
        <f t="shared" si="2"/>
        <v>0</v>
      </c>
      <c r="G50" s="316">
        <f t="shared" si="2"/>
        <v>4.5194695414109446E-3</v>
      </c>
      <c r="H50" s="316">
        <f t="shared" si="2"/>
        <v>0</v>
      </c>
      <c r="I50" s="316">
        <f t="shared" si="2"/>
        <v>0</v>
      </c>
      <c r="J50" s="316">
        <f t="shared" si="2"/>
        <v>0</v>
      </c>
      <c r="K50" s="316">
        <f t="shared" si="2"/>
        <v>0</v>
      </c>
      <c r="L50" s="316">
        <f t="shared" si="2"/>
        <v>0</v>
      </c>
      <c r="M50" s="316">
        <f t="shared" si="2"/>
        <v>1.997557403013016E-4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2.2659437160540651E-5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4.5194695414109446E-3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1.997557403013016E-4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6.2942881001501814</v>
      </c>
      <c r="C54" s="22">
        <f t="shared" ref="C54:P54" si="3">(C50)*10^9/3600</f>
        <v>0</v>
      </c>
      <c r="D54" s="22">
        <f t="shared" si="3"/>
        <v>0</v>
      </c>
      <c r="E54" s="22">
        <f t="shared" si="3"/>
        <v>0</v>
      </c>
      <c r="F54" s="22">
        <f t="shared" si="3"/>
        <v>0</v>
      </c>
      <c r="G54" s="22">
        <f t="shared" si="3"/>
        <v>1255.4082059474845</v>
      </c>
      <c r="H54" s="22">
        <f t="shared" si="3"/>
        <v>0</v>
      </c>
      <c r="I54" s="22">
        <f t="shared" si="3"/>
        <v>0</v>
      </c>
      <c r="J54" s="22">
        <f t="shared" si="3"/>
        <v>0</v>
      </c>
      <c r="K54" s="22">
        <f t="shared" si="3"/>
        <v>0</v>
      </c>
      <c r="L54" s="22">
        <f t="shared" si="3"/>
        <v>0</v>
      </c>
      <c r="M54" s="22">
        <f t="shared" si="3"/>
        <v>55.487705639250443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0.20961273288603349</v>
      </c>
      <c r="C56" s="57">
        <f ca="1">'EF ele_warmte'!B22</f>
        <v>0.23705613187737828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1.3193629302445191</v>
      </c>
      <c r="C58" s="24">
        <f t="shared" ref="C58:P58" ca="1" si="4">C54*C56</f>
        <v>0</v>
      </c>
      <c r="D58" s="24">
        <f t="shared" si="4"/>
        <v>0</v>
      </c>
      <c r="E58" s="24">
        <f t="shared" si="4"/>
        <v>0</v>
      </c>
      <c r="F58" s="24">
        <f t="shared" si="4"/>
        <v>0</v>
      </c>
      <c r="G58" s="24">
        <f t="shared" si="4"/>
        <v>335.1939909879784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2"/>
  <sheetViews>
    <sheetView showGridLines="0" topLeftCell="F1"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0</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9861.9067222559279</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N30</f>
        <v>1595.8431818181818</v>
      </c>
      <c r="C8" s="544">
        <f>B49</f>
        <v>1872.794117647059</v>
      </c>
      <c r="D8" s="931"/>
      <c r="E8" s="931">
        <f>E49</f>
        <v>0</v>
      </c>
      <c r="F8" s="932"/>
      <c r="G8" s="545"/>
      <c r="H8" s="931">
        <f>I49</f>
        <v>0</v>
      </c>
      <c r="I8" s="931">
        <f>G49+F49</f>
        <v>0</v>
      </c>
      <c r="J8" s="931">
        <f>H49+D49+C49</f>
        <v>4.6684491978609621</v>
      </c>
      <c r="K8" s="931"/>
      <c r="L8" s="931"/>
      <c r="M8" s="931"/>
      <c r="N8" s="546"/>
      <c r="O8" s="547">
        <f>C8*$C$12+D8*$D$12+E8*$E$12+F8*$F$12+G8*$G$12+H8*$H$12+I8*$I$12+J8*$J$12</f>
        <v>378.30441176470595</v>
      </c>
      <c r="P8" s="1206"/>
      <c r="Q8" s="1207"/>
      <c r="S8" s="968"/>
      <c r="T8" s="1227"/>
      <c r="U8" s="1227"/>
    </row>
    <row r="9" spans="1:21" s="532" customFormat="1" ht="17.45" customHeight="1" thickBot="1">
      <c r="A9" s="548" t="s">
        <v>237</v>
      </c>
      <c r="B9" s="933">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11457.74990407411</v>
      </c>
      <c r="C10" s="556">
        <f t="shared" ref="C10:L10" si="0">SUM(C8:C9)</f>
        <v>1872.794117647059</v>
      </c>
      <c r="D10" s="556">
        <f t="shared" si="0"/>
        <v>0</v>
      </c>
      <c r="E10" s="556">
        <f t="shared" si="0"/>
        <v>0</v>
      </c>
      <c r="F10" s="556">
        <f t="shared" si="0"/>
        <v>0</v>
      </c>
      <c r="G10" s="556">
        <f t="shared" si="0"/>
        <v>0</v>
      </c>
      <c r="H10" s="556">
        <f t="shared" si="0"/>
        <v>0</v>
      </c>
      <c r="I10" s="556">
        <f t="shared" si="0"/>
        <v>0</v>
      </c>
      <c r="J10" s="556">
        <f t="shared" si="0"/>
        <v>4.6684491978609621</v>
      </c>
      <c r="K10" s="556">
        <f t="shared" si="0"/>
        <v>0</v>
      </c>
      <c r="L10" s="556">
        <f t="shared" si="0"/>
        <v>0</v>
      </c>
      <c r="M10" s="935"/>
      <c r="N10" s="935"/>
      <c r="O10" s="557">
        <f>SUM(O4:O9)</f>
        <v>378.30441176470595</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O30</f>
        <v>2279.7759740259744</v>
      </c>
      <c r="C17" s="568">
        <f>B50</f>
        <v>2675.4201680672272</v>
      </c>
      <c r="D17" s="569"/>
      <c r="E17" s="569">
        <f>E50</f>
        <v>0</v>
      </c>
      <c r="F17" s="570"/>
      <c r="G17" s="571"/>
      <c r="H17" s="568">
        <f>I50</f>
        <v>0</v>
      </c>
      <c r="I17" s="569">
        <f>G50+F50</f>
        <v>0</v>
      </c>
      <c r="J17" s="569">
        <f>H50+D50+C50</f>
        <v>6.669213139801375</v>
      </c>
      <c r="K17" s="569"/>
      <c r="L17" s="569"/>
      <c r="M17" s="569"/>
      <c r="N17" s="938"/>
      <c r="O17" s="572">
        <f>C17*$C$22+E17*$E$22+H17*$H$22+I17*$I$22+J17*$J$22+D17*$D$22+F17*$F$22+G17*$G$22+K17*$K$22+L17*$L$22</f>
        <v>540.43487394957992</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2279.7759740259744</v>
      </c>
      <c r="C20" s="555">
        <f>SUM(C17:C19)</f>
        <v>2675.4201680672272</v>
      </c>
      <c r="D20" s="555">
        <f t="shared" ref="D20:L20" si="1">SUM(D17:D19)</f>
        <v>0</v>
      </c>
      <c r="E20" s="555">
        <f t="shared" si="1"/>
        <v>0</v>
      </c>
      <c r="F20" s="555">
        <f t="shared" si="1"/>
        <v>0</v>
      </c>
      <c r="G20" s="555">
        <f t="shared" si="1"/>
        <v>0</v>
      </c>
      <c r="H20" s="555">
        <f t="shared" si="1"/>
        <v>0</v>
      </c>
      <c r="I20" s="555">
        <f t="shared" si="1"/>
        <v>0</v>
      </c>
      <c r="J20" s="555">
        <f t="shared" si="1"/>
        <v>6.669213139801375</v>
      </c>
      <c r="K20" s="555">
        <f t="shared" si="1"/>
        <v>0</v>
      </c>
      <c r="L20" s="555">
        <f t="shared" si="1"/>
        <v>0</v>
      </c>
      <c r="M20" s="555"/>
      <c r="N20" s="555"/>
      <c r="O20" s="576">
        <f>SUM(O17:O19)</f>
        <v>540.43487394957992</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25.5" hidden="1">
      <c r="A28" s="580"/>
      <c r="B28" s="740">
        <v>44001</v>
      </c>
      <c r="C28" s="740">
        <v>9880</v>
      </c>
      <c r="D28" s="628"/>
      <c r="E28" s="627"/>
      <c r="F28" s="627"/>
      <c r="G28" s="627" t="s">
        <v>942</v>
      </c>
      <c r="H28" s="627" t="s">
        <v>943</v>
      </c>
      <c r="I28" s="627"/>
      <c r="J28" s="739"/>
      <c r="K28" s="739"/>
      <c r="L28" s="627" t="s">
        <v>944</v>
      </c>
      <c r="M28" s="627">
        <v>2830</v>
      </c>
      <c r="N28" s="627">
        <v>1591.875</v>
      </c>
      <c r="O28" s="627">
        <v>2274.1071428571431</v>
      </c>
      <c r="P28" s="627">
        <v>4548.2142857142862</v>
      </c>
      <c r="Q28" s="627">
        <v>0</v>
      </c>
      <c r="R28" s="627">
        <v>0</v>
      </c>
      <c r="S28" s="627">
        <v>0</v>
      </c>
      <c r="T28" s="627">
        <v>0</v>
      </c>
      <c r="U28" s="627">
        <v>0</v>
      </c>
      <c r="V28" s="627">
        <v>0</v>
      </c>
      <c r="W28" s="627"/>
      <c r="X28" s="627"/>
      <c r="Y28" s="627">
        <v>10</v>
      </c>
      <c r="Z28" s="627" t="s">
        <v>105</v>
      </c>
      <c r="AA28" s="629" t="s">
        <v>105</v>
      </c>
    </row>
    <row r="29" spans="1:27" s="581" customFormat="1" ht="25.5" hidden="1">
      <c r="A29" s="580"/>
      <c r="B29" s="740">
        <v>44029</v>
      </c>
      <c r="C29" s="740">
        <v>9910</v>
      </c>
      <c r="D29" s="628"/>
      <c r="E29" s="627"/>
      <c r="F29" s="627"/>
      <c r="G29" s="627" t="s">
        <v>942</v>
      </c>
      <c r="H29" s="627" t="s">
        <v>943</v>
      </c>
      <c r="I29" s="627"/>
      <c r="J29" s="739"/>
      <c r="K29" s="739"/>
      <c r="L29" s="627" t="s">
        <v>944</v>
      </c>
      <c r="M29" s="627">
        <v>9.6999999999999993</v>
      </c>
      <c r="N29" s="627">
        <v>3.9681818181818178</v>
      </c>
      <c r="O29" s="627">
        <v>5.6688311688311686</v>
      </c>
      <c r="P29" s="627">
        <v>0</v>
      </c>
      <c r="Q29" s="627">
        <v>11.337662337662337</v>
      </c>
      <c r="R29" s="627">
        <v>0</v>
      </c>
      <c r="S29" s="627">
        <v>0</v>
      </c>
      <c r="T29" s="627">
        <v>0</v>
      </c>
      <c r="U29" s="627">
        <v>0</v>
      </c>
      <c r="V29" s="627">
        <v>0</v>
      </c>
      <c r="W29" s="627"/>
      <c r="X29" s="627"/>
      <c r="Y29" s="627">
        <v>10</v>
      </c>
      <c r="Z29" s="627" t="s">
        <v>105</v>
      </c>
      <c r="AA29" s="629" t="s">
        <v>105</v>
      </c>
    </row>
    <row r="30" spans="1:27" s="563" customFormat="1" hidden="1">
      <c r="A30" s="583" t="s">
        <v>269</v>
      </c>
      <c r="B30" s="584"/>
      <c r="C30" s="584"/>
      <c r="D30" s="584"/>
      <c r="E30" s="584"/>
      <c r="F30" s="584"/>
      <c r="G30" s="584"/>
      <c r="H30" s="584"/>
      <c r="I30" s="584"/>
      <c r="J30" s="584"/>
      <c r="K30" s="584"/>
      <c r="L30" s="585"/>
      <c r="M30" s="585">
        <f>SUM(M28:M29)</f>
        <v>2839.7</v>
      </c>
      <c r="N30" s="585">
        <f>SUM(N28:N29)</f>
        <v>1595.8431818181818</v>
      </c>
      <c r="O30" s="585">
        <f>SUM(O28:O29)</f>
        <v>2279.7759740259744</v>
      </c>
      <c r="P30" s="585">
        <f>SUM(P28:P29)</f>
        <v>4548.2142857142862</v>
      </c>
      <c r="Q30" s="585">
        <f>SUM(Q28:Q29)</f>
        <v>11.337662337662337</v>
      </c>
      <c r="R30" s="585">
        <f>SUM(R28:R29)</f>
        <v>0</v>
      </c>
      <c r="S30" s="585">
        <f>SUM(S28:S29)</f>
        <v>0</v>
      </c>
      <c r="T30" s="585">
        <f>SUM(T28:T29)</f>
        <v>0</v>
      </c>
      <c r="U30" s="585">
        <f>SUM(U28:U29)</f>
        <v>0</v>
      </c>
      <c r="V30" s="585">
        <f>SUM(V28:V29)</f>
        <v>0</v>
      </c>
      <c r="W30" s="585">
        <f>SUM(W28:W29)</f>
        <v>0</v>
      </c>
      <c r="X30" s="585"/>
      <c r="Y30" s="586"/>
      <c r="Z30" s="586"/>
      <c r="AA30" s="587"/>
    </row>
    <row r="31" spans="1:27" s="563" customFormat="1">
      <c r="A31" s="583" t="s">
        <v>276</v>
      </c>
      <c r="B31" s="584"/>
      <c r="C31" s="584"/>
      <c r="D31" s="584"/>
      <c r="E31" s="584"/>
      <c r="F31" s="584"/>
      <c r="G31" s="584"/>
      <c r="H31" s="584"/>
      <c r="I31" s="584"/>
      <c r="J31" s="584"/>
      <c r="K31" s="584"/>
      <c r="L31" s="585"/>
      <c r="M31" s="585">
        <f>SUMIF($AA$28:$AA$29,"industrie",M28:M29)</f>
        <v>0</v>
      </c>
      <c r="N31" s="585">
        <f>SUMIF($AA$28:$AA$29,"industrie",N28:N29)</f>
        <v>0</v>
      </c>
      <c r="O31" s="585">
        <f>SUMIF($AA$28:$AA$29,"industrie",O28:O29)</f>
        <v>0</v>
      </c>
      <c r="P31" s="585">
        <f>SUMIF($AA$28:$AA$29,"industrie",P28:P29)</f>
        <v>0</v>
      </c>
      <c r="Q31" s="585">
        <f>SUMIF($AA$28:$AA$29,"industrie",Q28:Q29)</f>
        <v>0</v>
      </c>
      <c r="R31" s="585">
        <f>SUMIF($AA$28:$AA$29,"industrie",R28:R29)</f>
        <v>0</v>
      </c>
      <c r="S31" s="585">
        <f>SUMIF($AA$28:$AA$29,"industrie",S28:S29)</f>
        <v>0</v>
      </c>
      <c r="T31" s="585">
        <f>SUMIF($AA$28:$AA$29,"industrie",T28:T29)</f>
        <v>0</v>
      </c>
      <c r="U31" s="585">
        <f>SUMIF($AA$28:$AA$29,"industrie",U28:U29)</f>
        <v>0</v>
      </c>
      <c r="V31" s="585">
        <f>SUMIF($AA$28:$AA$29,"industrie",V28:V29)</f>
        <v>0</v>
      </c>
      <c r="W31" s="585">
        <f>SUMIF($AA$28:$AA$29,"industrie",W28:W29)</f>
        <v>0</v>
      </c>
      <c r="X31" s="585"/>
      <c r="Y31" s="586"/>
      <c r="Z31" s="586"/>
      <c r="AA31" s="587"/>
    </row>
    <row r="32" spans="1:27" s="563" customFormat="1">
      <c r="A32" s="583" t="s">
        <v>277</v>
      </c>
      <c r="B32" s="584"/>
      <c r="C32" s="584"/>
      <c r="D32" s="584"/>
      <c r="E32" s="584"/>
      <c r="F32" s="584"/>
      <c r="G32" s="584"/>
      <c r="H32" s="584"/>
      <c r="I32" s="584"/>
      <c r="J32" s="584"/>
      <c r="K32" s="584"/>
      <c r="L32" s="585"/>
      <c r="M32" s="585">
        <f ca="1">SUMIF($AA$28:AD29,"tertiair",M28:M29)</f>
        <v>0</v>
      </c>
      <c r="N32" s="585">
        <f ca="1">SUMIF($AA$28:AE29,"tertiair",N28:N29)</f>
        <v>0</v>
      </c>
      <c r="O32" s="585">
        <f ca="1">SUMIF($AA$28:AF29,"tertiair",O28:O29)</f>
        <v>0</v>
      </c>
      <c r="P32" s="585">
        <f ca="1">SUMIF($AA$28:AG29,"tertiair",P28:P29)</f>
        <v>0</v>
      </c>
      <c r="Q32" s="585">
        <f ca="1">SUMIF($AA$28:AH29,"tertiair",Q28:Q29)</f>
        <v>0</v>
      </c>
      <c r="R32" s="585">
        <f ca="1">SUMIF($AA$28:AI29,"tertiair",R28:R29)</f>
        <v>0</v>
      </c>
      <c r="S32" s="585">
        <f ca="1">SUMIF($AA$28:AJ29,"tertiair",S28:S29)</f>
        <v>0</v>
      </c>
      <c r="T32" s="585">
        <f ca="1">SUMIF($AA$28:AK29,"tertiair",T28:T29)</f>
        <v>0</v>
      </c>
      <c r="U32" s="585">
        <f ca="1">SUMIF($AA$28:AL29,"tertiair",U28:U29)</f>
        <v>0</v>
      </c>
      <c r="V32" s="585">
        <f ca="1">SUMIF($AA$28:AM29,"tertiair",V28:V29)</f>
        <v>0</v>
      </c>
      <c r="W32" s="585">
        <f ca="1">SUMIF($AA$28:AN29,"tertiair",W28:W29)</f>
        <v>0</v>
      </c>
      <c r="X32" s="585"/>
      <c r="Y32" s="586"/>
      <c r="Z32" s="586"/>
      <c r="AA32" s="587"/>
    </row>
    <row r="33" spans="1:28" s="563" customFormat="1" ht="15.75" thickBot="1">
      <c r="A33" s="588" t="s">
        <v>278</v>
      </c>
      <c r="B33" s="589"/>
      <c r="C33" s="589"/>
      <c r="D33" s="589"/>
      <c r="E33" s="589"/>
      <c r="F33" s="589"/>
      <c r="G33" s="589"/>
      <c r="H33" s="589"/>
      <c r="I33" s="589"/>
      <c r="J33" s="589"/>
      <c r="K33" s="589"/>
      <c r="L33" s="590"/>
      <c r="M33" s="590">
        <f>SUMIF($AA$28:$AA$29,"landbouw",M28:M29)</f>
        <v>2839.7</v>
      </c>
      <c r="N33" s="590">
        <f>SUMIF($AA$28:$AA$29,"landbouw",N28:N29)</f>
        <v>1595.8431818181818</v>
      </c>
      <c r="O33" s="590">
        <f>SUMIF($AA$28:$AA$29,"landbouw",O28:O29)</f>
        <v>2279.7759740259744</v>
      </c>
      <c r="P33" s="590">
        <f>SUMIF($AA$28:$AA$29,"landbouw",P28:P29)</f>
        <v>4548.2142857142862</v>
      </c>
      <c r="Q33" s="590">
        <f>SUMIF($AA$28:$AA$29,"landbouw",Q28:Q29)</f>
        <v>11.337662337662337</v>
      </c>
      <c r="R33" s="590">
        <f>SUMIF($AA$28:$AA$29,"landbouw",R28:R29)</f>
        <v>0</v>
      </c>
      <c r="S33" s="590">
        <f>SUMIF($AA$28:$AA$29,"landbouw",S28:S29)</f>
        <v>0</v>
      </c>
      <c r="T33" s="590">
        <f>SUMIF($AA$28:$AA$29,"landbouw",T28:T29)</f>
        <v>0</v>
      </c>
      <c r="U33" s="590">
        <f>SUMIF($AA$28:$AA$29,"landbouw",U28:U29)</f>
        <v>0</v>
      </c>
      <c r="V33" s="590">
        <f>SUMIF($AA$28:$AA$29,"landbouw",V28:V29)</f>
        <v>0</v>
      </c>
      <c r="W33" s="590">
        <f>SUMIF($AA$28:$AA$29,"landbouw",W28:W29)</f>
        <v>0</v>
      </c>
      <c r="X33" s="590"/>
      <c r="Y33" s="591"/>
      <c r="Z33" s="591"/>
      <c r="AA33" s="592"/>
    </row>
    <row r="34" spans="1:28" s="532" customFormat="1" ht="15.75" thickBot="1">
      <c r="A34" s="593"/>
      <c r="B34" s="594"/>
      <c r="C34" s="594"/>
      <c r="D34" s="594"/>
      <c r="E34" s="594"/>
      <c r="F34" s="594"/>
      <c r="G34" s="594"/>
      <c r="H34" s="594"/>
      <c r="I34" s="594"/>
      <c r="J34" s="594"/>
      <c r="K34" s="594"/>
      <c r="L34" s="577"/>
      <c r="M34" s="577"/>
      <c r="N34" s="577"/>
      <c r="O34" s="578"/>
      <c r="P34" s="578"/>
    </row>
    <row r="35" spans="1:28"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533</v>
      </c>
      <c r="Q35" s="625" t="s">
        <v>96</v>
      </c>
      <c r="R35" s="625" t="s">
        <v>97</v>
      </c>
      <c r="S35" s="625" t="s">
        <v>98</v>
      </c>
      <c r="T35" s="625" t="s">
        <v>99</v>
      </c>
      <c r="U35" s="625" t="s">
        <v>100</v>
      </c>
      <c r="V35" s="625" t="s">
        <v>101</v>
      </c>
      <c r="W35" s="624" t="s">
        <v>102</v>
      </c>
      <c r="X35" s="624" t="s">
        <v>941</v>
      </c>
      <c r="Y35" s="624" t="s">
        <v>288</v>
      </c>
      <c r="Z35" s="624" t="s">
        <v>103</v>
      </c>
      <c r="AA35" s="626" t="s">
        <v>289</v>
      </c>
    </row>
    <row r="36" spans="1:28" s="596" customFormat="1" ht="12.75" hidden="1">
      <c r="A36" s="582"/>
      <c r="B36" s="740"/>
      <c r="C36" s="740"/>
      <c r="D36" s="630"/>
      <c r="E36" s="630"/>
      <c r="F36" s="630"/>
      <c r="G36" s="630"/>
      <c r="H36" s="630"/>
      <c r="I36" s="630"/>
      <c r="J36" s="739"/>
      <c r="K36" s="739"/>
      <c r="L36" s="630"/>
      <c r="M36" s="630"/>
      <c r="N36" s="630"/>
      <c r="O36" s="630"/>
      <c r="P36" s="630"/>
      <c r="Q36" s="630"/>
      <c r="R36" s="630"/>
      <c r="S36" s="630"/>
      <c r="T36" s="630"/>
      <c r="U36" s="630"/>
      <c r="V36" s="630"/>
      <c r="W36" s="630"/>
      <c r="X36" s="630"/>
      <c r="Y36" s="630"/>
      <c r="Z36" s="630"/>
      <c r="AA36" s="631"/>
    </row>
    <row r="37" spans="1:28"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5"/>
      <c r="Y37" s="586"/>
      <c r="Z37" s="586"/>
      <c r="AA37" s="587"/>
    </row>
    <row r="38" spans="1:28" s="563" customFormat="1">
      <c r="A38" s="583" t="s">
        <v>276</v>
      </c>
      <c r="B38" s="584"/>
      <c r="C38" s="584"/>
      <c r="D38" s="584"/>
      <c r="E38" s="584"/>
      <c r="F38" s="584"/>
      <c r="G38" s="584"/>
      <c r="H38" s="584"/>
      <c r="I38" s="584"/>
      <c r="J38" s="584"/>
      <c r="K38" s="584"/>
      <c r="L38" s="585"/>
      <c r="M38" s="585">
        <f>SUMIF($AA$36:$AA$36,"industrie",M36:M36)</f>
        <v>0</v>
      </c>
      <c r="N38" s="585">
        <f>SUMIF($AA$36:$AA$36,"industrie",N36:N36)</f>
        <v>0</v>
      </c>
      <c r="O38" s="585">
        <f>SUMIF($AA$36:$AA$36,"industrie",O36:O36)</f>
        <v>0</v>
      </c>
      <c r="P38" s="585">
        <f>SUMIF($AA$36:$AA$36,"industrie",P36:P36)</f>
        <v>0</v>
      </c>
      <c r="Q38" s="585">
        <f>SUMIF($AA$36:$AA$36,"industrie",Q36:Q36)</f>
        <v>0</v>
      </c>
      <c r="R38" s="585">
        <f>SUMIF($AA$36:$AA$36,"industrie",R36:R36)</f>
        <v>0</v>
      </c>
      <c r="S38" s="585">
        <f>SUMIF($AA$36:$AA$36,"industrie",S36:S36)</f>
        <v>0</v>
      </c>
      <c r="T38" s="585">
        <f>SUMIF($AA$36:$AA$36,"industrie",T36:T36)</f>
        <v>0</v>
      </c>
      <c r="U38" s="585">
        <f>SUMIF($AA$36:$AA$36,"industrie",U36:U36)</f>
        <v>0</v>
      </c>
      <c r="V38" s="585">
        <f>SUMIF($AA$36:$AA$36,"industrie",V36:V36)</f>
        <v>0</v>
      </c>
      <c r="W38" s="585">
        <f>SUMIF($AA$36:$AA$36,"industrie",W36:W36)</f>
        <v>0</v>
      </c>
      <c r="X38" s="585"/>
      <c r="Y38" s="586"/>
      <c r="Z38" s="586"/>
      <c r="AA38" s="587"/>
    </row>
    <row r="39" spans="1:28" s="563" customFormat="1">
      <c r="A39" s="583" t="s">
        <v>277</v>
      </c>
      <c r="B39" s="584"/>
      <c r="C39" s="584"/>
      <c r="D39" s="584"/>
      <c r="E39" s="584"/>
      <c r="F39" s="584"/>
      <c r="G39" s="584"/>
      <c r="H39" s="584"/>
      <c r="I39" s="584"/>
      <c r="J39" s="584"/>
      <c r="K39" s="584"/>
      <c r="L39" s="585"/>
      <c r="M39" s="585">
        <f>SUMIF($AA$36:$AA$37,"tertiair",M36:M37)</f>
        <v>0</v>
      </c>
      <c r="N39" s="585">
        <f>SUMIF($AA$36:$AA$37,"tertiair",N36:N37)</f>
        <v>0</v>
      </c>
      <c r="O39" s="585">
        <f>SUMIF($AA$36:$AA$37,"tertiair",O36:O37)</f>
        <v>0</v>
      </c>
      <c r="P39" s="585">
        <f>SUMIF($AA$36:$AA$37,"tertiair",P36:P37)</f>
        <v>0</v>
      </c>
      <c r="Q39" s="585">
        <f>SUMIF($AA$36:$AA$37,"tertiair",Q36:Q37)</f>
        <v>0</v>
      </c>
      <c r="R39" s="585">
        <f>SUMIF($AA$36:$AA$37,"tertiair",R36:R37)</f>
        <v>0</v>
      </c>
      <c r="S39" s="585">
        <f>SUMIF($AA$36:$AA$37,"tertiair",S36:S37)</f>
        <v>0</v>
      </c>
      <c r="T39" s="585">
        <f>SUMIF($AA$36:$AA$37,"tertiair",T36:T37)</f>
        <v>0</v>
      </c>
      <c r="U39" s="585">
        <f>SUMIF($AA$36:$AA$37,"tertiair",U36:U37)</f>
        <v>0</v>
      </c>
      <c r="V39" s="585">
        <f>SUMIF($AA$36:$AA$37,"tertiair",V36:V37)</f>
        <v>0</v>
      </c>
      <c r="W39" s="585">
        <f>SUMIF($AA$36:$AA$37,"tertiair",W36:W37)</f>
        <v>0</v>
      </c>
      <c r="X39" s="585"/>
      <c r="Y39" s="586"/>
      <c r="Z39" s="586"/>
      <c r="AA39" s="587"/>
    </row>
    <row r="40" spans="1:28" s="563" customFormat="1" ht="15.75" thickBot="1">
      <c r="A40" s="588" t="s">
        <v>278</v>
      </c>
      <c r="B40" s="589"/>
      <c r="C40" s="589"/>
      <c r="D40" s="589"/>
      <c r="E40" s="589"/>
      <c r="F40" s="589"/>
      <c r="G40" s="589"/>
      <c r="H40" s="589"/>
      <c r="I40" s="589"/>
      <c r="J40" s="589"/>
      <c r="K40" s="589"/>
      <c r="L40" s="590"/>
      <c r="M40" s="590">
        <f>SUMIF($AA$36:$AA$38,"landbouw",M36:M38)</f>
        <v>0</v>
      </c>
      <c r="N40" s="590">
        <f>SUMIF($AA$36:$AA$38,"landbouw",N36:N38)</f>
        <v>0</v>
      </c>
      <c r="O40" s="590">
        <f>SUMIF($AA$36:$AA$38,"landbouw",O36:O38)</f>
        <v>0</v>
      </c>
      <c r="P40" s="590">
        <f>SUMIF($AA$36:$AA$38,"landbouw",P36:P38)</f>
        <v>0</v>
      </c>
      <c r="Q40" s="590">
        <f>SUMIF($AA$36:$AA$38,"landbouw",Q36:Q38)</f>
        <v>0</v>
      </c>
      <c r="R40" s="590">
        <f>SUMIF($AA$36:$AA$38,"landbouw",R36:R38)</f>
        <v>0</v>
      </c>
      <c r="S40" s="590">
        <f>SUMIF($AA$36:$AA$38,"landbouw",S36:S38)</f>
        <v>0</v>
      </c>
      <c r="T40" s="590">
        <f>SUMIF($AA$36:$AA$38,"landbouw",T36:T38)</f>
        <v>0</v>
      </c>
      <c r="U40" s="590">
        <f>SUMIF($AA$36:$AA$38,"landbouw",U36:U38)</f>
        <v>0</v>
      </c>
      <c r="V40" s="590">
        <f>SUMIF($AA$36:$AA$38,"landbouw",V36:V38)</f>
        <v>0</v>
      </c>
      <c r="W40" s="590">
        <f>SUMIF($AA$36:$AA$38,"landbouw",W36:W38)</f>
        <v>0</v>
      </c>
      <c r="X40" s="590"/>
      <c r="Y40" s="591"/>
      <c r="Z40" s="591"/>
      <c r="AA40" s="592"/>
    </row>
    <row r="41" spans="1:28"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row>
    <row r="42" spans="1:28"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row>
    <row r="43" spans="1:28">
      <c r="A43" s="598" t="s">
        <v>271</v>
      </c>
      <c r="B43" s="599"/>
      <c r="C43" s="599"/>
      <c r="D43" s="599"/>
      <c r="E43" s="599"/>
      <c r="F43" s="599"/>
      <c r="G43" s="599"/>
      <c r="H43" s="599"/>
      <c r="I43" s="600"/>
      <c r="J43" s="601"/>
      <c r="K43" s="601"/>
      <c r="L43" s="602"/>
      <c r="M43" s="602"/>
      <c r="N43" s="602"/>
      <c r="O43" s="602"/>
      <c r="P43" s="602"/>
    </row>
    <row r="44" spans="1:28">
      <c r="A44" s="604"/>
      <c r="B44" s="594"/>
      <c r="C44" s="594"/>
      <c r="D44" s="594"/>
      <c r="E44" s="594"/>
      <c r="F44" s="594"/>
      <c r="G44" s="594"/>
      <c r="H44" s="594"/>
      <c r="I44" s="605"/>
      <c r="J44" s="594"/>
      <c r="K44" s="594"/>
      <c r="L44" s="602"/>
      <c r="M44" s="602"/>
      <c r="N44" s="602"/>
      <c r="O44" s="602"/>
      <c r="P44" s="602"/>
    </row>
    <row r="45" spans="1:28">
      <c r="A45" s="606"/>
      <c r="B45" s="607" t="s">
        <v>272</v>
      </c>
      <c r="C45" s="607" t="s">
        <v>273</v>
      </c>
      <c r="D45" s="607"/>
      <c r="E45" s="607"/>
      <c r="F45" s="607"/>
      <c r="G45" s="607"/>
      <c r="H45" s="607"/>
      <c r="I45" s="608"/>
      <c r="J45" s="607"/>
      <c r="K45" s="607"/>
      <c r="L45" s="607"/>
      <c r="M45" s="607"/>
      <c r="N45" s="607"/>
      <c r="O45" s="607"/>
      <c r="P45" s="602"/>
    </row>
    <row r="46" spans="1:28">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8">
      <c r="A47" s="604"/>
      <c r="B47" s="613"/>
      <c r="C47" s="613"/>
      <c r="D47" s="613"/>
      <c r="E47" s="613"/>
      <c r="F47" s="613"/>
      <c r="G47" s="613"/>
      <c r="H47" s="613"/>
      <c r="I47" s="614"/>
      <c r="J47" s="613"/>
      <c r="K47" s="613"/>
      <c r="L47" s="615"/>
      <c r="M47" s="615"/>
      <c r="N47" s="615"/>
      <c r="O47" s="615"/>
      <c r="P47" s="602"/>
    </row>
    <row r="48" spans="1:28" ht="30">
      <c r="A48" s="616"/>
      <c r="B48" s="617" t="s">
        <v>533</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1872.794117647059</v>
      </c>
      <c r="C49" s="619">
        <f t="shared" si="2"/>
        <v>4.6684491978609621</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2675.4201680672272</v>
      </c>
      <c r="C50" s="622">
        <f t="shared" si="3"/>
        <v>6.669213139801375</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2022-07-26T12:41:32Z</dcterms:modified>
</cp:coreProperties>
</file>