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4FAA16F0-31D5-4DC4-BA80-1A5BE7C63C3B}"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<sst xmlns="http://schemas.openxmlformats.org/spreadsheetml/2006/main" count="2492" uniqueCount="942">
  <si>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</si>
  <si>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</si>
  <si>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</si>
  <si>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</si>
  <si>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</si>
  <si>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</si>
  <si>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</si>
  <si>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</si>
  <si>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</si>
  <si>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</si>
  <si>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</si>
  <si>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</si>
  <si>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</si>
  <si>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</si>
  <si>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</si>
  <si>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</si>
  <si>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</si>
  <si>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</si>
  <si>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</si>
  <si>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</si>
  <si>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</si>
  <si>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</si>
  <si>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</si>
  <si>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</si>
  <si>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</si>
  <si>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</si>
  <si>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</si>
  <si>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</si>
  <si>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</si>
  <si>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</si>
  <si>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</si>
  <si>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</si>
  <si>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</si>
  <si>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</si>
  <si>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</si>
  <si>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</si>
  <si>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</si>
  <si>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</si>
  <si>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</si>
  <si>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</si>
  <si>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</si>
  <si>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</si>
  <si>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</si>
  <si>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</si>
  <si>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</si>
  <si>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</si>
  <si>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</si>
  <si>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</si>
  <si>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</si>
  <si>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</si>
  <si>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</si>
  <si>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</si>
  <si>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</si>
  <si>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</si>
  <si>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</si>
  <si>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</si>
  <si>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</si>
  <si>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</si>
  <si>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</si>
  <si>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</si>
  <si>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</si>
  <si>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</si>
  <si>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</si>
  <si>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</si>
  <si>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</si>
  <si>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</si>
  <si>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</si>
  <si>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</si>
  <si>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</si>
  <si>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</si>
  <si>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</si>
  <si>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</si>
  <si>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</si>
  <si>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</si>
  <si>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</si>
  <si>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</si>
  <si>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</si>
  <si>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</si>
  <si>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</si>
  <si>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</si>
  <si>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</si>
  <si>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</si>
  <si>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</si>
  <si>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</si>
  <si>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</si>
  <si>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</si>
  <si>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</si>
  <si>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</si>
  <si>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</si>
  <si>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</si>
  <si>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</si>
  <si>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</si>
  <si>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</si>
  <si>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</si>
  <si>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</si>
  <si>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</si>
  <si>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</si>
  <si>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</si>
  <si>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</si>
  <si>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</si>
  <si>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</si>
  <si>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</si>
  <si>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</si>
  <si>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</si>
  <si>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</si>
  <si>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</si>
  <si>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</si>
  <si>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</si>
  <si>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</si>
  <si>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</si>
  <si>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</si>
  <si>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</si>
  <si>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</si>
  <si>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</si>
  <si>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</si>
  <si>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</si>
  <si>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</si>
  <si>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</si>
  <si>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</si>
  <si>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</si>
  <si>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</si>
  <si>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</si>
  <si>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</si>
  <si>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</si>
  <si>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</si>
  <si>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</si>
  <si>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</si>
  <si>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</si>
  <si>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</si>
  <si>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</si>
  <si>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</si>
  <si>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</si>
  <si>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</si>
  <si>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</si>
  <si>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</si>
  <si>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</si>
  <si>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</si>
  <si>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</si>
  <si>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</si>
  <si>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</si>
  <si>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</si>
  <si>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</si>
  <si>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</si>
  <si>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</si>
  <si>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</si>
  <si>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</si>
  <si>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</si>
  <si>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</si>
  <si>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</si>
  <si>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</si>
  <si>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</si>
  <si>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</si>
  <si>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</si>
  <si>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</si>
  <si>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</si>
  <si>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</si>
  <si>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</si>
  <si>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</si>
  <si>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</si>
  <si>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</si>
  <si>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</si>
  <si>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</si>
  <si>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</si>
  <si>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</si>
  <si>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</si>
  <si>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</si>
  <si>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</si>
  <si>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</si>
  <si>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</si>
  <si>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</si>
  <si>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</si>
  <si>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</si>
  <si>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</si>
  <si>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</si>
  <si>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</si>
  <si>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</si>
  <si>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</si>
  <si>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</si>
  <si>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</si>
  <si>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</si>
  <si>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</si>
  <si>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</si>
  <si>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</si>
  <si>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</si>
  <si>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</si>
  <si>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</si>
  <si>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</si>
  <si>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</si>
  <si>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</si>
  <si>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</si>
  <si>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</si>
  <si>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</si>
  <si>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</si>
  <si>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</si>
  <si>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</si>
  <si>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</si>
  <si>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</si>
  <si>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</si>
  <si>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</si>
  <si>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</si>
  <si>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</si>
  <si>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</si>
  <si>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</si>
  <si>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</si>
  <si>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</si>
  <si>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</si>
  <si>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</si>
  <si>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</si>
  <si>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</si>
  <si>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</si>
  <si>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</si>
  <si>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</si>
  <si>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</si>
  <si>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</si>
  <si>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</si>
  <si>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</si>
  <si>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</si>
  <si>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</si>
  <si>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</si>
  <si>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</si>
  <si>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</si>
  <si>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</si>
  <si>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</si>
  <si>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</si>
  <si>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</si>
  <si>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</si>
  <si>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</si>
  <si>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</si>
  <si>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</si>
  <si>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</si>
  <si>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</si>
  <si>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</si>
  <si>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</si>
  <si>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</si>
  <si>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</si>
  <si>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</si>
  <si>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</si>
  <si>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</si>
  <si>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</si>
  <si>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</si>
  <si>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</si>
  <si>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</si>
  <si>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</si>
  <si>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</si>
  <si>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</si>
  <si>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</si>
  <si>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</si>
  <si>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</si>
  <si>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</si>
  <si>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</si>
  <si>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</si>
  <si>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</si>
  <si>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</si>
  <si>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</si>
  <si>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</si>
  <si>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</si>
  <si>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</si>
  <si>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</si>
  <si>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</si>
  <si>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</si>
  <si>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</si>
  <si>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</si>
  <si>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</si>
  <si>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</si>
  <si>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</si>
  <si>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</si>
  <si>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</si>
  <si>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</si>
  <si>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</si>
  <si>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</si>
  <si>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</si>
  <si>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</si>
  <si>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</si>
  <si>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</si>
  <si>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</si>
  <si>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</si>
  <si>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</si>
  <si>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</si>
  <si>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</si>
  <si>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</si>
  <si>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</si>
  <si>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</si>
  <si>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</si>
  <si>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</si>
  <si>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</si>
  <si>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</si>
  <si>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</si>
  <si>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</si>
  <si>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</si>
  <si>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</si>
  <si>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</si>
  <si>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</si>
  <si>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</si>
  <si>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</si>
  <si>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</si>
  <si>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</si>
  <si>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</si>
  <si>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</si>
  <si>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</si>
  <si>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</si>
  <si>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</si>
  <si>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</si>
  <si>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</si>
  <si>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</si>
  <si>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</si>
  <si>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</si>
  <si>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</si>
  <si>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</si>
  <si>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</si>
  <si>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</si>
  <si>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</si>
  <si>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</si>
  <si>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</si>
  <si>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</si>
  <si>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</si>
  <si>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</si>
  <si>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</si>
  <si>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</si>
  <si>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</si>
  <si>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</si>
  <si>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</si>
  <si>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</si>
  <si>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</si>
  <si>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</si>
  <si>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</si>
  <si>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</si>
  <si>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</si>
  <si>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</si>
  <si>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</si>
  <si>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</si>
  <si>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</si>
  <si>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</si>
  <si>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</si>
  <si>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</si>
  <si>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</si>
  <si>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</si>
  <si>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</si>
  <si>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</si>
  <si>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</si>
  <si>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</si>
  <si>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</si>
  <si>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</si>
  <si>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</si>
  <si>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</si>
  <si>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</si>
  <si>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</si>
  <si>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</si>
  <si>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</si>
  <si>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</si>
  <si>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</si>
  <si>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</si>
  <si>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</si>
  <si>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</si>
  <si>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</si>
  <si>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</si>
  <si>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</si>
  <si>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</si>
  <si>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</si>
  <si>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</si>
  <si>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</si>
  <si>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</si>
  <si>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</si>
  <si>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</si>
  <si>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</si>
  <si>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</si>
  <si>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</si>
  <si>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</si>
  <si>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</si>
  <si>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</si>
  <si>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</si>
  <si>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</si>
  <si>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</si>
  <si>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</si>
  <si>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</si>
  <si>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</si>
  <si>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</si>
  <si>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</si>
  <si>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</si>
  <si>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</si>
  <si>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</si>
  <si>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</si>
  <si>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</si>
  <si>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</si>
  <si>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</si>
  <si>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</si>
  <si>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</si>
  <si>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</si>
  <si>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</si>
  <si>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</si>
  <si>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</si>
  <si>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</si>
  <si>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</si>
  <si>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</si>
  <si>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</si>
  <si>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</si>
  <si>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</si>
  <si>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</si>
  <si>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</si>
  <si>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</si>
  <si>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</si>
  <si>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</si>
  <si>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</si>
  <si>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</si>
  <si>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</si>
  <si>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</si>
  <si>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</si>
  <si>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</si>
  <si>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</si>
  <si>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</si>
  <si>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</si>
  <si>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</si>
  <si>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</si>
  <si>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</si>
  <si>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</si>
  <si>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</si>
  <si>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</si>
  <si>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</si>
  <si>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</si>
  <si>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</si>
  <si>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</si>
  <si>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</si>
  <si>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</si>
  <si>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</si>
  <si>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</si>
  <si>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</si>
  <si>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</si>
  <si>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</si>
  <si>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</si>
  <si>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</si>
  <si>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</si>
  <si>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</si>
  <si>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</si>
  <si>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</si>
  <si>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</si>
  <si>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</si>
  <si>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</si>
  <si>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</si>
  <si>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</si>
  <si>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</si>
  <si>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</si>
  <si>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</si>
  <si>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</si>
  <si>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</si>
  <si>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</si>
  <si>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</si>
  <si>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</si>
  <si>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</si>
  <si>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</si>
  <si>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</si>
  <si>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</si>
  <si>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</si>
  <si>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</si>
  <si>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</si>
  <si>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</si>
  <si>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</si>
  <si>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</si>
  <si>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</si>
  <si>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</si>
  <si>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</si>
  <si>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</si>
  <si>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</si>
  <si>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</si>
  <si>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</si>
  <si>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</si>
  <si>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</si>
  <si>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</si>
  <si>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</si>
  <si>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</si>
  <si>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</si>
  <si>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</si>
  <si>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</si>
  <si>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</si>
  <si>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</si>
  <si>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</si>
  <si>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</si>
  <si>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</si>
  <si>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</si>
  <si>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</si>
  <si>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</si>
  <si>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</si>
  <si>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</si>
  <si>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</si>
  <si>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</si>
  <si>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</si>
  <si>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</si>
  <si>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</si>
  <si>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</si>
  <si>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</si>
  <si>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</si>
  <si>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</si>
  <si>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</si>
  <si>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</si>
  <si>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</si>
  <si>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</si>
  <si>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</si>
  <si>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</si>
  <si>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</si>
  <si>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</si>
  <si>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</si>
  <si>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</si>
  <si>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</si>
  <si>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</si>
  <si>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</si>
  <si>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</si>
  <si>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</si>
  <si>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</si>
  <si>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</si>
  <si>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</si>
  <si>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</si>
  <si>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</si>
  <si>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</si>
  <si>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</si>
  <si>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</si>
  <si>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</si>
  <si>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</si>
  <si>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</si>
  <si>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</si>
  <si>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</si>
  <si>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</si>
  <si>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</si>
  <si>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</si>
  <si>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</si>
  <si>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</si>
  <si>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</si>
  <si>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</si>
  <si>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</si>
  <si>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</si>
  <si>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</si>
  <si>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</si>
  <si>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</si>
  <si>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</si>
  <si>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</si>
  <si>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</si>
  <si>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</si>
  <si>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</si>
  <si>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</si>
  <si>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</si>
  <si>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</si>
  <si>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</si>
  <si>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</si>
  <si>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</si>
  <si>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</si>
  <si>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</si>
  <si>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</si>
  <si>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</si>
  <si>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</si>
  <si>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</si>
  <si>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</si>
  <si>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</si>
  <si>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</si>
  <si>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</si>
  <si>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</si>
  <si>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</si>
  <si>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</si>
  <si>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</si>
  <si>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</si>
  <si>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</si>
  <si>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</si>
  <si>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</si>
  <si>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</si>
  <si>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</si>
  <si>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</si>
  <si>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</si>
  <si>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</si>
  <si>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</si>
  <si>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</si>
  <si>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</si>
  <si>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</si>
  <si>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</si>
  <si>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</si>
  <si>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</si>
  <si>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</si>
  <si>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</si>
  <si>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</si>
  <si>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</si>
  <si>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</si>
  <si>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</si>
  <si>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</si>
  <si>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</si>
  <si>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</si>
  <si>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</si>
  <si>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</si>
  <si>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</si>
  <si>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</si>
  <si>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</si>
  <si>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</si>
  <si>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</si>
  <si>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</si>
  <si>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</si>
  <si>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</si>
  <si>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</si>
  <si>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</si>
  <si>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</si>
  <si>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</si>
  <si>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</si>
  <si>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</si>
  <si>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</si>
  <si>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</si>
  <si>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</si>
  <si>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</si>
  <si>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</si>
  <si>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</si>
  <si>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</si>
  <si>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</si>
  <si>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</si>
  <si>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</si>
  <si>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</si>
  <si>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</si>
  <si>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</si>
  <si>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</si>
  <si>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</si>
  <si>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</si>
  <si>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</si>
  <si>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</si>
  <si>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</si>
  <si>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</si>
  <si>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</si>
  <si>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</si>
  <si>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</si>
  <si>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</si>
  <si>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</si>
  <si>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</si>
  <si>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</si>
  <si>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</si>
  <si>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</si>
  <si>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</si>
  <si>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</si>
  <si>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</si>
  <si>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</si>
  <si>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</si>
  <si>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</si>
  <si>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</si>
  <si>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</si>
  <si>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</si>
  <si>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</si>
  <si>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</si>
  <si>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</si>
  <si>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</si>
  <si>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</si>
  <si>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</si>
  <si>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</si>
  <si>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</si>
  <si>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</si>
  <si>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</si>
  <si>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</si>
  <si>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</si>
  <si>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</si>
  <si>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</si>
  <si>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</si>
  <si>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</si>
  <si>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</si>
  <si>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</si>
  <si>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</si>
  <si>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</si>
  <si>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</si>
  <si>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</si>
  <si>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</si>
  <si>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</si>
  <si>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</si>
  <si>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</si>
  <si>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</si>
  <si>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</si>
  <si>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</si>
  <si>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</si>
  <si>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</si>
  <si>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</si>
  <si>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</si>
  <si>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</si>
  <si>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</si>
  <si>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</si>
  <si>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</si>
  <si>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</si>
  <si>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</si>
  <si>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</si>
  <si>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</si>
  <si>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</si>
  <si>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</si>
  <si>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</si>
  <si>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</si>
  <si>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</si>
  <si>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</si>
  <si>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</si>
  <si>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</si>
  <si>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</si>
  <si>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</si>
  <si>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</si>
  <si>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</si>
  <si>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</si>
  <si>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</si>
  <si>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</si>
  <si>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</si>
  <si>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</si>
  <si>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</si>
  <si>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</si>
  <si>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</si>
  <si>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</si>
  <si>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</si>
  <si>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</si>
  <si>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</si>
  <si>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</si>
  <si>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</si>
  <si>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</si>
  <si>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</si>
  <si>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</si>
  <si>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</si>
  <si>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</si>
  <si>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</si>
  <si>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</si>
  <si>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</si>
  <si>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</si>
  <si>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</si>
  <si>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</si>
  <si>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</si>
  <si>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</si>
  <si>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</si>
  <si>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</si>
  <si>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</si>
  <si>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</si>
  <si>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</si>
  <si>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</si>
  <si>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</si>
  <si>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</si>
  <si>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</si>
  <si>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</si>
  <si>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</si>
  <si>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</si>
  <si>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</si>
  <si>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</si>
  <si>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</si>
  <si>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</si>
  <si>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</si>
  <si>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</si>
  <si>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</si>
  <si>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</si>
  <si>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</si>
  <si>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</si>
  <si>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</si>
  <si>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</si>
  <si>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</si>
  <si>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</si>
  <si>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</si>
  <si>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</si>
  <si>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</si>
  <si>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</si>
  <si>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</si>
  <si>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</si>
  <si>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</si>
  <si>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</si>
  <si>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</si>
  <si>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</si>
  <si>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</si>
  <si>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</si>
  <si>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</si>
  <si>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</si>
  <si>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</si>
  <si>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</si>
  <si>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</si>
  <si>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</si>
  <si>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</si>
  <si>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</si>
  <si>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</si>
  <si>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</si>
  <si>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</si>
  <si>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</si>
  <si>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</si>
  <si>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</si>
  <si>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</si>
  <si>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</si>
  <si>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</si>
  <si>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</si>
  <si>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</si>
  <si>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</si>
  <si>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</si>
  <si>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</si>
  <si>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</si>
  <si>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</si>
  <si>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</si>
  <si>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</si>
  <si>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</si>
  <si>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</si>
  <si>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</si>
  <si>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</si>
  <si>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</si>
  <si>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</si>
  <si>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</si>
  <si>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</si>
  <si>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</si>
  <si>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</si>
  <si>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</si>
  <si>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</si>
  <si>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</si>
  <si>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</si>
  <si>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</si>
  <si>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</si>
  <si>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</si>
  <si>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</si>
  <si>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</si>
  <si>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</si>
  <si>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</si>
  <si>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</si>
  <si>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</si>
  <si>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</si>
  <si>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</si>
  <si>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</si>
  <si>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</si>
  <si>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</si>
  <si>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</si>
  <si>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</si>
  <si>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</si>
  <si>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</si>
  <si>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</si>
  <si>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</si>
  <si>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</si>
  <si>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</si>
  <si>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</si>
  <si>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</si>
  <si>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</si>
  <si>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</si>
  <si>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</si>
  <si>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</si>
  <si>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</si>
  <si>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</si>
  <si>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</si>
  <si>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</si>
  <si>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</si>
  <si>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</si>
  <si>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</si>
  <si>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</si>
  <si>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</si>
  <si>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</si>
  <si>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</si>
  <si>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</si>
  <si>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</si>
  <si>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</si>
  <si>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</si>
  <si>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</si>
  <si>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</si>
  <si>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</si>
  <si>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</si>
  <si>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</si>
  <si>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</si>
  <si>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</si>
  <si>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</si>
  <si>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</si>
  <si>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</si>
  <si>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</si>
  <si>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</si>
  <si>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</si>
  <si>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</si>
  <si>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</si>
  <si>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</si>
  <si>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</si>
  <si>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</si>
  <si>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</si>
  <si>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</si>
  <si>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</si>
  <si>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</si>
  <si>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</si>
  <si>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</si>
  <si>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</si>
  <si>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</si>
  <si>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</si>
  <si>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</si>
  <si>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</si>
  <si>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</si>
  <si>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</si>
  <si>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</si>
  <si>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</si>
  <si>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</si>
  <si>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</si>
  <si>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</si>
  <si>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</si>
  <si>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</si>
  <si>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</si>
  <si>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</si>
  <si>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</si>
  <si>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</si>
  <si>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</si>
  <si>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</si>
  <si>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</si>
  <si>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</si>
  <si>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</si>
  <si>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</si>
  <si>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</si>
  <si>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</si>
  <si>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</si>
  <si>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</si>
  <si>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</si>
  <si>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</si>
  <si>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</si>
  <si>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</si>
  <si>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</si>
  <si>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</si>
  <si>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</si>
  <si>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</si>
  <si>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</si>
  <si>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</si>
  <si>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</si>
  <si>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</si>
  <si>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</si>
  <si>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</si>
  <si>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</si>
  <si>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</si>
  <si>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</si>
  <si>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</si>
  <si>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</si>
  <si>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</si>
  <si>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</si>
  <si>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</si>
  <si>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</si>
  <si>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</si>
  <si>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</si>
  <si>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</si>
  <si>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</si>
  <si>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</si>
  <si>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</si>
  <si>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</si>
  <si>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</si>
  <si>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</si>
  <si>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</si>
  <si>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</si>
  <si>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</si>
  <si>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</si>
  <si>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</si>
  <si>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</si>
  <si>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</si>
  <si>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</si>
  <si>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</si>
  <si>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</si>
  <si>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</si>
  <si>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</si>
  <si>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</si>
  <si>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</si>
  <si>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</si>
  <si>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</si>
  <si>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</si>
  <si>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</si>
  <si>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42004</t>
  </si>
  <si>
    <t>BUGGENHOUT</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</si>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</sst>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523299FA-F215-4C6F-931B-B7A6E249DDCC}"/>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42004</v>
      </c>
      <c r="B6" s="384"/>
      <c r="C6" s="385"/>
    </row>
    <row r="7" spans="1:7" s="382" customFormat="1" ht="15.75" customHeight="1">
      <c r="A7" s="386" t="str">
        <f>txtMunicipality</f>
        <v>BUGGENHOUT</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0.21078166354479022</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0.21078166354479022</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5833</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1159</v>
      </c>
      <c r="C14" s="327"/>
      <c r="D14" s="327"/>
      <c r="E14" s="327"/>
      <c r="F14" s="327"/>
    </row>
    <row r="15" spans="1:6">
      <c r="A15" s="1258" t="s">
        <v>177</v>
      </c>
      <c r="B15" s="1259">
        <v>11</v>
      </c>
      <c r="C15" s="327"/>
      <c r="D15" s="327"/>
      <c r="E15" s="327"/>
      <c r="F15" s="327"/>
    </row>
    <row r="16" spans="1:6">
      <c r="A16" s="1258" t="s">
        <v>6</v>
      </c>
      <c r="B16" s="1259">
        <v>610</v>
      </c>
      <c r="C16" s="327"/>
      <c r="D16" s="327"/>
      <c r="E16" s="327"/>
      <c r="F16" s="327"/>
    </row>
    <row r="17" spans="1:6">
      <c r="A17" s="1258" t="s">
        <v>7</v>
      </c>
      <c r="B17" s="1259">
        <v>184</v>
      </c>
      <c r="C17" s="327"/>
      <c r="D17" s="327"/>
      <c r="E17" s="327"/>
      <c r="F17" s="327"/>
    </row>
    <row r="18" spans="1:6">
      <c r="A18" s="1258" t="s">
        <v>8</v>
      </c>
      <c r="B18" s="1259">
        <v>461</v>
      </c>
      <c r="C18" s="327"/>
      <c r="D18" s="327"/>
      <c r="E18" s="327"/>
      <c r="F18" s="327"/>
    </row>
    <row r="19" spans="1:6">
      <c r="A19" s="1258" t="s">
        <v>9</v>
      </c>
      <c r="B19" s="1259">
        <v>420</v>
      </c>
      <c r="C19" s="327"/>
      <c r="D19" s="327"/>
      <c r="E19" s="327"/>
      <c r="F19" s="327"/>
    </row>
    <row r="20" spans="1:6">
      <c r="A20" s="1258" t="s">
        <v>10</v>
      </c>
      <c r="B20" s="1259">
        <v>298</v>
      </c>
      <c r="C20" s="327"/>
      <c r="D20" s="327"/>
      <c r="E20" s="327"/>
      <c r="F20" s="327"/>
    </row>
    <row r="21" spans="1:6">
      <c r="A21" s="1258" t="s">
        <v>11</v>
      </c>
      <c r="B21" s="1259">
        <v>30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13</v>
      </c>
      <c r="C26" s="327"/>
      <c r="D26" s="327"/>
      <c r="E26" s="327"/>
      <c r="F26" s="327"/>
    </row>
    <row r="27" spans="1:6">
      <c r="A27" s="1258" t="s">
        <v>17</v>
      </c>
      <c r="B27" s="1259">
        <v>2</v>
      </c>
      <c r="C27" s="327"/>
      <c r="D27" s="327"/>
      <c r="E27" s="327"/>
      <c r="F27" s="327"/>
    </row>
    <row r="28" spans="1:6">
      <c r="A28" s="1258" t="s">
        <v>18</v>
      </c>
      <c r="B28" s="1260">
        <v>4028</v>
      </c>
      <c r="C28" s="327"/>
      <c r="D28" s="327"/>
      <c r="E28" s="327"/>
      <c r="F28" s="327"/>
    </row>
    <row r="29" spans="1:6">
      <c r="A29" s="1258" t="s">
        <v>939</v>
      </c>
      <c r="B29" s="1260">
        <v>91</v>
      </c>
      <c r="C29" s="327"/>
      <c r="D29" s="327"/>
      <c r="E29" s="327"/>
      <c r="F29" s="327"/>
    </row>
    <row r="30" spans="1:6">
      <c r="A30" s="1253" t="s">
        <v>940</v>
      </c>
      <c r="B30" s="1261">
        <v>20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3886.4119551245999</v>
      </c>
    </row>
    <row r="39" spans="1:6">
      <c r="A39" s="1258" t="s">
        <v>29</v>
      </c>
      <c r="B39" s="1258" t="s">
        <v>30</v>
      </c>
      <c r="C39" s="1259">
        <v>3114</v>
      </c>
      <c r="D39" s="1259">
        <v>56477946.9313135</v>
      </c>
      <c r="E39" s="1259">
        <v>5681</v>
      </c>
      <c r="F39" s="1259">
        <v>25699677.533314101</v>
      </c>
    </row>
    <row r="40" spans="1:6">
      <c r="A40" s="1258" t="s">
        <v>29</v>
      </c>
      <c r="B40" s="1258" t="s">
        <v>28</v>
      </c>
      <c r="C40" s="1259">
        <v>0</v>
      </c>
      <c r="D40" s="1259">
        <v>0</v>
      </c>
      <c r="E40" s="1259">
        <v>0</v>
      </c>
      <c r="F40" s="1259">
        <v>0</v>
      </c>
    </row>
    <row r="41" spans="1:6">
      <c r="A41" s="1258" t="s">
        <v>31</v>
      </c>
      <c r="B41" s="1258" t="s">
        <v>32</v>
      </c>
      <c r="C41" s="1259">
        <v>52</v>
      </c>
      <c r="D41" s="1259">
        <v>1133044.1414878001</v>
      </c>
      <c r="E41" s="1259">
        <v>100</v>
      </c>
      <c r="F41" s="1259">
        <v>842927.13930060202</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4</v>
      </c>
      <c r="D44" s="1259">
        <v>140763.91993148901</v>
      </c>
      <c r="E44" s="1259">
        <v>9</v>
      </c>
      <c r="F44" s="1259">
        <v>203350.90903935899</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3</v>
      </c>
      <c r="F47" s="1259">
        <v>31560.166941243198</v>
      </c>
    </row>
    <row r="48" spans="1:6">
      <c r="A48" s="1258" t="s">
        <v>31</v>
      </c>
      <c r="B48" s="1258" t="s">
        <v>28</v>
      </c>
      <c r="C48" s="1259">
        <v>22</v>
      </c>
      <c r="D48" s="1259">
        <v>27894430.416654401</v>
      </c>
      <c r="E48" s="1259">
        <v>29</v>
      </c>
      <c r="F48" s="1259">
        <v>43144306.512481898</v>
      </c>
    </row>
    <row r="49" spans="1:6">
      <c r="A49" s="1258" t="s">
        <v>31</v>
      </c>
      <c r="B49" s="1258" t="s">
        <v>39</v>
      </c>
      <c r="C49" s="1259">
        <v>0</v>
      </c>
      <c r="D49" s="1259">
        <v>0</v>
      </c>
      <c r="E49" s="1259">
        <v>3</v>
      </c>
      <c r="F49" s="1259">
        <v>4509627.8819983304</v>
      </c>
    </row>
    <row r="50" spans="1:6">
      <c r="A50" s="1258" t="s">
        <v>31</v>
      </c>
      <c r="B50" s="1258" t="s">
        <v>40</v>
      </c>
      <c r="C50" s="1259">
        <v>8</v>
      </c>
      <c r="D50" s="1259">
        <v>965910.46365568799</v>
      </c>
      <c r="E50" s="1259">
        <v>24</v>
      </c>
      <c r="F50" s="1259">
        <v>8880903.1106801797</v>
      </c>
    </row>
    <row r="51" spans="1:6">
      <c r="A51" s="1258" t="s">
        <v>41</v>
      </c>
      <c r="B51" s="1258" t="s">
        <v>42</v>
      </c>
      <c r="C51" s="1259">
        <v>8</v>
      </c>
      <c r="D51" s="1259">
        <v>252315.05682494599</v>
      </c>
      <c r="E51" s="1259">
        <v>43</v>
      </c>
      <c r="F51" s="1259">
        <v>759733.02825024503</v>
      </c>
    </row>
    <row r="52" spans="1:6">
      <c r="A52" s="1258" t="s">
        <v>41</v>
      </c>
      <c r="B52" s="1258" t="s">
        <v>28</v>
      </c>
      <c r="C52" s="1259">
        <v>2</v>
      </c>
      <c r="D52" s="1259">
        <v>144354.270875346</v>
      </c>
      <c r="E52" s="1259">
        <v>2</v>
      </c>
      <c r="F52" s="1259">
        <v>44584.149684076801</v>
      </c>
    </row>
    <row r="53" spans="1:6">
      <c r="A53" s="1258" t="s">
        <v>43</v>
      </c>
      <c r="B53" s="1258" t="s">
        <v>44</v>
      </c>
      <c r="C53" s="1259">
        <v>61</v>
      </c>
      <c r="D53" s="1259">
        <v>1773188.55012177</v>
      </c>
      <c r="E53" s="1259">
        <v>119</v>
      </c>
      <c r="F53" s="1259">
        <v>764156.367755207</v>
      </c>
    </row>
    <row r="54" spans="1:6">
      <c r="A54" s="1258" t="s">
        <v>45</v>
      </c>
      <c r="B54" s="1258" t="s">
        <v>46</v>
      </c>
      <c r="C54" s="1259">
        <v>0</v>
      </c>
      <c r="D54" s="1259">
        <v>0</v>
      </c>
      <c r="E54" s="1259">
        <v>1</v>
      </c>
      <c r="F54" s="1259">
        <v>918811</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14</v>
      </c>
      <c r="D57" s="1259">
        <v>304159.29057731398</v>
      </c>
      <c r="E57" s="1259">
        <v>44</v>
      </c>
      <c r="F57" s="1259">
        <v>11068871.724151</v>
      </c>
    </row>
    <row r="58" spans="1:6">
      <c r="A58" s="1258" t="s">
        <v>48</v>
      </c>
      <c r="B58" s="1258" t="s">
        <v>50</v>
      </c>
      <c r="C58" s="1259">
        <v>18</v>
      </c>
      <c r="D58" s="1259">
        <v>1183990.8443177701</v>
      </c>
      <c r="E58" s="1259">
        <v>23</v>
      </c>
      <c r="F58" s="1259">
        <v>567398.32622241904</v>
      </c>
    </row>
    <row r="59" spans="1:6">
      <c r="A59" s="1258" t="s">
        <v>48</v>
      </c>
      <c r="B59" s="1258" t="s">
        <v>51</v>
      </c>
      <c r="C59" s="1259">
        <v>57</v>
      </c>
      <c r="D59" s="1259">
        <v>2101189.9433672698</v>
      </c>
      <c r="E59" s="1259">
        <v>119</v>
      </c>
      <c r="F59" s="1259">
        <v>3164826.7762473002</v>
      </c>
    </row>
    <row r="60" spans="1:6">
      <c r="A60" s="1258" t="s">
        <v>48</v>
      </c>
      <c r="B60" s="1258" t="s">
        <v>52</v>
      </c>
      <c r="C60" s="1259">
        <v>44</v>
      </c>
      <c r="D60" s="1259">
        <v>2271671.88665302</v>
      </c>
      <c r="E60" s="1259">
        <v>51</v>
      </c>
      <c r="F60" s="1259">
        <v>1221519.4520016599</v>
      </c>
    </row>
    <row r="61" spans="1:6">
      <c r="A61" s="1258" t="s">
        <v>48</v>
      </c>
      <c r="B61" s="1258" t="s">
        <v>53</v>
      </c>
      <c r="C61" s="1259">
        <v>79</v>
      </c>
      <c r="D61" s="1259">
        <v>5650275.1853178497</v>
      </c>
      <c r="E61" s="1259">
        <v>196</v>
      </c>
      <c r="F61" s="1259">
        <v>3369578.1198090599</v>
      </c>
    </row>
    <row r="62" spans="1:6">
      <c r="A62" s="1258" t="s">
        <v>48</v>
      </c>
      <c r="B62" s="1258" t="s">
        <v>54</v>
      </c>
      <c r="C62" s="1259">
        <v>14</v>
      </c>
      <c r="D62" s="1259">
        <v>1652096.35550416</v>
      </c>
      <c r="E62" s="1259">
        <v>8</v>
      </c>
      <c r="F62" s="1259">
        <v>56872.910240183999</v>
      </c>
    </row>
    <row r="63" spans="1:6">
      <c r="A63" s="1258" t="s">
        <v>48</v>
      </c>
      <c r="B63" s="1258" t="s">
        <v>28</v>
      </c>
      <c r="C63" s="1259">
        <v>65</v>
      </c>
      <c r="D63" s="1259">
        <v>3813305.5213363399</v>
      </c>
      <c r="E63" s="1259">
        <v>93</v>
      </c>
      <c r="F63" s="1259">
        <v>8420246.8235978093</v>
      </c>
    </row>
    <row r="64" spans="1:6">
      <c r="A64" s="1258" t="s">
        <v>55</v>
      </c>
      <c r="B64" s="1258" t="s">
        <v>56</v>
      </c>
      <c r="C64" s="1259">
        <v>0</v>
      </c>
      <c r="D64" s="1259">
        <v>0</v>
      </c>
      <c r="E64" s="1259">
        <v>0</v>
      </c>
      <c r="F64" s="1259">
        <v>0</v>
      </c>
    </row>
    <row r="65" spans="1:6">
      <c r="A65" s="1258" t="s">
        <v>55</v>
      </c>
      <c r="B65" s="1258" t="s">
        <v>28</v>
      </c>
      <c r="C65" s="1259">
        <v>0</v>
      </c>
      <c r="D65" s="1259">
        <v>0</v>
      </c>
      <c r="E65" s="1259">
        <v>2</v>
      </c>
      <c r="F65" s="1259">
        <v>17767.802208332399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7</v>
      </c>
      <c r="D68" s="1261">
        <v>130251.60589701201</v>
      </c>
      <c r="E68" s="1261">
        <v>14</v>
      </c>
      <c r="F68" s="1261">
        <v>154120.783076566</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25394809</v>
      </c>
      <c r="E73" s="445"/>
      <c r="F73" s="327"/>
    </row>
    <row r="74" spans="1:6">
      <c r="A74" s="1258" t="s">
        <v>63</v>
      </c>
      <c r="B74" s="1258" t="s">
        <v>724</v>
      </c>
      <c r="C74" s="1271" t="s">
        <v>718</v>
      </c>
      <c r="D74" s="1259">
        <v>2198889.8246871023</v>
      </c>
      <c r="E74" s="445"/>
      <c r="F74" s="327"/>
    </row>
    <row r="75" spans="1:6">
      <c r="A75" s="1258" t="s">
        <v>64</v>
      </c>
      <c r="B75" s="1258" t="s">
        <v>723</v>
      </c>
      <c r="C75" s="1271" t="s">
        <v>719</v>
      </c>
      <c r="D75" s="1259">
        <v>54628558</v>
      </c>
      <c r="E75" s="445"/>
      <c r="F75" s="327"/>
    </row>
    <row r="76" spans="1:6">
      <c r="A76" s="1258" t="s">
        <v>64</v>
      </c>
      <c r="B76" s="1258" t="s">
        <v>724</v>
      </c>
      <c r="C76" s="1271" t="s">
        <v>720</v>
      </c>
      <c r="D76" s="1259">
        <v>1972887.8246871021</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127686.35062579571</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2449.3041371020909</v>
      </c>
      <c r="C91" s="327"/>
      <c r="D91" s="327"/>
      <c r="E91" s="327"/>
      <c r="F91" s="327"/>
    </row>
    <row r="92" spans="1:6">
      <c r="A92" s="1253" t="s">
        <v>68</v>
      </c>
      <c r="B92" s="1254">
        <v>2919.8933109301624</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1616</v>
      </c>
      <c r="C97" s="327"/>
      <c r="D97" s="327"/>
      <c r="E97" s="327"/>
      <c r="F97" s="327"/>
    </row>
    <row r="98" spans="1:6">
      <c r="A98" s="1258" t="s">
        <v>71</v>
      </c>
      <c r="B98" s="1259">
        <v>1</v>
      </c>
      <c r="C98" s="327"/>
      <c r="D98" s="327"/>
      <c r="E98" s="327"/>
      <c r="F98" s="327"/>
    </row>
    <row r="99" spans="1:6">
      <c r="A99" s="1258" t="s">
        <v>72</v>
      </c>
      <c r="B99" s="1259">
        <v>67</v>
      </c>
      <c r="C99" s="327"/>
      <c r="D99" s="327"/>
      <c r="E99" s="327"/>
      <c r="F99" s="327"/>
    </row>
    <row r="100" spans="1:6">
      <c r="A100" s="1258" t="s">
        <v>73</v>
      </c>
      <c r="B100" s="1259">
        <v>590</v>
      </c>
      <c r="C100" s="327"/>
      <c r="D100" s="327"/>
      <c r="E100" s="327"/>
      <c r="F100" s="327"/>
    </row>
    <row r="101" spans="1:6">
      <c r="A101" s="1258" t="s">
        <v>74</v>
      </c>
      <c r="B101" s="1259">
        <v>59</v>
      </c>
      <c r="C101" s="327"/>
      <c r="D101" s="327"/>
      <c r="E101" s="327"/>
      <c r="F101" s="327"/>
    </row>
    <row r="102" spans="1:6">
      <c r="A102" s="1258" t="s">
        <v>75</v>
      </c>
      <c r="B102" s="1259">
        <v>94</v>
      </c>
      <c r="C102" s="327"/>
      <c r="D102" s="327"/>
      <c r="E102" s="327"/>
      <c r="F102" s="327"/>
    </row>
    <row r="103" spans="1:6">
      <c r="A103" s="1258" t="s">
        <v>76</v>
      </c>
      <c r="B103" s="1259">
        <v>177</v>
      </c>
      <c r="C103" s="327"/>
      <c r="D103" s="327"/>
      <c r="E103" s="327"/>
      <c r="F103" s="327"/>
    </row>
    <row r="104" spans="1:6">
      <c r="A104" s="1258" t="s">
        <v>77</v>
      </c>
      <c r="B104" s="1259">
        <v>2731</v>
      </c>
      <c r="C104" s="327"/>
      <c r="D104" s="327"/>
      <c r="E104" s="327"/>
      <c r="F104" s="327"/>
    </row>
    <row r="105" spans="1:6">
      <c r="A105" s="1253" t="s">
        <v>78</v>
      </c>
      <c r="B105" s="1261">
        <v>7</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9</v>
      </c>
      <c r="C123" s="1259">
        <v>3</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69</v>
      </c>
      <c r="C129" s="327"/>
      <c r="D129" s="327"/>
      <c r="E129" s="327"/>
      <c r="F129" s="327"/>
    </row>
    <row r="130" spans="1:6">
      <c r="A130" s="1258" t="s">
        <v>284</v>
      </c>
      <c r="B130" s="1259">
        <v>1</v>
      </c>
      <c r="C130" s="327"/>
      <c r="D130" s="327"/>
      <c r="E130" s="327"/>
      <c r="F130" s="327"/>
    </row>
    <row r="131" spans="1:6">
      <c r="A131" s="1258" t="s">
        <v>285</v>
      </c>
      <c r="B131" s="1259">
        <v>5</v>
      </c>
      <c r="C131" s="327"/>
      <c r="D131" s="327"/>
      <c r="E131" s="327"/>
      <c r="F131" s="327"/>
    </row>
    <row r="132" spans="1:6">
      <c r="A132" s="1253" t="s">
        <v>286</v>
      </c>
      <c r="B132" s="1254">
        <v>5</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116123.8564825441</v>
      </c>
      <c r="C3" s="44" t="s">
        <v>163</v>
      </c>
      <c r="D3" s="44"/>
      <c r="E3" s="157"/>
      <c r="F3" s="44"/>
      <c r="G3" s="44"/>
      <c r="H3" s="44"/>
      <c r="I3" s="44"/>
      <c r="J3" s="44"/>
      <c r="K3" s="97"/>
    </row>
    <row r="4" spans="1:11">
      <c r="A4" s="352" t="s">
        <v>164</v>
      </c>
      <c r="B4" s="50">
        <f>IF(ISERROR('SEAP template'!B78+'SEAP template'!C78),0,'SEAP template'!B78+'SEAP template'!C78)</f>
        <v>5369.1974480322533</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0.21078166354479022</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918.81100000000004</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918.81100000000004</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0.21078166354479022</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193.66851106325225</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25699.677533314101</v>
      </c>
      <c r="C5" s="18">
        <f>IF(ISERROR('Eigen informatie GS &amp; warmtenet'!B57),0,'Eigen informatie GS &amp; warmtenet'!B57)</f>
        <v>0</v>
      </c>
      <c r="D5" s="31">
        <f>(SUM(HH_hh_gas_kWh,HH_rest_gas_kWh)/1000)*0.902</f>
        <v>50943.108132044777</v>
      </c>
      <c r="E5" s="18">
        <f>B32*B41</f>
        <v>1487.9110016222583</v>
      </c>
      <c r="F5" s="18">
        <f>B36*B45</f>
        <v>45362.08659360915</v>
      </c>
      <c r="G5" s="19"/>
      <c r="H5" s="18"/>
      <c r="I5" s="18"/>
      <c r="J5" s="18">
        <f>B35*B44+C35*C44</f>
        <v>823.07925501094496</v>
      </c>
      <c r="K5" s="18"/>
      <c r="L5" s="18"/>
      <c r="M5" s="18"/>
      <c r="N5" s="18">
        <f>B34*B43+C34*C43</f>
        <v>8587.5464165723024</v>
      </c>
      <c r="O5" s="18">
        <f>B52*B53*B54</f>
        <v>112.56000000000002</v>
      </c>
      <c r="P5" s="18">
        <f>B60*B61*B62/1000-B60*B61*B62/1000/B63</f>
        <v>266.93333333333334</v>
      </c>
    </row>
    <row r="6" spans="1:16">
      <c r="A6" s="17" t="s">
        <v>597</v>
      </c>
      <c r="B6" s="731">
        <f>kWh_PV_kleiner_dan_10kW</f>
        <v>2449.3041371020909</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28148.981670416193</v>
      </c>
      <c r="C8" s="22">
        <f>C5</f>
        <v>0</v>
      </c>
      <c r="D8" s="22">
        <f>D5</f>
        <v>50943.108132044777</v>
      </c>
      <c r="E8" s="22">
        <f>E5</f>
        <v>1487.9110016222583</v>
      </c>
      <c r="F8" s="22">
        <f>F5</f>
        <v>45362.08659360915</v>
      </c>
      <c r="G8" s="22"/>
      <c r="H8" s="22"/>
      <c r="I8" s="22"/>
      <c r="J8" s="22">
        <f>J5</f>
        <v>823.07925501094496</v>
      </c>
      <c r="K8" s="22"/>
      <c r="L8" s="22">
        <f>L5</f>
        <v>0</v>
      </c>
      <c r="M8" s="22">
        <f>M5</f>
        <v>0</v>
      </c>
      <c r="N8" s="22">
        <f>N5</f>
        <v>8587.5464165723024</v>
      </c>
      <c r="O8" s="22">
        <f>O5</f>
        <v>112.56000000000002</v>
      </c>
      <c r="P8" s="22">
        <f>P5</f>
        <v>266.93333333333334</v>
      </c>
    </row>
    <row r="9" spans="1:16">
      <c r="B9" s="20"/>
      <c r="C9" s="20"/>
      <c r="D9" s="258"/>
      <c r="E9" s="20"/>
      <c r="F9" s="20"/>
      <c r="G9" s="20"/>
      <c r="H9" s="20"/>
      <c r="I9" s="20"/>
      <c r="J9" s="20"/>
      <c r="K9" s="20"/>
      <c r="L9" s="20"/>
      <c r="M9" s="20"/>
      <c r="N9" s="20"/>
      <c r="O9" s="20"/>
      <c r="P9" s="20"/>
    </row>
    <row r="10" spans="1:16">
      <c r="A10" s="25" t="s">
        <v>207</v>
      </c>
      <c r="B10" s="26">
        <f ca="1">'EF ele_warmte'!B12</f>
        <v>0.21078166354479022</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5933.2891835821329</v>
      </c>
      <c r="C12" s="24">
        <f ca="1">C10*C8</f>
        <v>0</v>
      </c>
      <c r="D12" s="24">
        <f>D8*D10</f>
        <v>10290.507842673045</v>
      </c>
      <c r="E12" s="24">
        <f>E10*E8</f>
        <v>337.75579736825262</v>
      </c>
      <c r="F12" s="24">
        <f>F10*F8</f>
        <v>12111.677120493643</v>
      </c>
      <c r="G12" s="24"/>
      <c r="H12" s="24"/>
      <c r="I12" s="24"/>
      <c r="J12" s="24">
        <f>J10*J8</f>
        <v>291.37005627387452</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5833</v>
      </c>
      <c r="C26" s="37"/>
      <c r="D26" s="228"/>
    </row>
    <row r="27" spans="1:5" s="16" customFormat="1">
      <c r="A27" s="230" t="s">
        <v>623</v>
      </c>
      <c r="B27" s="38">
        <f>SUM(HH_hh_gas_aantal,HH_rest_gas_aantal)</f>
        <v>3114</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2958.3</v>
      </c>
      <c r="C31" s="35" t="s">
        <v>104</v>
      </c>
      <c r="D31" s="174"/>
    </row>
    <row r="32" spans="1:5">
      <c r="A32" s="171" t="s">
        <v>72</v>
      </c>
      <c r="B32" s="34">
        <f>IF((B21*($B$26-($B$27-0.05*$B$27)-$B$60))&lt;0,0,B21*($B$26-($B$27-0.05*$B$27)-$B$60))</f>
        <v>70.302648156932477</v>
      </c>
      <c r="C32" s="35" t="s">
        <v>104</v>
      </c>
      <c r="D32" s="174"/>
    </row>
    <row r="33" spans="1:6">
      <c r="A33" s="171" t="s">
        <v>73</v>
      </c>
      <c r="B33" s="34">
        <f>IF((B22*($B$26-($B$27-0.05*$B$27)-$B$60))&lt;0,0,B22*($B$26-($B$27-0.05*$B$27)-$B$60))</f>
        <v>473.21927581930265</v>
      </c>
      <c r="C33" s="35" t="s">
        <v>104</v>
      </c>
      <c r="D33" s="174"/>
    </row>
    <row r="34" spans="1:6">
      <c r="A34" s="171" t="s">
        <v>74</v>
      </c>
      <c r="B34" s="34">
        <f>IF((B24*($B$26-($B$27-0.05*$B$27)-$B$60))&lt;0,0,B24*($B$26-($B$27-0.05*$B$27)-$B$60))</f>
        <v>120.0183829063108</v>
      </c>
      <c r="C34" s="34">
        <f>B26*C24</f>
        <v>1192.8620772936983</v>
      </c>
      <c r="D34" s="233"/>
    </row>
    <row r="35" spans="1:6">
      <c r="A35" s="171" t="s">
        <v>76</v>
      </c>
      <c r="B35" s="34">
        <f>IF((B19*($B$26-($B$27-0.05*$B$27)-$B$60))&lt;0,0,B19*($B$26-($B$27-0.05*$B$27)-$B$60))</f>
        <v>44.619036674909111</v>
      </c>
      <c r="C35" s="34">
        <f>B35/2</f>
        <v>22.309518337454556</v>
      </c>
      <c r="D35" s="233"/>
    </row>
    <row r="36" spans="1:6">
      <c r="A36" s="171" t="s">
        <v>77</v>
      </c>
      <c r="B36" s="34">
        <f>IF((B18*($B$26-($B$27-0.05*$B$27)-$B$60))&lt;0,0,B18*($B$26-($B$27-0.05*$B$27)-$B$60))</f>
        <v>2152.5406564425439</v>
      </c>
      <c r="C36" s="35" t="s">
        <v>104</v>
      </c>
      <c r="D36" s="174"/>
    </row>
    <row r="37" spans="1:6">
      <c r="A37" s="171" t="s">
        <v>78</v>
      </c>
      <c r="B37" s="34">
        <f>B60</f>
        <v>14</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72</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14</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27869.314132269436</v>
      </c>
      <c r="C5" s="18">
        <f>IF(ISERROR('Eigen informatie GS &amp; warmtenet'!B58),0,'Eigen informatie GS &amp; warmtenet'!B58)</f>
        <v>0</v>
      </c>
      <c r="D5" s="31">
        <f>SUM(D6:D12)</f>
        <v>15312.973502420498</v>
      </c>
      <c r="E5" s="18">
        <f>SUM(E6:E12)</f>
        <v>248.62614215379426</v>
      </c>
      <c r="F5" s="18">
        <f>SUM(F6:F12)</f>
        <v>6343.4101868157823</v>
      </c>
      <c r="G5" s="19"/>
      <c r="H5" s="18"/>
      <c r="I5" s="18"/>
      <c r="J5" s="18">
        <f>SUM(J6:J12)</f>
        <v>0</v>
      </c>
      <c r="K5" s="18"/>
      <c r="L5" s="18"/>
      <c r="M5" s="18"/>
      <c r="N5" s="18">
        <f>SUM(N6:N12)</f>
        <v>5786.089844123172</v>
      </c>
      <c r="O5" s="18">
        <f>B38*B39*B40</f>
        <v>1.5633333333333335</v>
      </c>
      <c r="P5" s="18">
        <f>B46*B47*B48/1000-B46*B47*B48/1000/B49</f>
        <v>95.333333333333343</v>
      </c>
      <c r="R5" s="33"/>
    </row>
    <row r="6" spans="1:18">
      <c r="A6" s="33" t="s">
        <v>53</v>
      </c>
      <c r="B6" s="38">
        <f>B26</f>
        <v>3369.5781198090599</v>
      </c>
      <c r="C6" s="34"/>
      <c r="D6" s="38">
        <f>IF(ISERROR(TER_kantoor_gas_kWh/1000),0,TER_kantoor_gas_kWh/1000)*0.902</f>
        <v>5096.548217156701</v>
      </c>
      <c r="E6" s="34">
        <f>$C$26*'E Balans VL '!I12/100/3.6*1000000</f>
        <v>5.504307185786006</v>
      </c>
      <c r="F6" s="34">
        <f>$C$26*('E Balans VL '!L12+'E Balans VL '!N12)/100/3.6*1000000</f>
        <v>395.86487635364392</v>
      </c>
      <c r="G6" s="35"/>
      <c r="H6" s="34"/>
      <c r="I6" s="34"/>
      <c r="J6" s="34">
        <f>$C$26*('E Balans VL '!D12+'E Balans VL '!E12)/100/3.6*1000000</f>
        <v>0</v>
      </c>
      <c r="K6" s="34"/>
      <c r="L6" s="34"/>
      <c r="M6" s="34"/>
      <c r="N6" s="34">
        <f>$C$26*'E Balans VL '!Y12/100/3.6*1000000</f>
        <v>24.534838433246893</v>
      </c>
      <c r="O6" s="34"/>
      <c r="P6" s="34"/>
      <c r="R6" s="33"/>
    </row>
    <row r="7" spans="1:18">
      <c r="A7" s="33" t="s">
        <v>52</v>
      </c>
      <c r="B7" s="38">
        <f t="shared" ref="B7:B12" si="0">B27</f>
        <v>1221.5194520016598</v>
      </c>
      <c r="C7" s="34"/>
      <c r="D7" s="38">
        <f>IF(ISERROR(TER_horeca_gas_kWh/1000),0,TER_horeca_gas_kWh/1000)*0.902</f>
        <v>2049.0480417610243</v>
      </c>
      <c r="E7" s="34">
        <f>$C$27*'E Balans VL '!I9/100/3.6*1000000</f>
        <v>63.19768644686026</v>
      </c>
      <c r="F7" s="34">
        <f>$C$27*('E Balans VL '!L9+'E Balans VL '!N9)/100/3.6*1000000</f>
        <v>277.91462306144604</v>
      </c>
      <c r="G7" s="35"/>
      <c r="H7" s="34"/>
      <c r="I7" s="34"/>
      <c r="J7" s="34">
        <f>$C$27*('E Balans VL '!D9+'E Balans VL '!E9)/100/3.6*1000000</f>
        <v>0</v>
      </c>
      <c r="K7" s="34"/>
      <c r="L7" s="34"/>
      <c r="M7" s="34"/>
      <c r="N7" s="34">
        <f>$C$27*'E Balans VL '!Y9/100/3.6*1000000</f>
        <v>0.12860464841403035</v>
      </c>
      <c r="O7" s="34"/>
      <c r="P7" s="34"/>
      <c r="R7" s="33"/>
    </row>
    <row r="8" spans="1:18">
      <c r="A8" s="6" t="s">
        <v>51</v>
      </c>
      <c r="B8" s="38">
        <f t="shared" si="0"/>
        <v>3164.8267762473001</v>
      </c>
      <c r="C8" s="34"/>
      <c r="D8" s="38">
        <f>IF(ISERROR(TER_handel_gas_kWh/1000),0,TER_handel_gas_kWh/1000)*0.902</f>
        <v>1895.2733289172772</v>
      </c>
      <c r="E8" s="34">
        <f>$C$28*'E Balans VL '!I13/100/3.6*1000000</f>
        <v>16.624031220844834</v>
      </c>
      <c r="F8" s="34">
        <f>$C$28*('E Balans VL '!L13+'E Balans VL '!N13)/100/3.6*1000000</f>
        <v>596.67583858168371</v>
      </c>
      <c r="G8" s="35"/>
      <c r="H8" s="34"/>
      <c r="I8" s="34"/>
      <c r="J8" s="34">
        <f>$C$28*('E Balans VL '!D13+'E Balans VL '!E13)/100/3.6*1000000</f>
        <v>0</v>
      </c>
      <c r="K8" s="34"/>
      <c r="L8" s="34"/>
      <c r="M8" s="34"/>
      <c r="N8" s="34">
        <f>$C$28*'E Balans VL '!Y13/100/3.6*1000000</f>
        <v>15.689768254026252</v>
      </c>
      <c r="O8" s="34"/>
      <c r="P8" s="34"/>
      <c r="R8" s="33"/>
    </row>
    <row r="9" spans="1:18">
      <c r="A9" s="33" t="s">
        <v>50</v>
      </c>
      <c r="B9" s="38">
        <f t="shared" si="0"/>
        <v>567.39832622241909</v>
      </c>
      <c r="C9" s="34"/>
      <c r="D9" s="38">
        <f>IF(ISERROR(TER_gezond_gas_kWh/1000),0,TER_gezond_gas_kWh/1000)*0.902</f>
        <v>1067.9597415746287</v>
      </c>
      <c r="E9" s="34">
        <f>$C$29*'E Balans VL '!I10/100/3.6*1000000</f>
        <v>0.50370417106255161</v>
      </c>
      <c r="F9" s="34">
        <f>$C$29*('E Balans VL '!L10+'E Balans VL '!N10)/100/3.6*1000000</f>
        <v>176.35602737692471</v>
      </c>
      <c r="G9" s="35"/>
      <c r="H9" s="34"/>
      <c r="I9" s="34"/>
      <c r="J9" s="34">
        <f>$C$29*('E Balans VL '!D10+'E Balans VL '!E10)/100/3.6*1000000</f>
        <v>0</v>
      </c>
      <c r="K9" s="34"/>
      <c r="L9" s="34"/>
      <c r="M9" s="34"/>
      <c r="N9" s="34">
        <f>$C$29*'E Balans VL '!Y10/100/3.6*1000000</f>
        <v>4.3797430879218995</v>
      </c>
      <c r="O9" s="34"/>
      <c r="P9" s="34"/>
      <c r="R9" s="33"/>
    </row>
    <row r="10" spans="1:18">
      <c r="A10" s="33" t="s">
        <v>49</v>
      </c>
      <c r="B10" s="38">
        <f t="shared" si="0"/>
        <v>11068.871724151</v>
      </c>
      <c r="C10" s="34"/>
      <c r="D10" s="38">
        <f>IF(ISERROR(TER_ander_gas_kWh/1000),0,TER_ander_gas_kWh/1000)*0.902</f>
        <v>274.35168010073721</v>
      </c>
      <c r="E10" s="34">
        <f>$C$30*'E Balans VL '!I14/100/3.6*1000000</f>
        <v>90.282531564957623</v>
      </c>
      <c r="F10" s="34">
        <f>$C$30*('E Balans VL '!L14+'E Balans VL '!N14)/100/3.6*1000000</f>
        <v>3226.3706015035277</v>
      </c>
      <c r="G10" s="35"/>
      <c r="H10" s="34"/>
      <c r="I10" s="34"/>
      <c r="J10" s="34">
        <f>$C$30*('E Balans VL '!D14+'E Balans VL '!E14)/100/3.6*1000000</f>
        <v>0</v>
      </c>
      <c r="K10" s="34"/>
      <c r="L10" s="34"/>
      <c r="M10" s="34"/>
      <c r="N10" s="34">
        <f>$C$30*'E Balans VL '!Y14/100/3.6*1000000</f>
        <v>5257.2206582503095</v>
      </c>
      <c r="O10" s="34"/>
      <c r="P10" s="34"/>
      <c r="R10" s="33"/>
    </row>
    <row r="11" spans="1:18">
      <c r="A11" s="33" t="s">
        <v>54</v>
      </c>
      <c r="B11" s="38">
        <f t="shared" si="0"/>
        <v>56.872910240183998</v>
      </c>
      <c r="C11" s="34"/>
      <c r="D11" s="38">
        <f>IF(ISERROR(TER_onderwijs_gas_kWh/1000),0,TER_onderwijs_gas_kWh/1000)*0.902</f>
        <v>1490.1909126647524</v>
      </c>
      <c r="E11" s="34">
        <f>$C$31*'E Balans VL '!I11/100/3.6*1000000</f>
        <v>4.7447155194375139E-2</v>
      </c>
      <c r="F11" s="34">
        <f>$C$31*('E Balans VL '!L11+'E Balans VL '!N11)/100/3.6*1000000</f>
        <v>29.761671574841913</v>
      </c>
      <c r="G11" s="35"/>
      <c r="H11" s="34"/>
      <c r="I11" s="34"/>
      <c r="J11" s="34">
        <f>$C$31*('E Balans VL '!D11+'E Balans VL '!E11)/100/3.6*1000000</f>
        <v>0</v>
      </c>
      <c r="K11" s="34"/>
      <c r="L11" s="34"/>
      <c r="M11" s="34"/>
      <c r="N11" s="34">
        <f>$C$31*'E Balans VL '!Y11/100/3.6*1000000</f>
        <v>0.25039908099483665</v>
      </c>
      <c r="O11" s="34"/>
      <c r="P11" s="34"/>
      <c r="R11" s="33"/>
    </row>
    <row r="12" spans="1:18">
      <c r="A12" s="33" t="s">
        <v>249</v>
      </c>
      <c r="B12" s="38">
        <f t="shared" si="0"/>
        <v>8420.2468235978085</v>
      </c>
      <c r="C12" s="34"/>
      <c r="D12" s="38">
        <f>IF(ISERROR(TER_rest_gas_kWh/1000),0,TER_rest_gas_kWh/1000)*0.902</f>
        <v>3439.601580245379</v>
      </c>
      <c r="E12" s="34">
        <f>$C$32*'E Balans VL '!I8/100/3.6*1000000</f>
        <v>72.466434409088635</v>
      </c>
      <c r="F12" s="34">
        <f>$C$32*('E Balans VL '!L8+'E Balans VL '!N8)/100/3.6*1000000</f>
        <v>1640.4665483637148</v>
      </c>
      <c r="G12" s="35"/>
      <c r="H12" s="34"/>
      <c r="I12" s="34"/>
      <c r="J12" s="34">
        <f>$C$32*('E Balans VL '!D8+'E Balans VL '!E8)/100/3.6*1000000</f>
        <v>0</v>
      </c>
      <c r="K12" s="34"/>
      <c r="L12" s="34"/>
      <c r="M12" s="34"/>
      <c r="N12" s="34">
        <f>$C$32*'E Balans VL '!Y8/100/3.6*1000000</f>
        <v>483.88583236825917</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27869.314132269436</v>
      </c>
      <c r="C16" s="22">
        <f t="shared" ca="1" si="1"/>
        <v>0</v>
      </c>
      <c r="D16" s="22">
        <f t="shared" ca="1" si="1"/>
        <v>15312.973502420498</v>
      </c>
      <c r="E16" s="22">
        <f t="shared" si="1"/>
        <v>248.62614215379426</v>
      </c>
      <c r="F16" s="22">
        <f t="shared" ca="1" si="1"/>
        <v>6343.4101868157823</v>
      </c>
      <c r="G16" s="22">
        <f t="shared" si="1"/>
        <v>0</v>
      </c>
      <c r="H16" s="22">
        <f t="shared" si="1"/>
        <v>0</v>
      </c>
      <c r="I16" s="22">
        <f t="shared" si="1"/>
        <v>0</v>
      </c>
      <c r="J16" s="22">
        <f t="shared" si="1"/>
        <v>0</v>
      </c>
      <c r="K16" s="22">
        <f t="shared" si="1"/>
        <v>0</v>
      </c>
      <c r="L16" s="22">
        <f t="shared" ca="1" si="1"/>
        <v>0</v>
      </c>
      <c r="M16" s="22">
        <f t="shared" si="1"/>
        <v>0</v>
      </c>
      <c r="N16" s="22">
        <f t="shared" ca="1" si="1"/>
        <v>5786.089844123172</v>
      </c>
      <c r="O16" s="22">
        <f>O5</f>
        <v>1.5633333333333335</v>
      </c>
      <c r="P16" s="22">
        <f>P5</f>
        <v>95.333333333333343</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0.21078166354479022</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5874.340394652083</v>
      </c>
      <c r="C20" s="24">
        <f t="shared" ref="C20:P20" ca="1" si="2">C16*C18</f>
        <v>0</v>
      </c>
      <c r="D20" s="24">
        <f t="shared" ca="1" si="2"/>
        <v>3093.2206474889408</v>
      </c>
      <c r="E20" s="24">
        <f t="shared" si="2"/>
        <v>56.438134268911298</v>
      </c>
      <c r="F20" s="24">
        <f t="shared" ca="1" si="2"/>
        <v>1693.690519879814</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3369.5781198090599</v>
      </c>
      <c r="C26" s="40">
        <f>IF(ISERROR(B26*3.6/1000000/'E Balans VL '!Z12*100),0,B26*3.6/1000000/'E Balans VL '!Z12*100)</f>
        <v>7.141839813289283E-2</v>
      </c>
      <c r="D26" s="236" t="s">
        <v>660</v>
      </c>
      <c r="F26" s="6"/>
    </row>
    <row r="27" spans="1:18">
      <c r="A27" s="231" t="s">
        <v>52</v>
      </c>
      <c r="B27" s="34">
        <f>IF(ISERROR(TER_horeca_ele_kWh/1000),0,TER_horeca_ele_kWh/1000)</f>
        <v>1221.5194520016598</v>
      </c>
      <c r="C27" s="40">
        <f>IF(ISERROR(B27*3.6/1000000/'E Balans VL '!Z9*100),0,B27*3.6/1000000/'E Balans VL '!Z9*100)</f>
        <v>9.5854396333438799E-2</v>
      </c>
      <c r="D27" s="236" t="s">
        <v>660</v>
      </c>
      <c r="F27" s="6"/>
    </row>
    <row r="28" spans="1:18">
      <c r="A28" s="171" t="s">
        <v>51</v>
      </c>
      <c r="B28" s="34">
        <f>IF(ISERROR(TER_handel_ele_kWh/1000),0,TER_handel_ele_kWh/1000)</f>
        <v>3164.8267762473001</v>
      </c>
      <c r="C28" s="40">
        <f>IF(ISERROR(B28*3.6/1000000/'E Balans VL '!Z13*100),0,B28*3.6/1000000/'E Balans VL '!Z13*100)</f>
        <v>8.8382360549995403E-2</v>
      </c>
      <c r="D28" s="236" t="s">
        <v>660</v>
      </c>
      <c r="F28" s="6"/>
    </row>
    <row r="29" spans="1:18">
      <c r="A29" s="231" t="s">
        <v>50</v>
      </c>
      <c r="B29" s="34">
        <f>IF(ISERROR(TER_gezond_ele_kWh/1000),0,TER_gezond_ele_kWh/1000)</f>
        <v>567.39832622241909</v>
      </c>
      <c r="C29" s="40">
        <f>IF(ISERROR(B29*3.6/1000000/'E Balans VL '!Z10*100),0,B29*3.6/1000000/'E Balans VL '!Z10*100)</f>
        <v>6.5023466635515212E-2</v>
      </c>
      <c r="D29" s="236" t="s">
        <v>660</v>
      </c>
      <c r="F29" s="6"/>
    </row>
    <row r="30" spans="1:18">
      <c r="A30" s="231" t="s">
        <v>49</v>
      </c>
      <c r="B30" s="34">
        <f>IF(ISERROR(TER_ander_ele_kWh/1000),0,TER_ander_ele_kWh/1000)</f>
        <v>11068.871724151</v>
      </c>
      <c r="C30" s="40">
        <f>IF(ISERROR(B30*3.6/1000000/'E Balans VL '!Z14*100),0,B30*3.6/1000000/'E Balans VL '!Z14*100)</f>
        <v>0.82537302758187925</v>
      </c>
      <c r="D30" s="236" t="s">
        <v>660</v>
      </c>
      <c r="F30" s="6"/>
    </row>
    <row r="31" spans="1:18">
      <c r="A31" s="231" t="s">
        <v>54</v>
      </c>
      <c r="B31" s="34">
        <f>IF(ISERROR(TER_onderwijs_ele_kWh/1000),0,TER_onderwijs_ele_kWh/1000)</f>
        <v>56.872910240183998</v>
      </c>
      <c r="C31" s="40">
        <f>IF(ISERROR(B31*3.6/1000000/'E Balans VL '!Z11*100),0,B31*3.6/1000000/'E Balans VL '!Z11*100)</f>
        <v>1.6254403180450284E-2</v>
      </c>
      <c r="D31" s="236" t="s">
        <v>660</v>
      </c>
    </row>
    <row r="32" spans="1:18">
      <c r="A32" s="231" t="s">
        <v>249</v>
      </c>
      <c r="B32" s="34">
        <f>IF(ISERROR(TER_rest_ele_kWh/1000),0,TER_rest_ele_kWh/1000)</f>
        <v>8420.2468235978085</v>
      </c>
      <c r="C32" s="40">
        <f>IF(ISERROR(B32*3.6/1000000/'E Balans VL '!Z8*100),0,B32*3.6/1000000/'E Balans VL '!Z8*100)</f>
        <v>6.9377596839677688E-2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5</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57612.675720441606</v>
      </c>
      <c r="C5" s="18">
        <f>IF(ISERROR('Eigen informatie GS &amp; warmtenet'!B59),0,'Eigen informatie GS &amp; warmtenet'!B59)</f>
        <v>0</v>
      </c>
      <c r="D5" s="31">
        <f>SUM(D6:D15)</f>
        <v>27181.002345439898</v>
      </c>
      <c r="E5" s="18">
        <f>SUM(E6:E15)</f>
        <v>491.58431836517747</v>
      </c>
      <c r="F5" s="18">
        <f>SUM(F6:F15)</f>
        <v>10333.702209757348</v>
      </c>
      <c r="G5" s="19"/>
      <c r="H5" s="18"/>
      <c r="I5" s="18"/>
      <c r="J5" s="18">
        <f>SUM(J6:J15)</f>
        <v>220.41220652114066</v>
      </c>
      <c r="K5" s="18"/>
      <c r="L5" s="18"/>
      <c r="M5" s="18"/>
      <c r="N5" s="18">
        <f>SUM(N6:N15)</f>
        <v>1578.8751535753856</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203.35090903935898</v>
      </c>
      <c r="C8" s="34"/>
      <c r="D8" s="38">
        <f>IF( ISERROR(IND_metaal_Gas_kWH/1000),0,IND_metaal_Gas_kWH/1000)*0.902</f>
        <v>126.9690557782031</v>
      </c>
      <c r="E8" s="34">
        <f>C30*'E Balans VL '!I18/100/3.6*1000000</f>
        <v>1.8518800822753476</v>
      </c>
      <c r="F8" s="34">
        <f>C30*'E Balans VL '!L18/100/3.6*1000000+C30*'E Balans VL '!N18/100/3.6*1000000</f>
        <v>26.820440628964473</v>
      </c>
      <c r="G8" s="35"/>
      <c r="H8" s="34"/>
      <c r="I8" s="34"/>
      <c r="J8" s="41">
        <f>C30*'E Balans VL '!D18/100/3.6*1000000+C30*'E Balans VL '!E18/100/3.6*1000000</f>
        <v>3.3346596533573716</v>
      </c>
      <c r="K8" s="34"/>
      <c r="L8" s="34"/>
      <c r="M8" s="34"/>
      <c r="N8" s="34">
        <f>C30*'E Balans VL '!Y18/100/3.6*1000000</f>
        <v>0.69883629342687947</v>
      </c>
      <c r="O8" s="34"/>
      <c r="P8" s="34"/>
      <c r="R8" s="33"/>
    </row>
    <row r="9" spans="1:18">
      <c r="A9" s="6" t="s">
        <v>32</v>
      </c>
      <c r="B9" s="38">
        <f t="shared" si="0"/>
        <v>842.92713930060199</v>
      </c>
      <c r="C9" s="34"/>
      <c r="D9" s="38">
        <f>IF( ISERROR(IND_andere_gas_kWh/1000),0,IND_andere_gas_kWh/1000)*0.902</f>
        <v>1022.0058156219957</v>
      </c>
      <c r="E9" s="34">
        <f>C31*'E Balans VL '!I19/100/3.6*1000000</f>
        <v>4.8722448301995041</v>
      </c>
      <c r="F9" s="34">
        <f>C31*'E Balans VL '!L19/100/3.6*1000000+C31*'E Balans VL '!N19/100/3.6*1000000</f>
        <v>670.58909936255191</v>
      </c>
      <c r="G9" s="35"/>
      <c r="H9" s="34"/>
      <c r="I9" s="34"/>
      <c r="J9" s="41">
        <f>C31*'E Balans VL '!D19/100/3.6*1000000+C31*'E Balans VL '!E19/100/3.6*1000000</f>
        <v>7.9731544408368452E-2</v>
      </c>
      <c r="K9" s="34"/>
      <c r="L9" s="34"/>
      <c r="M9" s="34"/>
      <c r="N9" s="34">
        <f>C31*'E Balans VL '!Y19/100/3.6*1000000</f>
        <v>63.864487077409407</v>
      </c>
      <c r="O9" s="34"/>
      <c r="P9" s="34"/>
      <c r="R9" s="33"/>
    </row>
    <row r="10" spans="1:18">
      <c r="A10" s="6" t="s">
        <v>40</v>
      </c>
      <c r="B10" s="38">
        <f t="shared" si="0"/>
        <v>8880.9031106801795</v>
      </c>
      <c r="C10" s="34"/>
      <c r="D10" s="38">
        <f>IF( ISERROR(IND_voed_gas_kWh/1000),0,IND_voed_gas_kWh/1000)*0.902</f>
        <v>871.25123821743057</v>
      </c>
      <c r="E10" s="34">
        <f>C32*'E Balans VL '!I20/100/3.6*1000000</f>
        <v>87.322511364334972</v>
      </c>
      <c r="F10" s="34">
        <f>C32*'E Balans VL '!L20/100/3.6*1000000+C32*'E Balans VL '!N20/100/3.6*1000000</f>
        <v>986.34020971121356</v>
      </c>
      <c r="G10" s="35"/>
      <c r="H10" s="34"/>
      <c r="I10" s="34"/>
      <c r="J10" s="41">
        <f>C32*'E Balans VL '!D20/100/3.6*1000000+C32*'E Balans VL '!E20/100/3.6*1000000</f>
        <v>3.5003670846606917E-2</v>
      </c>
      <c r="K10" s="34"/>
      <c r="L10" s="34"/>
      <c r="M10" s="34"/>
      <c r="N10" s="34">
        <f>C32*'E Balans VL '!Y20/100/3.6*1000000</f>
        <v>131.50528498308063</v>
      </c>
      <c r="O10" s="34"/>
      <c r="P10" s="34"/>
      <c r="R10" s="33"/>
    </row>
    <row r="11" spans="1:18">
      <c r="A11" s="6" t="s">
        <v>39</v>
      </c>
      <c r="B11" s="38">
        <f t="shared" si="0"/>
        <v>4509.6278819983299</v>
      </c>
      <c r="C11" s="34"/>
      <c r="D11" s="38">
        <f>IF( ISERROR(IND_textiel_gas_kWh/1000),0,IND_textiel_gas_kWh/1000)*0.902</f>
        <v>0</v>
      </c>
      <c r="E11" s="34">
        <f>C33*'E Balans VL '!I21/100/3.6*1000000</f>
        <v>8.7812926527180224</v>
      </c>
      <c r="F11" s="34">
        <f>C33*'E Balans VL '!L21/100/3.6*1000000+C33*'E Balans VL '!N21/100/3.6*1000000</f>
        <v>148.74232590835464</v>
      </c>
      <c r="G11" s="35"/>
      <c r="H11" s="34"/>
      <c r="I11" s="34"/>
      <c r="J11" s="41">
        <f>C33*'E Balans VL '!D21/100/3.6*1000000+C33*'E Balans VL '!E21/100/3.6*1000000</f>
        <v>0</v>
      </c>
      <c r="K11" s="34"/>
      <c r="L11" s="34"/>
      <c r="M11" s="34"/>
      <c r="N11" s="34">
        <f>C33*'E Balans VL '!Y21/100/3.6*1000000</f>
        <v>46.776702257181135</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31.5601669412432</v>
      </c>
      <c r="C13" s="34"/>
      <c r="D13" s="38">
        <f>IF( ISERROR(IND_papier_gas_kWh/1000),0,IND_papier_gas_kWh/1000)*0.902</f>
        <v>0</v>
      </c>
      <c r="E13" s="34">
        <f>C35*'E Balans VL '!I23/100/3.6*1000000</f>
        <v>1.0749850453023559</v>
      </c>
      <c r="F13" s="34">
        <f>C35*'E Balans VL '!L23/100/3.6*1000000+C35*'E Balans VL '!N23/100/3.6*1000000</f>
        <v>5.2129988775192793</v>
      </c>
      <c r="G13" s="35"/>
      <c r="H13" s="34"/>
      <c r="I13" s="34"/>
      <c r="J13" s="41">
        <f>C35*'E Balans VL '!D23/100/3.6*1000000+C35*'E Balans VL '!E23/100/3.6*1000000</f>
        <v>0</v>
      </c>
      <c r="K13" s="34"/>
      <c r="L13" s="34"/>
      <c r="M13" s="34"/>
      <c r="N13" s="34">
        <f>C35*'E Balans VL '!Y23/100/3.6*1000000</f>
        <v>11.613295056311406</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43144.306512481897</v>
      </c>
      <c r="C15" s="34"/>
      <c r="D15" s="38">
        <f>IF( ISERROR(IND_rest_gas_kWh/1000),0,IND_rest_gas_kWh/1000)*0.902</f>
        <v>25160.776235822268</v>
      </c>
      <c r="E15" s="34">
        <f>C37*'E Balans VL '!I15/100/3.6*1000000</f>
        <v>387.68140439034727</v>
      </c>
      <c r="F15" s="34">
        <f>C37*'E Balans VL '!L15/100/3.6*1000000+C37*'E Balans VL '!N15/100/3.6*1000000</f>
        <v>8495.9971352687444</v>
      </c>
      <c r="G15" s="35"/>
      <c r="H15" s="34"/>
      <c r="I15" s="34"/>
      <c r="J15" s="41">
        <f>C37*'E Balans VL '!D15/100/3.6*1000000+C37*'E Balans VL '!E15/100/3.6*1000000</f>
        <v>216.9628116525283</v>
      </c>
      <c r="K15" s="34"/>
      <c r="L15" s="34"/>
      <c r="M15" s="34"/>
      <c r="N15" s="34">
        <f>C37*'E Balans VL '!Y15/100/3.6*1000000</f>
        <v>1324.4165479079761</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57612.675720441606</v>
      </c>
      <c r="C18" s="22">
        <f>C5+C16</f>
        <v>0</v>
      </c>
      <c r="D18" s="22">
        <f>MAX((D5+D16),0)</f>
        <v>27181.002345439898</v>
      </c>
      <c r="E18" s="22">
        <f>MAX((E5+E16),0)</f>
        <v>491.58431836517747</v>
      </c>
      <c r="F18" s="22">
        <f>MAX((F5+F16),0)</f>
        <v>10333.702209757348</v>
      </c>
      <c r="G18" s="22"/>
      <c r="H18" s="22"/>
      <c r="I18" s="22"/>
      <c r="J18" s="22">
        <f>MAX((J5+J16),0)</f>
        <v>220.41220652114066</v>
      </c>
      <c r="K18" s="22"/>
      <c r="L18" s="22">
        <f>MAX((L5+L16),0)</f>
        <v>0</v>
      </c>
      <c r="M18" s="22"/>
      <c r="N18" s="22">
        <f>MAX((N5+N16),0)</f>
        <v>1578.8751535753856</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0.21078166354479022</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12143.695629621227</v>
      </c>
      <c r="C22" s="24">
        <f ca="1">C18*C20</f>
        <v>0</v>
      </c>
      <c r="D22" s="24">
        <f>D18*D20</f>
        <v>5490.5624737788594</v>
      </c>
      <c r="E22" s="24">
        <f>E18*E20</f>
        <v>111.58964026889529</v>
      </c>
      <c r="F22" s="24">
        <f>F18*F20</f>
        <v>2759.0984900052122</v>
      </c>
      <c r="G22" s="24"/>
      <c r="H22" s="24"/>
      <c r="I22" s="24"/>
      <c r="J22" s="24">
        <f>J18*J20</f>
        <v>78.025921108483786</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203.35090903935898</v>
      </c>
      <c r="C30" s="40">
        <f>IF(ISERROR(B30*3.6/1000000/'E Balans VL '!Z18*100),0,B30*3.6/1000000/'E Balans VL '!Z18*100)</f>
        <v>1.1315118292178274E-2</v>
      </c>
      <c r="D30" s="236" t="s">
        <v>660</v>
      </c>
    </row>
    <row r="31" spans="1:18">
      <c r="A31" s="6" t="s">
        <v>32</v>
      </c>
      <c r="B31" s="38">
        <f>IF( ISERROR(IND_ander_ele_kWh/1000),0,IND_ander_ele_kWh/1000)</f>
        <v>842.92713930060199</v>
      </c>
      <c r="C31" s="40">
        <f>IF(ISERROR(B31*3.6/1000000/'E Balans VL '!Z19*100),0,B31*3.6/1000000/'E Balans VL '!Z19*100)</f>
        <v>3.9185468924249345E-2</v>
      </c>
      <c r="D31" s="236" t="s">
        <v>660</v>
      </c>
    </row>
    <row r="32" spans="1:18">
      <c r="A32" s="171" t="s">
        <v>40</v>
      </c>
      <c r="B32" s="38">
        <f>IF( ISERROR(IND_voed_ele_kWh/1000),0,IND_voed_ele_kWh/1000)</f>
        <v>8880.9031106801795</v>
      </c>
      <c r="C32" s="40">
        <f>IF(ISERROR(B32*3.6/1000000/'E Balans VL '!Z20*100),0,B32*3.6/1000000/'E Balans VL '!Z20*100)</f>
        <v>0.31392198921912573</v>
      </c>
      <c r="D32" s="236" t="s">
        <v>660</v>
      </c>
    </row>
    <row r="33" spans="1:5">
      <c r="A33" s="171" t="s">
        <v>39</v>
      </c>
      <c r="B33" s="38">
        <f>IF( ISERROR(IND_textiel_ele_kWh/1000),0,IND_textiel_ele_kWh/1000)</f>
        <v>4509.6278819983299</v>
      </c>
      <c r="C33" s="40">
        <f>IF(ISERROR(B33*3.6/1000000/'E Balans VL '!Z21*100),0,B33*3.6/1000000/'E Balans VL '!Z21*100)</f>
        <v>0.60909367427153782</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31.5601669412432</v>
      </c>
      <c r="C35" s="40">
        <f>IF(ISERROR(B35*3.6/1000000/'E Balans VL '!Z22*100),0,B35*3.6/1000000/'E Balans VL '!Z22*100)</f>
        <v>6.3427035885488632E-3</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43144.306512481897</v>
      </c>
      <c r="C37" s="40">
        <f>IF(ISERROR(B37*3.6/1000000/'E Balans VL '!Z15*100),0,B37*3.6/1000000/'E Balans VL '!Z15*100)</f>
        <v>0.32580324794745846</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804.31717793432176</v>
      </c>
      <c r="C5" s="18">
        <f>'Eigen informatie GS &amp; warmtenet'!B60</f>
        <v>0</v>
      </c>
      <c r="D5" s="31">
        <f>IF(ISERROR(SUM(LB_lb_gas_kWh,LB_rest_gas_kWh)/1000),0,SUM(LB_lb_gas_kWh,LB_rest_gas_kWh)/1000)*0.902</f>
        <v>357.79573358566341</v>
      </c>
      <c r="E5" s="18">
        <f>B17*'E Balans VL '!I25/3.6*1000000/100</f>
        <v>7.942778524589138</v>
      </c>
      <c r="F5" s="18">
        <f>B17*('E Balans VL '!L25/3.6*1000000+'E Balans VL '!N25/3.6*1000000)/100</f>
        <v>2683.4149262806582</v>
      </c>
      <c r="G5" s="19"/>
      <c r="H5" s="18"/>
      <c r="I5" s="18"/>
      <c r="J5" s="18">
        <f>('E Balans VL '!D25+'E Balans VL '!E25)/3.6*1000000*landbouw!B17/100</f>
        <v>80.2464415993811</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804.31717793432176</v>
      </c>
      <c r="C8" s="22">
        <f>C5+C6</f>
        <v>0</v>
      </c>
      <c r="D8" s="22">
        <f>MAX((D5+D6),0)</f>
        <v>357.79573358566341</v>
      </c>
      <c r="E8" s="22">
        <f>MAX((E5+E6),0)</f>
        <v>7.942778524589138</v>
      </c>
      <c r="F8" s="22">
        <f>MAX((F5+F6),0)</f>
        <v>2683.4149262806582</v>
      </c>
      <c r="G8" s="22"/>
      <c r="H8" s="22"/>
      <c r="I8" s="22"/>
      <c r="J8" s="22">
        <f>MAX((J5+J6),0)</f>
        <v>80.2464415993811</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0.21078166354479022</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169.53531278264737</v>
      </c>
      <c r="C12" s="24">
        <f ca="1">C8*C10</f>
        <v>0</v>
      </c>
      <c r="D12" s="24">
        <f>D8*D10</f>
        <v>72.274738184304013</v>
      </c>
      <c r="E12" s="24">
        <f>E8*E10</f>
        <v>1.8030107250817344</v>
      </c>
      <c r="F12" s="24">
        <f>F8*F10</f>
        <v>716.47178531693578</v>
      </c>
      <c r="G12" s="24"/>
      <c r="H12" s="24"/>
      <c r="I12" s="24"/>
      <c r="J12" s="24">
        <f>J8*J10</f>
        <v>28.407240326180908</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0.10889169331466174</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136.76208353332976</v>
      </c>
      <c r="C26" s="246">
        <f>B26*'GWP N2O_CH4'!B5</f>
        <v>2872.003754199925</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22.86446093141257</v>
      </c>
      <c r="C27" s="246">
        <f>B27*'GWP N2O_CH4'!B5</f>
        <v>480.15367955966394</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1.8309773280221213</v>
      </c>
      <c r="C28" s="246">
        <f>B28*'GWP N2O_CH4'!B4</f>
        <v>567.60297168685759</v>
      </c>
      <c r="D28" s="51"/>
    </row>
    <row r="29" spans="1:4">
      <c r="A29" s="42" t="s">
        <v>266</v>
      </c>
      <c r="B29" s="246">
        <f>B34*'ha_N2O bodem landbouw'!B4</f>
        <v>6.3923078659488013</v>
      </c>
      <c r="C29" s="246">
        <f>B29*'GWP N2O_CH4'!B4</f>
        <v>1981.6154384441284</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1.7257218922488435E-3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1.1817946680007135E-5</v>
      </c>
      <c r="C5" s="433" t="s">
        <v>204</v>
      </c>
      <c r="D5" s="418">
        <f>SUM(D6:D11)</f>
        <v>1.9273068418175283E-5</v>
      </c>
      <c r="E5" s="418">
        <f>SUM(E6:E11)</f>
        <v>1.1936577899967625E-3</v>
      </c>
      <c r="F5" s="431" t="s">
        <v>204</v>
      </c>
      <c r="G5" s="418">
        <f>SUM(G6:G11)</f>
        <v>0.22604346988233104</v>
      </c>
      <c r="H5" s="418">
        <f>SUM(H6:H11)</f>
        <v>4.7853564350649816E-2</v>
      </c>
      <c r="I5" s="433" t="s">
        <v>204</v>
      </c>
      <c r="J5" s="433" t="s">
        <v>204</v>
      </c>
      <c r="K5" s="433" t="s">
        <v>204</v>
      </c>
      <c r="L5" s="433" t="s">
        <v>204</v>
      </c>
      <c r="M5" s="418">
        <f>SUM(M6:M11)</f>
        <v>1.2249914696232185E-2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3.5655150119365211E-6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4.1353487714233937E-6</v>
      </c>
      <c r="E6" s="421">
        <f>vkm_GW_PW*SUMIFS(TableVerdeelsleutelVkm[LPG],TableVerdeelsleutelVkm[Voertuigtype],"Lichte voertuigen")*SUMIFS(TableECFTransport[EnergieConsumptieFactor (PJ per km)],TableECFTransport[Index],CONCATENATE($A6,"_LPG_LPG"))</f>
        <v>2.6766592827106423E-4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4.2203353972654775E-2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1.0671679202903756E-2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2.3666900195348263E-3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1.2871140705607442E-7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2.1291560183104165E-2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6.6355078318805462E-7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9.4740919552780626E-4</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8.0082378184526853E-6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1.5137719646751891E-5</v>
      </c>
      <c r="E8" s="421">
        <f>vkm_NGW_PW*SUMIFS(TableVerdeelsleutelVkm[LPG],TableVerdeelsleutelVkm[Voertuigtype],"Lichte voertuigen")*SUMIFS(TableECFTransport[EnergieConsumptieFactor (PJ per km)],TableECFTransport[Index],CONCATENATE($A8,"_LPG_LPG"))</f>
        <v>9.2599186172569832E-4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0.13805163852626678</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3.718050299311991E-2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7.8457797729167399E-3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1.1548244256185459E-7</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2.4496917200305321E-2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7.1860384295644033E-7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1.0900357082528121E-3</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3.2827629666686486</v>
      </c>
      <c r="C14" s="22"/>
      <c r="D14" s="22">
        <f t="shared" ref="D14:M14" si="0">((D5)*10^9/3600)+D12</f>
        <v>5.3536301161598008</v>
      </c>
      <c r="E14" s="22">
        <f t="shared" si="0"/>
        <v>331.57160833243404</v>
      </c>
      <c r="F14" s="22"/>
      <c r="G14" s="22">
        <f t="shared" si="0"/>
        <v>62789.852745091957</v>
      </c>
      <c r="H14" s="22">
        <f t="shared" si="0"/>
        <v>13292.656764069394</v>
      </c>
      <c r="I14" s="22"/>
      <c r="J14" s="22"/>
      <c r="K14" s="22"/>
      <c r="L14" s="22"/>
      <c r="M14" s="22">
        <f t="shared" si="0"/>
        <v>3402.7540822867181</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0.21078166354479022</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0.69194623913764852</v>
      </c>
      <c r="C18" s="24"/>
      <c r="D18" s="24">
        <f t="shared" ref="D18:M18" si="1">D14*D16</f>
        <v>1.0814332834642799</v>
      </c>
      <c r="E18" s="24">
        <f t="shared" si="1"/>
        <v>75.266755091462528</v>
      </c>
      <c r="F18" s="24"/>
      <c r="G18" s="24">
        <f t="shared" si="1"/>
        <v>16764.890682939553</v>
      </c>
      <c r="H18" s="24">
        <f t="shared" si="1"/>
        <v>3309.8715342532792</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8.3435427383470841E-6</v>
      </c>
      <c r="C50" s="316">
        <f t="shared" ref="C50:P50" si="2">SUM(C51:C52)</f>
        <v>0</v>
      </c>
      <c r="D50" s="316">
        <f t="shared" si="2"/>
        <v>0</v>
      </c>
      <c r="E50" s="316">
        <f t="shared" si="2"/>
        <v>0</v>
      </c>
      <c r="F50" s="316">
        <f t="shared" si="2"/>
        <v>0</v>
      </c>
      <c r="G50" s="316">
        <f t="shared" si="2"/>
        <v>1.664136095096212E-3</v>
      </c>
      <c r="H50" s="316">
        <f t="shared" si="2"/>
        <v>0</v>
      </c>
      <c r="I50" s="316">
        <f t="shared" si="2"/>
        <v>0</v>
      </c>
      <c r="J50" s="316">
        <f t="shared" si="2"/>
        <v>0</v>
      </c>
      <c r="K50" s="316">
        <f t="shared" si="2"/>
        <v>0</v>
      </c>
      <c r="L50" s="316">
        <f t="shared" si="2"/>
        <v>0</v>
      </c>
      <c r="M50" s="316">
        <f t="shared" si="2"/>
        <v>7.3553043026877395E-5</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8.3435427383470841E-6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1.664136095096212E-3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7.3553043026877395E-5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2.3176507606519676</v>
      </c>
      <c r="C54" s="22">
        <f t="shared" ref="C54:P54" si="3">(C50)*10^9/3600</f>
        <v>0</v>
      </c>
      <c r="D54" s="22">
        <f t="shared" si="3"/>
        <v>0</v>
      </c>
      <c r="E54" s="22">
        <f t="shared" si="3"/>
        <v>0</v>
      </c>
      <c r="F54" s="22">
        <f t="shared" si="3"/>
        <v>0</v>
      </c>
      <c r="G54" s="22">
        <f t="shared" si="3"/>
        <v>462.26002641561445</v>
      </c>
      <c r="H54" s="22">
        <f t="shared" si="3"/>
        <v>0</v>
      </c>
      <c r="I54" s="22">
        <f t="shared" si="3"/>
        <v>0</v>
      </c>
      <c r="J54" s="22">
        <f t="shared" si="3"/>
        <v>0</v>
      </c>
      <c r="K54" s="22">
        <f t="shared" si="3"/>
        <v>0</v>
      </c>
      <c r="L54" s="22">
        <f t="shared" si="3"/>
        <v>0</v>
      </c>
      <c r="M54" s="22">
        <f t="shared" si="3"/>
        <v>20.431400840799277</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0.21078166354479022</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0.48851828284607018</v>
      </c>
      <c r="C58" s="24">
        <f t="shared" ref="C58:P58" ca="1" si="4">C54*C56</f>
        <v>0</v>
      </c>
      <c r="D58" s="24">
        <f t="shared" si="4"/>
        <v>0</v>
      </c>
      <c r="E58" s="24">
        <f t="shared" si="4"/>
        <v>0</v>
      </c>
      <c r="F58" s="24">
        <f t="shared" si="4"/>
        <v>0</v>
      </c>
      <c r="G58" s="24">
        <f t="shared" si="4"/>
        <v>123.42342705296906</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5369.1974480322533</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5369.1974480322533</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28788.125132269437</v>
      </c>
      <c r="D10" s="639">
        <f ca="1">tertiair!C16</f>
        <v>0</v>
      </c>
      <c r="E10" s="639">
        <f ca="1">tertiair!D16</f>
        <v>15312.973502420498</v>
      </c>
      <c r="F10" s="639">
        <f>tertiair!E16</f>
        <v>248.62614215379426</v>
      </c>
      <c r="G10" s="639">
        <f ca="1">tertiair!F16</f>
        <v>6343.4101868157823</v>
      </c>
      <c r="H10" s="639">
        <f>tertiair!G16</f>
        <v>0</v>
      </c>
      <c r="I10" s="639">
        <f>tertiair!H16</f>
        <v>0</v>
      </c>
      <c r="J10" s="639">
        <f>tertiair!I16</f>
        <v>0</v>
      </c>
      <c r="K10" s="639">
        <f>tertiair!J16</f>
        <v>0</v>
      </c>
      <c r="L10" s="639">
        <f>tertiair!K16</f>
        <v>0</v>
      </c>
      <c r="M10" s="639">
        <f ca="1">tertiair!L16</f>
        <v>0</v>
      </c>
      <c r="N10" s="639">
        <f>tertiair!M16</f>
        <v>0</v>
      </c>
      <c r="O10" s="639">
        <f ca="1">tertiair!N16</f>
        <v>5786.089844123172</v>
      </c>
      <c r="P10" s="639">
        <f>tertiair!O16</f>
        <v>1.5633333333333335</v>
      </c>
      <c r="Q10" s="640">
        <f>tertiair!P16</f>
        <v>95.333333333333343</v>
      </c>
      <c r="R10" s="642">
        <f ca="1">SUM(C10:Q10)</f>
        <v>56576.121474449348</v>
      </c>
      <c r="S10" s="68"/>
    </row>
    <row r="11" spans="1:19" s="443" customFormat="1">
      <c r="A11" s="753" t="s">
        <v>214</v>
      </c>
      <c r="B11" s="758"/>
      <c r="C11" s="639">
        <f>huishoudens!B8</f>
        <v>28148.981670416193</v>
      </c>
      <c r="D11" s="639">
        <f>huishoudens!C8</f>
        <v>0</v>
      </c>
      <c r="E11" s="639">
        <f>huishoudens!D8</f>
        <v>50943.108132044777</v>
      </c>
      <c r="F11" s="639">
        <f>huishoudens!E8</f>
        <v>1487.9110016222583</v>
      </c>
      <c r="G11" s="639">
        <f>huishoudens!F8</f>
        <v>45362.08659360915</v>
      </c>
      <c r="H11" s="639">
        <f>huishoudens!G8</f>
        <v>0</v>
      </c>
      <c r="I11" s="639">
        <f>huishoudens!H8</f>
        <v>0</v>
      </c>
      <c r="J11" s="639">
        <f>huishoudens!I8</f>
        <v>0</v>
      </c>
      <c r="K11" s="639">
        <f>huishoudens!J8</f>
        <v>823.07925501094496</v>
      </c>
      <c r="L11" s="639">
        <f>huishoudens!K8</f>
        <v>0</v>
      </c>
      <c r="M11" s="639">
        <f>huishoudens!L8</f>
        <v>0</v>
      </c>
      <c r="N11" s="639">
        <f>huishoudens!M8</f>
        <v>0</v>
      </c>
      <c r="O11" s="639">
        <f>huishoudens!N8</f>
        <v>8587.5464165723024</v>
      </c>
      <c r="P11" s="639">
        <f>huishoudens!O8</f>
        <v>112.56000000000002</v>
      </c>
      <c r="Q11" s="640">
        <f>huishoudens!P8</f>
        <v>266.93333333333334</v>
      </c>
      <c r="R11" s="642">
        <f>SUM(C11:Q11)</f>
        <v>135732.20640260895</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57612.675720441606</v>
      </c>
      <c r="D13" s="639">
        <f>industrie!C18</f>
        <v>0</v>
      </c>
      <c r="E13" s="639">
        <f>industrie!D18</f>
        <v>27181.002345439898</v>
      </c>
      <c r="F13" s="639">
        <f>industrie!E18</f>
        <v>491.58431836517747</v>
      </c>
      <c r="G13" s="639">
        <f>industrie!F18</f>
        <v>10333.702209757348</v>
      </c>
      <c r="H13" s="639">
        <f>industrie!G18</f>
        <v>0</v>
      </c>
      <c r="I13" s="639">
        <f>industrie!H18</f>
        <v>0</v>
      </c>
      <c r="J13" s="639">
        <f>industrie!I18</f>
        <v>0</v>
      </c>
      <c r="K13" s="639">
        <f>industrie!J18</f>
        <v>220.41220652114066</v>
      </c>
      <c r="L13" s="639">
        <f>industrie!K18</f>
        <v>0</v>
      </c>
      <c r="M13" s="639">
        <f>industrie!L18</f>
        <v>0</v>
      </c>
      <c r="N13" s="639">
        <f>industrie!M18</f>
        <v>0</v>
      </c>
      <c r="O13" s="639">
        <f>industrie!N18</f>
        <v>1578.8751535753856</v>
      </c>
      <c r="P13" s="639">
        <f>industrie!O18</f>
        <v>0</v>
      </c>
      <c r="Q13" s="640">
        <f>industrie!P18</f>
        <v>0</v>
      </c>
      <c r="R13" s="642">
        <f>SUM(C13:Q13)</f>
        <v>97418.25195410056</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114549.78252312724</v>
      </c>
      <c r="D16" s="672">
        <f t="shared" ref="D16:R16" ca="1" si="0">SUM(D9:D15)</f>
        <v>0</v>
      </c>
      <c r="E16" s="672">
        <f t="shared" ca="1" si="0"/>
        <v>93437.083979905176</v>
      </c>
      <c r="F16" s="672">
        <f t="shared" si="0"/>
        <v>2228.12146214123</v>
      </c>
      <c r="G16" s="672">
        <f t="shared" ca="1" si="0"/>
        <v>62039.198990182282</v>
      </c>
      <c r="H16" s="672">
        <f t="shared" si="0"/>
        <v>0</v>
      </c>
      <c r="I16" s="672">
        <f t="shared" si="0"/>
        <v>0</v>
      </c>
      <c r="J16" s="672">
        <f t="shared" si="0"/>
        <v>0</v>
      </c>
      <c r="K16" s="672">
        <f t="shared" si="0"/>
        <v>1043.4914615320856</v>
      </c>
      <c r="L16" s="672">
        <f t="shared" si="0"/>
        <v>0</v>
      </c>
      <c r="M16" s="672">
        <f t="shared" ca="1" si="0"/>
        <v>0</v>
      </c>
      <c r="N16" s="672">
        <f t="shared" si="0"/>
        <v>0</v>
      </c>
      <c r="O16" s="672">
        <f t="shared" ca="1" si="0"/>
        <v>15952.511414270861</v>
      </c>
      <c r="P16" s="672">
        <f t="shared" si="0"/>
        <v>114.12333333333335</v>
      </c>
      <c r="Q16" s="672">
        <f t="shared" si="0"/>
        <v>362.26666666666665</v>
      </c>
      <c r="R16" s="672">
        <f t="shared" ca="1" si="0"/>
        <v>289726.57983115886</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2.3176507606519676</v>
      </c>
      <c r="D19" s="639">
        <f>transport!C54</f>
        <v>0</v>
      </c>
      <c r="E19" s="639">
        <f>transport!D54</f>
        <v>0</v>
      </c>
      <c r="F19" s="639">
        <f>transport!E54</f>
        <v>0</v>
      </c>
      <c r="G19" s="639">
        <f>transport!F54</f>
        <v>0</v>
      </c>
      <c r="H19" s="639">
        <f>transport!G54</f>
        <v>462.26002641561445</v>
      </c>
      <c r="I19" s="639">
        <f>transport!H54</f>
        <v>0</v>
      </c>
      <c r="J19" s="639">
        <f>transport!I54</f>
        <v>0</v>
      </c>
      <c r="K19" s="639">
        <f>transport!J54</f>
        <v>0</v>
      </c>
      <c r="L19" s="639">
        <f>transport!K54</f>
        <v>0</v>
      </c>
      <c r="M19" s="639">
        <f>transport!L54</f>
        <v>0</v>
      </c>
      <c r="N19" s="639">
        <f>transport!M54</f>
        <v>20.431400840799277</v>
      </c>
      <c r="O19" s="639">
        <f>transport!N54</f>
        <v>0</v>
      </c>
      <c r="P19" s="639">
        <f>transport!O54</f>
        <v>0</v>
      </c>
      <c r="Q19" s="640">
        <f>transport!P54</f>
        <v>0</v>
      </c>
      <c r="R19" s="642">
        <f>SUM(C19:Q19)</f>
        <v>485.00907801706569</v>
      </c>
      <c r="S19" s="68"/>
    </row>
    <row r="20" spans="1:19" s="443" customFormat="1">
      <c r="A20" s="753" t="s">
        <v>296</v>
      </c>
      <c r="B20" s="758"/>
      <c r="C20" s="639">
        <f>transport!B14</f>
        <v>3.2827629666686486</v>
      </c>
      <c r="D20" s="639">
        <f>transport!C14</f>
        <v>0</v>
      </c>
      <c r="E20" s="639">
        <f>transport!D14</f>
        <v>5.3536301161598008</v>
      </c>
      <c r="F20" s="639">
        <f>transport!E14</f>
        <v>331.57160833243404</v>
      </c>
      <c r="G20" s="639">
        <f>transport!F14</f>
        <v>0</v>
      </c>
      <c r="H20" s="639">
        <f>transport!G14</f>
        <v>62789.852745091957</v>
      </c>
      <c r="I20" s="639">
        <f>transport!H14</f>
        <v>13292.656764069394</v>
      </c>
      <c r="J20" s="639">
        <f>transport!I14</f>
        <v>0</v>
      </c>
      <c r="K20" s="639">
        <f>transport!J14</f>
        <v>0</v>
      </c>
      <c r="L20" s="639">
        <f>transport!K14</f>
        <v>0</v>
      </c>
      <c r="M20" s="639">
        <f>transport!L14</f>
        <v>0</v>
      </c>
      <c r="N20" s="639">
        <f>transport!M14</f>
        <v>3402.7540822867181</v>
      </c>
      <c r="O20" s="639">
        <f>transport!N14</f>
        <v>0</v>
      </c>
      <c r="P20" s="639">
        <f>transport!O14</f>
        <v>0</v>
      </c>
      <c r="Q20" s="640">
        <f>transport!P14</f>
        <v>0</v>
      </c>
      <c r="R20" s="642">
        <f>SUM(C20:Q20)</f>
        <v>79825.471592863323</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5.6004137273206158</v>
      </c>
      <c r="D22" s="756">
        <f t="shared" ref="D22:R22" si="1">SUM(D18:D21)</f>
        <v>0</v>
      </c>
      <c r="E22" s="756">
        <f t="shared" si="1"/>
        <v>5.3536301161598008</v>
      </c>
      <c r="F22" s="756">
        <f t="shared" si="1"/>
        <v>331.57160833243404</v>
      </c>
      <c r="G22" s="756">
        <f t="shared" si="1"/>
        <v>0</v>
      </c>
      <c r="H22" s="756">
        <f t="shared" si="1"/>
        <v>63252.112771507571</v>
      </c>
      <c r="I22" s="756">
        <f t="shared" si="1"/>
        <v>13292.656764069394</v>
      </c>
      <c r="J22" s="756">
        <f t="shared" si="1"/>
        <v>0</v>
      </c>
      <c r="K22" s="756">
        <f t="shared" si="1"/>
        <v>0</v>
      </c>
      <c r="L22" s="756">
        <f t="shared" si="1"/>
        <v>0</v>
      </c>
      <c r="M22" s="756">
        <f t="shared" si="1"/>
        <v>0</v>
      </c>
      <c r="N22" s="756">
        <f t="shared" si="1"/>
        <v>3423.1854831275173</v>
      </c>
      <c r="O22" s="756">
        <f t="shared" si="1"/>
        <v>0</v>
      </c>
      <c r="P22" s="756">
        <f t="shared" si="1"/>
        <v>0</v>
      </c>
      <c r="Q22" s="756">
        <f t="shared" si="1"/>
        <v>0</v>
      </c>
      <c r="R22" s="756">
        <f t="shared" si="1"/>
        <v>80310.480670880395</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804.31717793432176</v>
      </c>
      <c r="D24" s="639">
        <f>+landbouw!C8</f>
        <v>0</v>
      </c>
      <c r="E24" s="639">
        <f>+landbouw!D8</f>
        <v>357.79573358566341</v>
      </c>
      <c r="F24" s="639">
        <f>+landbouw!E8</f>
        <v>7.942778524589138</v>
      </c>
      <c r="G24" s="639">
        <f>+landbouw!F8</f>
        <v>2683.4149262806582</v>
      </c>
      <c r="H24" s="639">
        <f>+landbouw!G8</f>
        <v>0</v>
      </c>
      <c r="I24" s="639">
        <f>+landbouw!H8</f>
        <v>0</v>
      </c>
      <c r="J24" s="639">
        <f>+landbouw!I8</f>
        <v>0</v>
      </c>
      <c r="K24" s="639">
        <f>+landbouw!J8</f>
        <v>80.2464415993811</v>
      </c>
      <c r="L24" s="639">
        <f>+landbouw!K8</f>
        <v>0</v>
      </c>
      <c r="M24" s="639">
        <f>+landbouw!L8</f>
        <v>0</v>
      </c>
      <c r="N24" s="639">
        <f>+landbouw!M8</f>
        <v>0</v>
      </c>
      <c r="O24" s="639">
        <f>+landbouw!N8</f>
        <v>0</v>
      </c>
      <c r="P24" s="639">
        <f>+landbouw!O8</f>
        <v>0</v>
      </c>
      <c r="Q24" s="640">
        <f>+landbouw!P8</f>
        <v>0</v>
      </c>
      <c r="R24" s="642">
        <f>SUM(C24:Q24)</f>
        <v>3933.7170579246131</v>
      </c>
      <c r="S24" s="68"/>
    </row>
    <row r="25" spans="1:19" s="443" customFormat="1" ht="15" thickBot="1">
      <c r="A25" s="775" t="s">
        <v>847</v>
      </c>
      <c r="B25" s="941"/>
      <c r="C25" s="942">
        <f>IF(Onbekend_ele_kWh="---",0,Onbekend_ele_kWh)/1000+IF(REST_rest_ele_kWh="---",0,REST_rest_ele_kWh)/1000</f>
        <v>764.15636775520704</v>
      </c>
      <c r="D25" s="942"/>
      <c r="E25" s="942">
        <f>IF(onbekend_gas_kWh="---",0,onbekend_gas_kWh)/1000+IF(REST_rest_gas_kWh="---",0,REST_rest_gas_kWh)/1000</f>
        <v>1773.18855012177</v>
      </c>
      <c r="F25" s="942"/>
      <c r="G25" s="942"/>
      <c r="H25" s="942"/>
      <c r="I25" s="942"/>
      <c r="J25" s="942"/>
      <c r="K25" s="942"/>
      <c r="L25" s="942"/>
      <c r="M25" s="942"/>
      <c r="N25" s="942"/>
      <c r="O25" s="942"/>
      <c r="P25" s="942"/>
      <c r="Q25" s="943"/>
      <c r="R25" s="642">
        <f>SUM(C25:Q25)</f>
        <v>2537.344917876977</v>
      </c>
      <c r="S25" s="68"/>
    </row>
    <row r="26" spans="1:19" s="443" customFormat="1" ht="15.75" thickBot="1">
      <c r="A26" s="645" t="s">
        <v>848</v>
      </c>
      <c r="B26" s="761"/>
      <c r="C26" s="756">
        <f>SUM(C24:C25)</f>
        <v>1568.4735456895287</v>
      </c>
      <c r="D26" s="756">
        <f t="shared" ref="D26:R26" si="2">SUM(D24:D25)</f>
        <v>0</v>
      </c>
      <c r="E26" s="756">
        <f t="shared" si="2"/>
        <v>2130.9842837074334</v>
      </c>
      <c r="F26" s="756">
        <f t="shared" si="2"/>
        <v>7.942778524589138</v>
      </c>
      <c r="G26" s="756">
        <f t="shared" si="2"/>
        <v>2683.4149262806582</v>
      </c>
      <c r="H26" s="756">
        <f t="shared" si="2"/>
        <v>0</v>
      </c>
      <c r="I26" s="756">
        <f t="shared" si="2"/>
        <v>0</v>
      </c>
      <c r="J26" s="756">
        <f t="shared" si="2"/>
        <v>0</v>
      </c>
      <c r="K26" s="756">
        <f t="shared" si="2"/>
        <v>80.2464415993811</v>
      </c>
      <c r="L26" s="756">
        <f t="shared" si="2"/>
        <v>0</v>
      </c>
      <c r="M26" s="756">
        <f t="shared" si="2"/>
        <v>0</v>
      </c>
      <c r="N26" s="756">
        <f t="shared" si="2"/>
        <v>0</v>
      </c>
      <c r="O26" s="756">
        <f t="shared" si="2"/>
        <v>0</v>
      </c>
      <c r="P26" s="756">
        <f t="shared" si="2"/>
        <v>0</v>
      </c>
      <c r="Q26" s="756">
        <f t="shared" si="2"/>
        <v>0</v>
      </c>
      <c r="R26" s="756">
        <f t="shared" si="2"/>
        <v>6471.0619758015901</v>
      </c>
      <c r="S26" s="68"/>
    </row>
    <row r="27" spans="1:19" s="443" customFormat="1" ht="17.25" thickTop="1" thickBot="1">
      <c r="A27" s="646" t="s">
        <v>109</v>
      </c>
      <c r="B27" s="748"/>
      <c r="C27" s="647">
        <f ca="1">C22+C16+C26</f>
        <v>116123.8564825441</v>
      </c>
      <c r="D27" s="647">
        <f t="shared" ref="D27:R27" ca="1" si="3">D22+D16+D26</f>
        <v>0</v>
      </c>
      <c r="E27" s="647">
        <f t="shared" ca="1" si="3"/>
        <v>95573.421893728781</v>
      </c>
      <c r="F27" s="647">
        <f t="shared" si="3"/>
        <v>2567.6358489982536</v>
      </c>
      <c r="G27" s="647">
        <f t="shared" ca="1" si="3"/>
        <v>64722.613916462942</v>
      </c>
      <c r="H27" s="647">
        <f t="shared" si="3"/>
        <v>63252.112771507571</v>
      </c>
      <c r="I27" s="647">
        <f t="shared" si="3"/>
        <v>13292.656764069394</v>
      </c>
      <c r="J27" s="647">
        <f t="shared" si="3"/>
        <v>0</v>
      </c>
      <c r="K27" s="647">
        <f t="shared" si="3"/>
        <v>1123.7379031314667</v>
      </c>
      <c r="L27" s="647">
        <f t="shared" si="3"/>
        <v>0</v>
      </c>
      <c r="M27" s="647">
        <f t="shared" ca="1" si="3"/>
        <v>0</v>
      </c>
      <c r="N27" s="647">
        <f t="shared" si="3"/>
        <v>3423.1854831275173</v>
      </c>
      <c r="O27" s="647">
        <f t="shared" ca="1" si="3"/>
        <v>15952.511414270861</v>
      </c>
      <c r="P27" s="647">
        <f t="shared" si="3"/>
        <v>114.12333333333335</v>
      </c>
      <c r="Q27" s="647">
        <f t="shared" si="3"/>
        <v>362.26666666666665</v>
      </c>
      <c r="R27" s="647">
        <f t="shared" ca="1" si="3"/>
        <v>376508.12247784087</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6068.0089057153355</v>
      </c>
      <c r="D40" s="639">
        <f ca="1">tertiair!C20</f>
        <v>0</v>
      </c>
      <c r="E40" s="639">
        <f ca="1">tertiair!D20</f>
        <v>3093.2206474889408</v>
      </c>
      <c r="F40" s="639">
        <f>tertiair!E20</f>
        <v>56.438134268911298</v>
      </c>
      <c r="G40" s="639">
        <f ca="1">tertiair!F20</f>
        <v>1693.690519879814</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10911.358207353003</v>
      </c>
    </row>
    <row r="41" spans="1:18">
      <c r="A41" s="766" t="s">
        <v>214</v>
      </c>
      <c r="B41" s="773"/>
      <c r="C41" s="639">
        <f ca="1">huishoudens!B12</f>
        <v>5933.2891835821329</v>
      </c>
      <c r="D41" s="639">
        <f ca="1">huishoudens!C12</f>
        <v>0</v>
      </c>
      <c r="E41" s="639">
        <f>huishoudens!D12</f>
        <v>10290.507842673045</v>
      </c>
      <c r="F41" s="639">
        <f>huishoudens!E12</f>
        <v>337.75579736825262</v>
      </c>
      <c r="G41" s="639">
        <f>huishoudens!F12</f>
        <v>12111.677120493643</v>
      </c>
      <c r="H41" s="639">
        <f>huishoudens!G12</f>
        <v>0</v>
      </c>
      <c r="I41" s="639">
        <f>huishoudens!H12</f>
        <v>0</v>
      </c>
      <c r="J41" s="639">
        <f>huishoudens!I12</f>
        <v>0</v>
      </c>
      <c r="K41" s="639">
        <f>huishoudens!J12</f>
        <v>291.37005627387452</v>
      </c>
      <c r="L41" s="639">
        <f>huishoudens!K12</f>
        <v>0</v>
      </c>
      <c r="M41" s="639">
        <f>huishoudens!L12</f>
        <v>0</v>
      </c>
      <c r="N41" s="639">
        <f>huishoudens!M12</f>
        <v>0</v>
      </c>
      <c r="O41" s="639">
        <f>huishoudens!N12</f>
        <v>0</v>
      </c>
      <c r="P41" s="639">
        <f>huishoudens!O12</f>
        <v>0</v>
      </c>
      <c r="Q41" s="714">
        <f>huishoudens!P12</f>
        <v>0</v>
      </c>
      <c r="R41" s="794">
        <f t="shared" ca="1" si="4"/>
        <v>28964.60000039095</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12143.695629621227</v>
      </c>
      <c r="D43" s="639">
        <f ca="1">industrie!C22</f>
        <v>0</v>
      </c>
      <c r="E43" s="639">
        <f>industrie!D22</f>
        <v>5490.5624737788594</v>
      </c>
      <c r="F43" s="639">
        <f>industrie!E22</f>
        <v>111.58964026889529</v>
      </c>
      <c r="G43" s="639">
        <f>industrie!F22</f>
        <v>2759.0984900052122</v>
      </c>
      <c r="H43" s="639">
        <f>industrie!G22</f>
        <v>0</v>
      </c>
      <c r="I43" s="639">
        <f>industrie!H22</f>
        <v>0</v>
      </c>
      <c r="J43" s="639">
        <f>industrie!I22</f>
        <v>0</v>
      </c>
      <c r="K43" s="639">
        <f>industrie!J22</f>
        <v>78.025921108483786</v>
      </c>
      <c r="L43" s="639">
        <f>industrie!K22</f>
        <v>0</v>
      </c>
      <c r="M43" s="639">
        <f>industrie!L22</f>
        <v>0</v>
      </c>
      <c r="N43" s="639">
        <f>industrie!M22</f>
        <v>0</v>
      </c>
      <c r="O43" s="639">
        <f>industrie!N22</f>
        <v>0</v>
      </c>
      <c r="P43" s="639">
        <f>industrie!O22</f>
        <v>0</v>
      </c>
      <c r="Q43" s="714">
        <f>industrie!P22</f>
        <v>0</v>
      </c>
      <c r="R43" s="793">
        <f t="shared" ca="1" si="4"/>
        <v>20582.972154782681</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24144.993718918697</v>
      </c>
      <c r="D46" s="672">
        <f t="shared" ref="D46:Q46" ca="1" si="5">SUM(D39:D45)</f>
        <v>0</v>
      </c>
      <c r="E46" s="672">
        <f t="shared" ca="1" si="5"/>
        <v>18874.290963940846</v>
      </c>
      <c r="F46" s="672">
        <f t="shared" si="5"/>
        <v>505.78357190605925</v>
      </c>
      <c r="G46" s="672">
        <f t="shared" ca="1" si="5"/>
        <v>16564.466130378671</v>
      </c>
      <c r="H46" s="672">
        <f t="shared" si="5"/>
        <v>0</v>
      </c>
      <c r="I46" s="672">
        <f t="shared" si="5"/>
        <v>0</v>
      </c>
      <c r="J46" s="672">
        <f t="shared" si="5"/>
        <v>0</v>
      </c>
      <c r="K46" s="672">
        <f t="shared" si="5"/>
        <v>369.3959773823583</v>
      </c>
      <c r="L46" s="672">
        <f t="shared" si="5"/>
        <v>0</v>
      </c>
      <c r="M46" s="672">
        <f t="shared" ca="1" si="5"/>
        <v>0</v>
      </c>
      <c r="N46" s="672">
        <f t="shared" si="5"/>
        <v>0</v>
      </c>
      <c r="O46" s="672">
        <f t="shared" ca="1" si="5"/>
        <v>0</v>
      </c>
      <c r="P46" s="672">
        <f t="shared" si="5"/>
        <v>0</v>
      </c>
      <c r="Q46" s="672">
        <f t="shared" si="5"/>
        <v>0</v>
      </c>
      <c r="R46" s="672">
        <f ca="1">SUM(R39:R45)</f>
        <v>60458.930362526633</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0.48851828284607018</v>
      </c>
      <c r="D49" s="639">
        <f ca="1">transport!C58</f>
        <v>0</v>
      </c>
      <c r="E49" s="639">
        <f>transport!D58</f>
        <v>0</v>
      </c>
      <c r="F49" s="639">
        <f>transport!E58</f>
        <v>0</v>
      </c>
      <c r="G49" s="639">
        <f>transport!F58</f>
        <v>0</v>
      </c>
      <c r="H49" s="639">
        <f>transport!G58</f>
        <v>123.42342705296906</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123.91194533581513</v>
      </c>
    </row>
    <row r="50" spans="1:18">
      <c r="A50" s="769" t="s">
        <v>296</v>
      </c>
      <c r="B50" s="779"/>
      <c r="C50" s="948">
        <f ca="1">transport!B18</f>
        <v>0.69194623913764852</v>
      </c>
      <c r="D50" s="948">
        <f>transport!C18</f>
        <v>0</v>
      </c>
      <c r="E50" s="948">
        <f>transport!D18</f>
        <v>1.0814332834642799</v>
      </c>
      <c r="F50" s="948">
        <f>transport!E18</f>
        <v>75.266755091462528</v>
      </c>
      <c r="G50" s="948">
        <f>transport!F18</f>
        <v>0</v>
      </c>
      <c r="H50" s="948">
        <f>transport!G18</f>
        <v>16764.890682939553</v>
      </c>
      <c r="I50" s="948">
        <f>transport!H18</f>
        <v>3309.8715342532792</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20151.802351806895</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1.1804645219837187</v>
      </c>
      <c r="D52" s="672">
        <f t="shared" ref="D52:Q52" ca="1" si="6">SUM(D48:D51)</f>
        <v>0</v>
      </c>
      <c r="E52" s="672">
        <f t="shared" si="6"/>
        <v>1.0814332834642799</v>
      </c>
      <c r="F52" s="672">
        <f t="shared" si="6"/>
        <v>75.266755091462528</v>
      </c>
      <c r="G52" s="672">
        <f t="shared" si="6"/>
        <v>0</v>
      </c>
      <c r="H52" s="672">
        <f t="shared" si="6"/>
        <v>16888.314109992523</v>
      </c>
      <c r="I52" s="672">
        <f t="shared" si="6"/>
        <v>3309.8715342532792</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20275.714297142709</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169.53531278264737</v>
      </c>
      <c r="D54" s="948">
        <f ca="1">+landbouw!C12</f>
        <v>0</v>
      </c>
      <c r="E54" s="948">
        <f>+landbouw!D12</f>
        <v>72.274738184304013</v>
      </c>
      <c r="F54" s="948">
        <f>+landbouw!E12</f>
        <v>1.8030107250817344</v>
      </c>
      <c r="G54" s="948">
        <f>+landbouw!F12</f>
        <v>716.47178531693578</v>
      </c>
      <c r="H54" s="948">
        <f>+landbouw!G12</f>
        <v>0</v>
      </c>
      <c r="I54" s="948">
        <f>+landbouw!H12</f>
        <v>0</v>
      </c>
      <c r="J54" s="948">
        <f>+landbouw!I12</f>
        <v>0</v>
      </c>
      <c r="K54" s="948">
        <f>+landbouw!J12</f>
        <v>28.407240326180908</v>
      </c>
      <c r="L54" s="948">
        <f>+landbouw!K12</f>
        <v>0</v>
      </c>
      <c r="M54" s="948">
        <f>+landbouw!L12</f>
        <v>0</v>
      </c>
      <c r="N54" s="948">
        <f>+landbouw!M12</f>
        <v>0</v>
      </c>
      <c r="O54" s="948">
        <f>+landbouw!N12</f>
        <v>0</v>
      </c>
      <c r="P54" s="948">
        <f>+landbouw!O12</f>
        <v>0</v>
      </c>
      <c r="Q54" s="949">
        <f>+landbouw!P12</f>
        <v>0</v>
      </c>
      <c r="R54" s="671">
        <f ca="1">SUM(C54:Q54)</f>
        <v>988.4920873351499</v>
      </c>
    </row>
    <row r="55" spans="1:18" ht="15" thickBot="1">
      <c r="A55" s="769" t="s">
        <v>847</v>
      </c>
      <c r="B55" s="779"/>
      <c r="C55" s="948">
        <f ca="1">C25*'EF ele_warmte'!B12</f>
        <v>161.07015040378704</v>
      </c>
      <c r="D55" s="948"/>
      <c r="E55" s="948">
        <f>E25*EF_CO2_aardgas</f>
        <v>358.18408712459757</v>
      </c>
      <c r="F55" s="948"/>
      <c r="G55" s="948"/>
      <c r="H55" s="948"/>
      <c r="I55" s="948"/>
      <c r="J55" s="948"/>
      <c r="K55" s="948"/>
      <c r="L55" s="948"/>
      <c r="M55" s="948"/>
      <c r="N55" s="948"/>
      <c r="O55" s="948"/>
      <c r="P55" s="948"/>
      <c r="Q55" s="949"/>
      <c r="R55" s="671">
        <f ca="1">SUM(C55:Q55)</f>
        <v>519.25423752838458</v>
      </c>
    </row>
    <row r="56" spans="1:18" ht="15.75" thickBot="1">
      <c r="A56" s="767" t="s">
        <v>848</v>
      </c>
      <c r="B56" s="780"/>
      <c r="C56" s="672">
        <f ca="1">SUM(C54:C55)</f>
        <v>330.60546318643441</v>
      </c>
      <c r="D56" s="672">
        <f t="shared" ref="D56:Q56" ca="1" si="7">SUM(D54:D55)</f>
        <v>0</v>
      </c>
      <c r="E56" s="672">
        <f t="shared" si="7"/>
        <v>430.45882530890157</v>
      </c>
      <c r="F56" s="672">
        <f t="shared" si="7"/>
        <v>1.8030107250817344</v>
      </c>
      <c r="G56" s="672">
        <f t="shared" si="7"/>
        <v>716.47178531693578</v>
      </c>
      <c r="H56" s="672">
        <f t="shared" si="7"/>
        <v>0</v>
      </c>
      <c r="I56" s="672">
        <f t="shared" si="7"/>
        <v>0</v>
      </c>
      <c r="J56" s="672">
        <f t="shared" si="7"/>
        <v>0</v>
      </c>
      <c r="K56" s="672">
        <f t="shared" si="7"/>
        <v>28.407240326180908</v>
      </c>
      <c r="L56" s="672">
        <f t="shared" si="7"/>
        <v>0</v>
      </c>
      <c r="M56" s="672">
        <f t="shared" si="7"/>
        <v>0</v>
      </c>
      <c r="N56" s="672">
        <f t="shared" si="7"/>
        <v>0</v>
      </c>
      <c r="O56" s="672">
        <f t="shared" si="7"/>
        <v>0</v>
      </c>
      <c r="P56" s="672">
        <f t="shared" si="7"/>
        <v>0</v>
      </c>
      <c r="Q56" s="673">
        <f t="shared" si="7"/>
        <v>0</v>
      </c>
      <c r="R56" s="674">
        <f ca="1">SUM(R54:R55)</f>
        <v>1507.7463248635345</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24476.779646627117</v>
      </c>
      <c r="D61" s="680">
        <f t="shared" ref="D61:Q61" ca="1" si="8">D46+D52+D56</f>
        <v>0</v>
      </c>
      <c r="E61" s="680">
        <f t="shared" ca="1" si="8"/>
        <v>19305.831222533212</v>
      </c>
      <c r="F61" s="680">
        <f t="shared" si="8"/>
        <v>582.85333772260356</v>
      </c>
      <c r="G61" s="680">
        <f t="shared" ca="1" si="8"/>
        <v>17280.937915695606</v>
      </c>
      <c r="H61" s="680">
        <f t="shared" si="8"/>
        <v>16888.314109992523</v>
      </c>
      <c r="I61" s="680">
        <f t="shared" si="8"/>
        <v>3309.8715342532792</v>
      </c>
      <c r="J61" s="680">
        <f t="shared" si="8"/>
        <v>0</v>
      </c>
      <c r="K61" s="680">
        <f t="shared" si="8"/>
        <v>397.80321770853919</v>
      </c>
      <c r="L61" s="680">
        <f t="shared" si="8"/>
        <v>0</v>
      </c>
      <c r="M61" s="680">
        <f t="shared" ca="1" si="8"/>
        <v>0</v>
      </c>
      <c r="N61" s="680">
        <f t="shared" si="8"/>
        <v>0</v>
      </c>
      <c r="O61" s="680">
        <f t="shared" ca="1" si="8"/>
        <v>0</v>
      </c>
      <c r="P61" s="680">
        <f t="shared" si="8"/>
        <v>0</v>
      </c>
      <c r="Q61" s="680">
        <f t="shared" si="8"/>
        <v>0</v>
      </c>
      <c r="R61" s="680">
        <f ca="1">R46+R52+R56</f>
        <v>82242.390984532874</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0.21078166354479022</v>
      </c>
      <c r="D63" s="724">
        <f t="shared" ca="1" si="9"/>
        <v>0</v>
      </c>
      <c r="E63" s="950">
        <f t="shared" ca="1" si="9"/>
        <v>0.20199999999999999</v>
      </c>
      <c r="F63" s="724">
        <f t="shared" si="9"/>
        <v>0.22700000000000001</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5369.1974480322533</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5369.1974480322533</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28148.981670416193</v>
      </c>
      <c r="C4" s="447">
        <f>huishoudens!C8</f>
        <v>0</v>
      </c>
      <c r="D4" s="447">
        <f>huishoudens!D8</f>
        <v>50943.108132044777</v>
      </c>
      <c r="E4" s="447">
        <f>huishoudens!E8</f>
        <v>1487.9110016222583</v>
      </c>
      <c r="F4" s="447">
        <f>huishoudens!F8</f>
        <v>45362.08659360915</v>
      </c>
      <c r="G4" s="447">
        <f>huishoudens!G8</f>
        <v>0</v>
      </c>
      <c r="H4" s="447">
        <f>huishoudens!H8</f>
        <v>0</v>
      </c>
      <c r="I4" s="447">
        <f>huishoudens!I8</f>
        <v>0</v>
      </c>
      <c r="J4" s="447">
        <f>huishoudens!J8</f>
        <v>823.07925501094496</v>
      </c>
      <c r="K4" s="447">
        <f>huishoudens!K8</f>
        <v>0</v>
      </c>
      <c r="L4" s="447">
        <f>huishoudens!L8</f>
        <v>0</v>
      </c>
      <c r="M4" s="447">
        <f>huishoudens!M8</f>
        <v>0</v>
      </c>
      <c r="N4" s="447">
        <f>huishoudens!N8</f>
        <v>8587.5464165723024</v>
      </c>
      <c r="O4" s="447">
        <f>huishoudens!O8</f>
        <v>112.56000000000002</v>
      </c>
      <c r="P4" s="448">
        <f>huishoudens!P8</f>
        <v>266.93333333333334</v>
      </c>
      <c r="Q4" s="449">
        <f>SUM(B4:P4)</f>
        <v>135732.20640260895</v>
      </c>
    </row>
    <row r="5" spans="1:17">
      <c r="A5" s="446" t="s">
        <v>149</v>
      </c>
      <c r="B5" s="447">
        <f ca="1">tertiair!B16</f>
        <v>27869.314132269436</v>
      </c>
      <c r="C5" s="447">
        <f ca="1">tertiair!C16</f>
        <v>0</v>
      </c>
      <c r="D5" s="447">
        <f ca="1">tertiair!D16</f>
        <v>15312.973502420498</v>
      </c>
      <c r="E5" s="447">
        <f>tertiair!E16</f>
        <v>248.62614215379426</v>
      </c>
      <c r="F5" s="447">
        <f ca="1">tertiair!F16</f>
        <v>6343.4101868157823</v>
      </c>
      <c r="G5" s="447">
        <f>tertiair!G16</f>
        <v>0</v>
      </c>
      <c r="H5" s="447">
        <f>tertiair!H16</f>
        <v>0</v>
      </c>
      <c r="I5" s="447">
        <f>tertiair!I16</f>
        <v>0</v>
      </c>
      <c r="J5" s="447">
        <f>tertiair!J16</f>
        <v>0</v>
      </c>
      <c r="K5" s="447">
        <f>tertiair!K16</f>
        <v>0</v>
      </c>
      <c r="L5" s="447">
        <f ca="1">tertiair!L16</f>
        <v>0</v>
      </c>
      <c r="M5" s="447">
        <f>tertiair!M16</f>
        <v>0</v>
      </c>
      <c r="N5" s="447">
        <f ca="1">tertiair!N16</f>
        <v>5786.089844123172</v>
      </c>
      <c r="O5" s="447">
        <f>tertiair!O16</f>
        <v>1.5633333333333335</v>
      </c>
      <c r="P5" s="448">
        <f>tertiair!P16</f>
        <v>95.333333333333343</v>
      </c>
      <c r="Q5" s="446">
        <f t="shared" ref="Q5:Q14" ca="1" si="0">SUM(B5:P5)</f>
        <v>55657.310474449347</v>
      </c>
    </row>
    <row r="6" spans="1:17">
      <c r="A6" s="446" t="s">
        <v>187</v>
      </c>
      <c r="B6" s="447">
        <f>'openbare verlichting'!B8</f>
        <v>918.81100000000004</v>
      </c>
      <c r="C6" s="447"/>
      <c r="D6" s="447"/>
      <c r="E6" s="447"/>
      <c r="F6" s="447"/>
      <c r="G6" s="447"/>
      <c r="H6" s="447"/>
      <c r="I6" s="447"/>
      <c r="J6" s="447"/>
      <c r="K6" s="447"/>
      <c r="L6" s="447"/>
      <c r="M6" s="447"/>
      <c r="N6" s="447"/>
      <c r="O6" s="447"/>
      <c r="P6" s="448"/>
      <c r="Q6" s="446">
        <f t="shared" si="0"/>
        <v>918.81100000000004</v>
      </c>
    </row>
    <row r="7" spans="1:17">
      <c r="A7" s="446" t="s">
        <v>105</v>
      </c>
      <c r="B7" s="447">
        <f>landbouw!B8</f>
        <v>804.31717793432176</v>
      </c>
      <c r="C7" s="447">
        <f>landbouw!C8</f>
        <v>0</v>
      </c>
      <c r="D7" s="447">
        <f>landbouw!D8</f>
        <v>357.79573358566341</v>
      </c>
      <c r="E7" s="447">
        <f>landbouw!E8</f>
        <v>7.942778524589138</v>
      </c>
      <c r="F7" s="447">
        <f>landbouw!F8</f>
        <v>2683.4149262806582</v>
      </c>
      <c r="G7" s="447">
        <f>landbouw!G8</f>
        <v>0</v>
      </c>
      <c r="H7" s="447">
        <f>landbouw!H8</f>
        <v>0</v>
      </c>
      <c r="I7" s="447">
        <f>landbouw!I8</f>
        <v>0</v>
      </c>
      <c r="J7" s="447">
        <f>landbouw!J8</f>
        <v>80.2464415993811</v>
      </c>
      <c r="K7" s="447">
        <f>landbouw!K8</f>
        <v>0</v>
      </c>
      <c r="L7" s="447">
        <f>landbouw!L8</f>
        <v>0</v>
      </c>
      <c r="M7" s="447">
        <f>landbouw!M8</f>
        <v>0</v>
      </c>
      <c r="N7" s="447">
        <f>landbouw!N8</f>
        <v>0</v>
      </c>
      <c r="O7" s="447">
        <f>landbouw!O8</f>
        <v>0</v>
      </c>
      <c r="P7" s="448">
        <f>landbouw!P8</f>
        <v>0</v>
      </c>
      <c r="Q7" s="446">
        <f t="shared" si="0"/>
        <v>3933.7170579246131</v>
      </c>
    </row>
    <row r="8" spans="1:17">
      <c r="A8" s="446" t="s">
        <v>640</v>
      </c>
      <c r="B8" s="447">
        <f>industrie!B18</f>
        <v>57612.675720441606</v>
      </c>
      <c r="C8" s="447">
        <f>industrie!C18</f>
        <v>0</v>
      </c>
      <c r="D8" s="447">
        <f>industrie!D18</f>
        <v>27181.002345439898</v>
      </c>
      <c r="E8" s="447">
        <f>industrie!E18</f>
        <v>491.58431836517747</v>
      </c>
      <c r="F8" s="447">
        <f>industrie!F18</f>
        <v>10333.702209757348</v>
      </c>
      <c r="G8" s="447">
        <f>industrie!G18</f>
        <v>0</v>
      </c>
      <c r="H8" s="447">
        <f>industrie!H18</f>
        <v>0</v>
      </c>
      <c r="I8" s="447">
        <f>industrie!I18</f>
        <v>0</v>
      </c>
      <c r="J8" s="447">
        <f>industrie!J18</f>
        <v>220.41220652114066</v>
      </c>
      <c r="K8" s="447">
        <f>industrie!K18</f>
        <v>0</v>
      </c>
      <c r="L8" s="447">
        <f>industrie!L18</f>
        <v>0</v>
      </c>
      <c r="M8" s="447">
        <f>industrie!M18</f>
        <v>0</v>
      </c>
      <c r="N8" s="447">
        <f>industrie!N18</f>
        <v>1578.8751535753856</v>
      </c>
      <c r="O8" s="447">
        <f>industrie!O18</f>
        <v>0</v>
      </c>
      <c r="P8" s="448">
        <f>industrie!P18</f>
        <v>0</v>
      </c>
      <c r="Q8" s="446">
        <f t="shared" si="0"/>
        <v>97418.25195410056</v>
      </c>
    </row>
    <row r="9" spans="1:17" s="452" customFormat="1">
      <c r="A9" s="450" t="s">
        <v>560</v>
      </c>
      <c r="B9" s="451">
        <f>transport!B14</f>
        <v>3.2827629666686486</v>
      </c>
      <c r="C9" s="451">
        <f>transport!C14</f>
        <v>0</v>
      </c>
      <c r="D9" s="451">
        <f>transport!D14</f>
        <v>5.3536301161598008</v>
      </c>
      <c r="E9" s="451">
        <f>transport!E14</f>
        <v>331.57160833243404</v>
      </c>
      <c r="F9" s="451">
        <f>transport!F14</f>
        <v>0</v>
      </c>
      <c r="G9" s="451">
        <f>transport!G14</f>
        <v>62789.852745091957</v>
      </c>
      <c r="H9" s="451">
        <f>transport!H14</f>
        <v>13292.656764069394</v>
      </c>
      <c r="I9" s="451">
        <f>transport!I14</f>
        <v>0</v>
      </c>
      <c r="J9" s="451">
        <f>transport!J14</f>
        <v>0</v>
      </c>
      <c r="K9" s="451">
        <f>transport!K14</f>
        <v>0</v>
      </c>
      <c r="L9" s="451">
        <f>transport!L14</f>
        <v>0</v>
      </c>
      <c r="M9" s="451">
        <f>transport!M14</f>
        <v>3402.7540822867181</v>
      </c>
      <c r="N9" s="451">
        <f>transport!N14</f>
        <v>0</v>
      </c>
      <c r="O9" s="451">
        <f>transport!O14</f>
        <v>0</v>
      </c>
      <c r="P9" s="451">
        <f>transport!P14</f>
        <v>0</v>
      </c>
      <c r="Q9" s="450">
        <f>SUM(B9:P9)</f>
        <v>79825.471592863323</v>
      </c>
    </row>
    <row r="10" spans="1:17">
      <c r="A10" s="446" t="s">
        <v>550</v>
      </c>
      <c r="B10" s="447">
        <f>transport!B54</f>
        <v>2.3176507606519676</v>
      </c>
      <c r="C10" s="447">
        <f>transport!C54</f>
        <v>0</v>
      </c>
      <c r="D10" s="447">
        <f>transport!D54</f>
        <v>0</v>
      </c>
      <c r="E10" s="447">
        <f>transport!E54</f>
        <v>0</v>
      </c>
      <c r="F10" s="447">
        <f>transport!F54</f>
        <v>0</v>
      </c>
      <c r="G10" s="447">
        <f>transport!G54</f>
        <v>462.26002641561445</v>
      </c>
      <c r="H10" s="447">
        <f>transport!H54</f>
        <v>0</v>
      </c>
      <c r="I10" s="447">
        <f>transport!I54</f>
        <v>0</v>
      </c>
      <c r="J10" s="447">
        <f>transport!J54</f>
        <v>0</v>
      </c>
      <c r="K10" s="447">
        <f>transport!K54</f>
        <v>0</v>
      </c>
      <c r="L10" s="447">
        <f>transport!L54</f>
        <v>0</v>
      </c>
      <c r="M10" s="447">
        <f>transport!M54</f>
        <v>20.431400840799277</v>
      </c>
      <c r="N10" s="447">
        <f>transport!N54</f>
        <v>0</v>
      </c>
      <c r="O10" s="447">
        <f>transport!O54</f>
        <v>0</v>
      </c>
      <c r="P10" s="448">
        <f>transport!P54</f>
        <v>0</v>
      </c>
      <c r="Q10" s="446">
        <f t="shared" si="0"/>
        <v>485.00907801706569</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764.15636775520704</v>
      </c>
      <c r="C14" s="454"/>
      <c r="D14" s="454">
        <f>'SEAP template'!E25</f>
        <v>1773.18855012177</v>
      </c>
      <c r="E14" s="454"/>
      <c r="F14" s="454"/>
      <c r="G14" s="454"/>
      <c r="H14" s="454"/>
      <c r="I14" s="454"/>
      <c r="J14" s="454"/>
      <c r="K14" s="454"/>
      <c r="L14" s="454"/>
      <c r="M14" s="454"/>
      <c r="N14" s="454"/>
      <c r="O14" s="454"/>
      <c r="P14" s="455"/>
      <c r="Q14" s="446">
        <f t="shared" si="0"/>
        <v>2537.344917876977</v>
      </c>
    </row>
    <row r="15" spans="1:17" s="459" customFormat="1">
      <c r="A15" s="456" t="s">
        <v>554</v>
      </c>
      <c r="B15" s="457">
        <f ca="1">SUM(B4:B14)</f>
        <v>116123.85648254408</v>
      </c>
      <c r="C15" s="457">
        <f t="shared" ref="C15:Q15" ca="1" si="1">SUM(C4:C14)</f>
        <v>0</v>
      </c>
      <c r="D15" s="457">
        <f t="shared" ca="1" si="1"/>
        <v>95573.421893728781</v>
      </c>
      <c r="E15" s="457">
        <f t="shared" si="1"/>
        <v>2567.6358489982531</v>
      </c>
      <c r="F15" s="457">
        <f t="shared" ca="1" si="1"/>
        <v>64722.613916462942</v>
      </c>
      <c r="G15" s="457">
        <f t="shared" si="1"/>
        <v>63252.112771507571</v>
      </c>
      <c r="H15" s="457">
        <f t="shared" si="1"/>
        <v>13292.656764069394</v>
      </c>
      <c r="I15" s="457">
        <f t="shared" si="1"/>
        <v>0</v>
      </c>
      <c r="J15" s="457">
        <f t="shared" si="1"/>
        <v>1123.7379031314667</v>
      </c>
      <c r="K15" s="457">
        <f t="shared" si="1"/>
        <v>0</v>
      </c>
      <c r="L15" s="457">
        <f t="shared" ca="1" si="1"/>
        <v>0</v>
      </c>
      <c r="M15" s="457">
        <f t="shared" si="1"/>
        <v>3423.1854831275173</v>
      </c>
      <c r="N15" s="457">
        <f t="shared" ca="1" si="1"/>
        <v>15952.511414270861</v>
      </c>
      <c r="O15" s="457">
        <f t="shared" si="1"/>
        <v>114.12333333333335</v>
      </c>
      <c r="P15" s="457">
        <f t="shared" si="1"/>
        <v>362.26666666666665</v>
      </c>
      <c r="Q15" s="457">
        <f t="shared" ca="1" si="1"/>
        <v>376508.12247784087</v>
      </c>
    </row>
    <row r="17" spans="1:17">
      <c r="A17" s="460" t="s">
        <v>555</v>
      </c>
      <c r="B17" s="729">
        <f ca="1">huishoudens!B10</f>
        <v>0.21078166354479022</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5933.2891835821329</v>
      </c>
      <c r="C22" s="447">
        <f t="shared" ref="C22:C32" ca="1" si="3">C4*$C$17</f>
        <v>0</v>
      </c>
      <c r="D22" s="447">
        <f t="shared" ref="D22:D32" si="4">D4*$D$17</f>
        <v>10290.507842673045</v>
      </c>
      <c r="E22" s="447">
        <f t="shared" ref="E22:E32" si="5">E4*$E$17</f>
        <v>337.75579736825262</v>
      </c>
      <c r="F22" s="447">
        <f t="shared" ref="F22:F32" si="6">F4*$F$17</f>
        <v>12111.677120493643</v>
      </c>
      <c r="G22" s="447">
        <f t="shared" ref="G22:G32" si="7">G4*$G$17</f>
        <v>0</v>
      </c>
      <c r="H22" s="447">
        <f t="shared" ref="H22:H32" si="8">H4*$H$17</f>
        <v>0</v>
      </c>
      <c r="I22" s="447">
        <f t="shared" ref="I22:I32" si="9">I4*$I$17</f>
        <v>0</v>
      </c>
      <c r="J22" s="447">
        <f t="shared" ref="J22:J32" si="10">J4*$J$17</f>
        <v>291.37005627387452</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28964.60000039095</v>
      </c>
    </row>
    <row r="23" spans="1:17">
      <c r="A23" s="446" t="s">
        <v>149</v>
      </c>
      <c r="B23" s="447">
        <f t="shared" ca="1" si="2"/>
        <v>5874.340394652083</v>
      </c>
      <c r="C23" s="447">
        <f t="shared" ca="1" si="3"/>
        <v>0</v>
      </c>
      <c r="D23" s="447">
        <f t="shared" ca="1" si="4"/>
        <v>3093.2206474889408</v>
      </c>
      <c r="E23" s="447">
        <f t="shared" si="5"/>
        <v>56.438134268911298</v>
      </c>
      <c r="F23" s="447">
        <f t="shared" ca="1" si="6"/>
        <v>1693.690519879814</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10717.68969628975</v>
      </c>
    </row>
    <row r="24" spans="1:17">
      <c r="A24" s="446" t="s">
        <v>187</v>
      </c>
      <c r="B24" s="447">
        <f t="shared" ca="1" si="2"/>
        <v>193.66851106325225</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193.66851106325225</v>
      </c>
    </row>
    <row r="25" spans="1:17">
      <c r="A25" s="446" t="s">
        <v>105</v>
      </c>
      <c r="B25" s="447">
        <f t="shared" ca="1" si="2"/>
        <v>169.53531278264737</v>
      </c>
      <c r="C25" s="447">
        <f t="shared" ca="1" si="3"/>
        <v>0</v>
      </c>
      <c r="D25" s="447">
        <f t="shared" si="4"/>
        <v>72.274738184304013</v>
      </c>
      <c r="E25" s="447">
        <f t="shared" si="5"/>
        <v>1.8030107250817344</v>
      </c>
      <c r="F25" s="447">
        <f t="shared" si="6"/>
        <v>716.47178531693578</v>
      </c>
      <c r="G25" s="447">
        <f t="shared" si="7"/>
        <v>0</v>
      </c>
      <c r="H25" s="447">
        <f t="shared" si="8"/>
        <v>0</v>
      </c>
      <c r="I25" s="447">
        <f t="shared" si="9"/>
        <v>0</v>
      </c>
      <c r="J25" s="447">
        <f t="shared" si="10"/>
        <v>28.407240326180908</v>
      </c>
      <c r="K25" s="447">
        <f t="shared" si="11"/>
        <v>0</v>
      </c>
      <c r="L25" s="447">
        <f t="shared" si="12"/>
        <v>0</v>
      </c>
      <c r="M25" s="447">
        <f t="shared" si="13"/>
        <v>0</v>
      </c>
      <c r="N25" s="447">
        <f t="shared" si="14"/>
        <v>0</v>
      </c>
      <c r="O25" s="447">
        <f t="shared" si="15"/>
        <v>0</v>
      </c>
      <c r="P25" s="448">
        <f t="shared" si="16"/>
        <v>0</v>
      </c>
      <c r="Q25" s="446">
        <f t="shared" ca="1" si="17"/>
        <v>988.4920873351499</v>
      </c>
    </row>
    <row r="26" spans="1:17">
      <c r="A26" s="446" t="s">
        <v>640</v>
      </c>
      <c r="B26" s="447">
        <f t="shared" ca="1" si="2"/>
        <v>12143.695629621227</v>
      </c>
      <c r="C26" s="447">
        <f t="shared" ca="1" si="3"/>
        <v>0</v>
      </c>
      <c r="D26" s="447">
        <f t="shared" si="4"/>
        <v>5490.5624737788594</v>
      </c>
      <c r="E26" s="447">
        <f t="shared" si="5"/>
        <v>111.58964026889529</v>
      </c>
      <c r="F26" s="447">
        <f t="shared" si="6"/>
        <v>2759.0984900052122</v>
      </c>
      <c r="G26" s="447">
        <f t="shared" si="7"/>
        <v>0</v>
      </c>
      <c r="H26" s="447">
        <f t="shared" si="8"/>
        <v>0</v>
      </c>
      <c r="I26" s="447">
        <f t="shared" si="9"/>
        <v>0</v>
      </c>
      <c r="J26" s="447">
        <f t="shared" si="10"/>
        <v>78.025921108483786</v>
      </c>
      <c r="K26" s="447">
        <f t="shared" si="11"/>
        <v>0</v>
      </c>
      <c r="L26" s="447">
        <f t="shared" si="12"/>
        <v>0</v>
      </c>
      <c r="M26" s="447">
        <f t="shared" si="13"/>
        <v>0</v>
      </c>
      <c r="N26" s="447">
        <f t="shared" si="14"/>
        <v>0</v>
      </c>
      <c r="O26" s="447">
        <f t="shared" si="15"/>
        <v>0</v>
      </c>
      <c r="P26" s="448">
        <f t="shared" si="16"/>
        <v>0</v>
      </c>
      <c r="Q26" s="446">
        <f t="shared" ca="1" si="17"/>
        <v>20582.972154782681</v>
      </c>
    </row>
    <row r="27" spans="1:17" s="452" customFormat="1">
      <c r="A27" s="450" t="s">
        <v>560</v>
      </c>
      <c r="B27" s="723">
        <f t="shared" ca="1" si="2"/>
        <v>0.69194623913764852</v>
      </c>
      <c r="C27" s="451">
        <f t="shared" ca="1" si="3"/>
        <v>0</v>
      </c>
      <c r="D27" s="451">
        <f t="shared" si="4"/>
        <v>1.0814332834642799</v>
      </c>
      <c r="E27" s="451">
        <f t="shared" si="5"/>
        <v>75.266755091462528</v>
      </c>
      <c r="F27" s="451">
        <f t="shared" si="6"/>
        <v>0</v>
      </c>
      <c r="G27" s="451">
        <f t="shared" si="7"/>
        <v>16764.890682939553</v>
      </c>
      <c r="H27" s="451">
        <f t="shared" si="8"/>
        <v>3309.8715342532792</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20151.802351806895</v>
      </c>
    </row>
    <row r="28" spans="1:17">
      <c r="A28" s="446" t="s">
        <v>550</v>
      </c>
      <c r="B28" s="447">
        <f t="shared" ca="1" si="2"/>
        <v>0.48851828284607018</v>
      </c>
      <c r="C28" s="447">
        <f t="shared" ca="1" si="3"/>
        <v>0</v>
      </c>
      <c r="D28" s="447">
        <f t="shared" si="4"/>
        <v>0</v>
      </c>
      <c r="E28" s="447">
        <f t="shared" si="5"/>
        <v>0</v>
      </c>
      <c r="F28" s="447">
        <f t="shared" si="6"/>
        <v>0</v>
      </c>
      <c r="G28" s="447">
        <f t="shared" si="7"/>
        <v>123.42342705296906</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123.91194533581513</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161.07015040378704</v>
      </c>
      <c r="C32" s="447">
        <f t="shared" ca="1" si="3"/>
        <v>0</v>
      </c>
      <c r="D32" s="447">
        <f t="shared" si="4"/>
        <v>358.18408712459757</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519.25423752838458</v>
      </c>
    </row>
    <row r="33" spans="1:17" s="459" customFormat="1">
      <c r="A33" s="456" t="s">
        <v>554</v>
      </c>
      <c r="B33" s="457">
        <f ca="1">SUM(B22:B32)</f>
        <v>24476.779646627114</v>
      </c>
      <c r="C33" s="457">
        <f t="shared" ref="C33:Q33" ca="1" si="18">SUM(C22:C32)</f>
        <v>0</v>
      </c>
      <c r="D33" s="457">
        <f t="shared" ca="1" si="18"/>
        <v>19305.831222533212</v>
      </c>
      <c r="E33" s="457">
        <f t="shared" si="18"/>
        <v>582.85333772260344</v>
      </c>
      <c r="F33" s="457">
        <f t="shared" ca="1" si="18"/>
        <v>17280.937915695606</v>
      </c>
      <c r="G33" s="457">
        <f t="shared" si="18"/>
        <v>16888.314109992523</v>
      </c>
      <c r="H33" s="457">
        <f t="shared" si="18"/>
        <v>3309.8715342532792</v>
      </c>
      <c r="I33" s="457">
        <f t="shared" si="18"/>
        <v>0</v>
      </c>
      <c r="J33" s="457">
        <f t="shared" si="18"/>
        <v>397.80321770853919</v>
      </c>
      <c r="K33" s="457">
        <f t="shared" si="18"/>
        <v>0</v>
      </c>
      <c r="L33" s="457">
        <f t="shared" ca="1" si="18"/>
        <v>0</v>
      </c>
      <c r="M33" s="457">
        <f t="shared" si="18"/>
        <v>0</v>
      </c>
      <c r="N33" s="457">
        <f t="shared" ca="1" si="18"/>
        <v>0</v>
      </c>
      <c r="O33" s="457">
        <f t="shared" si="18"/>
        <v>0</v>
      </c>
      <c r="P33" s="457">
        <f t="shared" si="18"/>
        <v>0</v>
      </c>
      <c r="Q33" s="457">
        <f t="shared" ca="1" si="18"/>
        <v>82242.390984532874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5369.1974480322533</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5369.1974480322533</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0.21078166354479022</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0.21078166354479022</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2022-07-26T12:33:48Z</dcterms:modified>
</cp:coreProperties>
</file>