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F939251C-8810-43C9-8E10-1BAC4FF8EDF2}"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<sst xmlns="http://schemas.openxmlformats.org/spreadsheetml/2006/main" count="2497" uniqueCount="945">
  <si>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</si>
  <si>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</si>
  <si>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</si>
  <si>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</si>
  <si>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</si>
  <si>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</si>
  <si>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</si>
  <si>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</si>
  <si>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</si>
  <si>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</si>
  <si>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</si>
  <si>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</si>
  <si>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</si>
  <si>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</si>
  <si>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</si>
  <si>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</si>
  <si>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</si>
  <si>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</si>
  <si>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</si>
  <si>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</si>
  <si>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</si>
  <si>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</si>
  <si>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</si>
  <si>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</si>
  <si>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</si>
  <si>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</si>
  <si>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</si>
  <si>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</si>
  <si>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</si>
  <si>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</si>
  <si>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</si>
  <si>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</si>
  <si>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</si>
  <si>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</si>
  <si>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</si>
  <si>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</si>
  <si>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</si>
  <si>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</si>
  <si>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</si>
  <si>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</si>
  <si>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</si>
  <si>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</si>
  <si>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</si>
  <si>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</si>
  <si>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</si>
  <si>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</si>
  <si>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</si>
  <si>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</si>
  <si>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</si>
  <si>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</si>
  <si>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</si>
  <si>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</si>
  <si>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</si>
  <si>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</si>
  <si>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</si>
  <si>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</si>
  <si>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</si>
  <si>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</si>
  <si>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</si>
  <si>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</si>
  <si>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</si>
  <si>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</si>
  <si>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</si>
  <si>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</si>
  <si>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</si>
  <si>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</si>
  <si>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</si>
  <si>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</si>
  <si>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</si>
  <si>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</si>
  <si>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</si>
  <si>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</si>
  <si>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</si>
  <si>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</si>
  <si>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</si>
  <si>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</si>
  <si>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</si>
  <si>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</si>
  <si>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</si>
  <si>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</si>
  <si>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</si>
  <si>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</si>
  <si>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</si>
  <si>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</si>
  <si>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</si>
  <si>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</si>
  <si>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</si>
  <si>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</si>
  <si>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</si>
  <si>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</si>
  <si>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</si>
  <si>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</si>
  <si>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</si>
  <si>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</si>
  <si>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</si>
  <si>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</si>
  <si>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</si>
  <si>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</si>
  <si>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</si>
  <si>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</si>
  <si>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</si>
  <si>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</si>
  <si>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</si>
  <si>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</si>
  <si>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</si>
  <si>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</si>
  <si>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</si>
  <si>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</si>
  <si>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</si>
  <si>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</si>
  <si>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</si>
  <si>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</si>
  <si>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</si>
  <si>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</si>
  <si>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</si>
  <si>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</si>
  <si>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</si>
  <si>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</si>
  <si>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</si>
  <si>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</si>
  <si>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</si>
  <si>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</si>
  <si>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</si>
  <si>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</si>
  <si>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</si>
  <si>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</si>
  <si>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</si>
  <si>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</si>
  <si>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</si>
  <si>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</si>
  <si>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</si>
  <si>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</si>
  <si>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</si>
  <si>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</si>
  <si>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</si>
  <si>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</si>
  <si>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</si>
  <si>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</si>
  <si>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</si>
  <si>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</si>
  <si>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</si>
  <si>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</si>
  <si>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</si>
  <si>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</si>
  <si>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</si>
  <si>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</si>
  <si>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</si>
  <si>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</si>
  <si>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</si>
  <si>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</si>
  <si>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</si>
  <si>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</si>
  <si>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</si>
  <si>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</si>
  <si>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</si>
  <si>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</si>
  <si>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</si>
  <si>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</si>
  <si>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</si>
  <si>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</si>
  <si>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</si>
  <si>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</si>
  <si>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</si>
  <si>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</si>
  <si>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</si>
  <si>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</si>
  <si>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</si>
  <si>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</si>
  <si>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</si>
  <si>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</si>
  <si>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</si>
  <si>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</si>
  <si>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</si>
  <si>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</si>
  <si>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</si>
  <si>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</si>
  <si>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</si>
  <si>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</si>
  <si>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</si>
  <si>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</si>
  <si>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</si>
  <si>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</si>
  <si>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</si>
  <si>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</si>
  <si>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</si>
  <si>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</si>
  <si>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</si>
  <si>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</si>
  <si>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</si>
  <si>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</si>
  <si>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</si>
  <si>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</si>
  <si>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</si>
  <si>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</si>
  <si>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</si>
  <si>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</si>
  <si>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</si>
  <si>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</si>
  <si>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</si>
  <si>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</si>
  <si>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</si>
  <si>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</si>
  <si>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</si>
  <si>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</si>
  <si>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</si>
  <si>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</si>
  <si>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</si>
  <si>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</si>
  <si>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</si>
  <si>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</si>
  <si>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</si>
  <si>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</si>
  <si>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</si>
  <si>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</si>
  <si>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</si>
  <si>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</si>
  <si>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</si>
  <si>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</si>
  <si>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</si>
  <si>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</si>
  <si>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</si>
  <si>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</si>
  <si>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</si>
  <si>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</si>
  <si>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</si>
  <si>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</si>
  <si>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</si>
  <si>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</si>
  <si>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</si>
  <si>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</si>
  <si>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</si>
  <si>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</si>
  <si>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</si>
  <si>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</si>
  <si>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</si>
  <si>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</si>
  <si>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</si>
  <si>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</si>
  <si>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</si>
  <si>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</si>
  <si>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</si>
  <si>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</si>
  <si>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</si>
  <si>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</si>
  <si>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</si>
  <si>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</si>
  <si>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</si>
  <si>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</si>
  <si>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</si>
  <si>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</si>
  <si>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</si>
  <si>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</si>
  <si>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</si>
  <si>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</si>
  <si>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</si>
  <si>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</si>
  <si>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</si>
  <si>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</si>
  <si>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</si>
  <si>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</si>
  <si>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</si>
  <si>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</si>
  <si>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</si>
  <si>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</si>
  <si>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</si>
  <si>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</si>
  <si>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</si>
  <si>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</si>
  <si>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</si>
  <si>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</si>
  <si>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</si>
  <si>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</si>
  <si>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</si>
  <si>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</si>
  <si>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</si>
  <si>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</si>
  <si>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</si>
  <si>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</si>
  <si>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</si>
  <si>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</si>
  <si>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</si>
  <si>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</si>
  <si>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</si>
  <si>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</si>
  <si>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</si>
  <si>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</si>
  <si>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</si>
  <si>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</si>
  <si>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</si>
  <si>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</si>
  <si>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</si>
  <si>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</si>
  <si>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</si>
  <si>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</si>
  <si>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</si>
  <si>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</si>
  <si>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</si>
  <si>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</si>
  <si>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</si>
  <si>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</si>
  <si>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</si>
  <si>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</si>
  <si>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</si>
  <si>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</si>
  <si>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</si>
  <si>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</si>
  <si>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</si>
  <si>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</si>
  <si>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</si>
  <si>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</si>
  <si>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</si>
  <si>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</si>
  <si>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</si>
  <si>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</si>
  <si>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</si>
  <si>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</si>
  <si>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</si>
  <si>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</si>
  <si>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</si>
  <si>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</si>
  <si>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</si>
  <si>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</si>
  <si>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</si>
  <si>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</si>
  <si>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</si>
  <si>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</si>
  <si>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</si>
  <si>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</si>
  <si>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</si>
  <si>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</si>
  <si>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</si>
  <si>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</si>
  <si>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</si>
  <si>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</si>
  <si>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</si>
  <si>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</si>
  <si>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</si>
  <si>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</si>
  <si>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</si>
  <si>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</si>
  <si>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</si>
  <si>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</si>
  <si>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</si>
  <si>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</si>
  <si>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</si>
  <si>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</si>
  <si>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</si>
  <si>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</si>
  <si>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</si>
  <si>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</si>
  <si>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</si>
  <si>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</si>
  <si>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</si>
  <si>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</si>
  <si>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</si>
  <si>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</si>
  <si>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</si>
  <si>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</si>
  <si>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</si>
  <si>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</si>
  <si>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</si>
  <si>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</si>
  <si>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</si>
  <si>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</si>
  <si>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</si>
  <si>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</si>
  <si>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</si>
  <si>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</si>
  <si>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</si>
  <si>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</si>
  <si>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</si>
  <si>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</si>
  <si>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</si>
  <si>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</si>
  <si>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</si>
  <si>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</si>
  <si>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</si>
  <si>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</si>
  <si>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</si>
  <si>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</si>
  <si>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</si>
  <si>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</si>
  <si>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</si>
  <si>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</si>
  <si>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</si>
  <si>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</si>
  <si>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</si>
  <si>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</si>
  <si>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</si>
  <si>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</si>
  <si>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</si>
  <si>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</si>
  <si>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</si>
  <si>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</si>
  <si>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</si>
  <si>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</si>
  <si>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</si>
  <si>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</si>
  <si>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</si>
  <si>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</si>
  <si>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</si>
  <si>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</si>
  <si>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</si>
  <si>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</si>
  <si>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</si>
  <si>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</si>
  <si>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</si>
  <si>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</si>
  <si>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</si>
  <si>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</si>
  <si>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</si>
  <si>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</si>
  <si>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</si>
  <si>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</si>
  <si>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</si>
  <si>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</si>
  <si>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</si>
  <si>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</si>
  <si>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</si>
  <si>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</si>
  <si>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</si>
  <si>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</si>
  <si>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</si>
  <si>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</si>
  <si>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</si>
  <si>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</si>
  <si>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</si>
  <si>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</si>
  <si>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</si>
  <si>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</si>
  <si>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</si>
  <si>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</si>
  <si>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</si>
  <si>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</si>
  <si>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</si>
  <si>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</si>
  <si>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</si>
  <si>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</si>
  <si>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</si>
  <si>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</si>
  <si>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</si>
  <si>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</si>
  <si>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</si>
  <si>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</si>
  <si>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</si>
  <si>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</si>
  <si>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</si>
  <si>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</si>
  <si>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</si>
  <si>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</si>
  <si>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</si>
  <si>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</si>
  <si>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</si>
  <si>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</si>
  <si>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</si>
  <si>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</si>
  <si>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</si>
  <si>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</si>
  <si>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</si>
  <si>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</si>
  <si>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</si>
  <si>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</si>
  <si>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</si>
  <si>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</si>
  <si>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</si>
  <si>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</si>
  <si>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</si>
  <si>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</si>
  <si>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</si>
  <si>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</si>
  <si>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</si>
  <si>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</si>
  <si>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</si>
  <si>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</si>
  <si>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</si>
  <si>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</si>
  <si>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</si>
  <si>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</si>
  <si>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</si>
  <si>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</si>
  <si>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</si>
  <si>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</si>
  <si>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</si>
  <si>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</si>
  <si>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</si>
  <si>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</si>
  <si>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</si>
  <si>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</si>
  <si>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</si>
  <si>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</si>
  <si>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</si>
  <si>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</si>
  <si>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</si>
  <si>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</si>
  <si>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</si>
  <si>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</si>
  <si>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</si>
  <si>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</si>
  <si>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</si>
  <si>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</si>
  <si>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</si>
  <si>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</si>
  <si>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</si>
  <si>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</si>
  <si>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</si>
  <si>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</si>
  <si>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</si>
  <si>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</si>
  <si>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</si>
  <si>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</si>
  <si>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</si>
  <si>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</si>
  <si>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</si>
  <si>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</si>
  <si>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</si>
  <si>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</si>
  <si>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</si>
  <si>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</si>
  <si>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</si>
  <si>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</si>
  <si>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</si>
  <si>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</si>
  <si>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</si>
  <si>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</si>
  <si>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</si>
  <si>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</si>
  <si>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</si>
  <si>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</si>
  <si>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</si>
  <si>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</si>
  <si>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</si>
  <si>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</si>
  <si>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</si>
  <si>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</si>
  <si>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</si>
  <si>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</si>
  <si>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</si>
  <si>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</si>
  <si>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</si>
  <si>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</si>
  <si>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</si>
  <si>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</si>
  <si>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</si>
  <si>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</si>
  <si>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</si>
  <si>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</si>
  <si>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</si>
  <si>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</si>
  <si>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</si>
  <si>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</si>
  <si>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</si>
  <si>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</si>
  <si>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</si>
  <si>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</si>
  <si>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</si>
  <si>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</si>
  <si>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</si>
  <si>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</si>
  <si>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</si>
  <si>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</si>
  <si>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</si>
  <si>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</si>
  <si>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</si>
  <si>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</si>
  <si>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</si>
  <si>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</si>
  <si>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</si>
  <si>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</si>
  <si>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</si>
  <si>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</si>
  <si>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</si>
  <si>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</si>
  <si>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</si>
  <si>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</si>
  <si>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</si>
  <si>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</si>
  <si>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</si>
  <si>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</si>
  <si>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</si>
  <si>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</si>
  <si>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</si>
  <si>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</si>
  <si>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</si>
  <si>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</si>
  <si>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</si>
  <si>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</si>
  <si>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</si>
  <si>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</si>
  <si>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</si>
  <si>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</si>
  <si>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</si>
  <si>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</si>
  <si>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</si>
  <si>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</si>
  <si>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</si>
  <si>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</si>
  <si>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</si>
  <si>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</si>
  <si>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</si>
  <si>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</si>
  <si>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</si>
  <si>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</si>
  <si>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</si>
  <si>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</si>
  <si>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</si>
  <si>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</si>
  <si>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</si>
  <si>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</si>
  <si>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</si>
  <si>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</si>
  <si>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</si>
  <si>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</si>
  <si>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</si>
  <si>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</si>
  <si>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</si>
  <si>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</si>
  <si>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</si>
  <si>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</si>
  <si>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</si>
  <si>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</si>
  <si>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</si>
  <si>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</si>
  <si>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</si>
  <si>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</si>
  <si>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</si>
  <si>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</si>
  <si>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</si>
  <si>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</si>
  <si>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</si>
  <si>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</si>
  <si>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</si>
  <si>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</si>
  <si>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</si>
  <si>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</si>
  <si>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</si>
  <si>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</si>
  <si>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</si>
  <si>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</si>
  <si>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</si>
  <si>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</si>
  <si>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</si>
  <si>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</si>
  <si>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</si>
  <si>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</si>
  <si>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</si>
  <si>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</si>
  <si>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</si>
  <si>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</si>
  <si>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</si>
  <si>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</si>
  <si>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</si>
  <si>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</si>
  <si>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</si>
  <si>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</si>
  <si>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</si>
  <si>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</si>
  <si>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</si>
  <si>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</si>
  <si>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</si>
  <si>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</si>
  <si>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</si>
  <si>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</si>
  <si>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</si>
  <si>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</si>
  <si>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</si>
  <si>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</si>
  <si>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</si>
  <si>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</si>
  <si>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</si>
  <si>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</si>
  <si>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</si>
  <si>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</si>
  <si>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</si>
  <si>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</si>
  <si>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</si>
  <si>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</si>
  <si>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</si>
  <si>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</si>
  <si>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</si>
  <si>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</si>
  <si>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</si>
  <si>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</si>
  <si>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</si>
  <si>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</si>
  <si>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</si>
  <si>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</si>
  <si>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</si>
  <si>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</si>
  <si>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</si>
  <si>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</si>
  <si>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</si>
  <si>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</si>
  <si>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</si>
  <si>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</si>
  <si>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</si>
  <si>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</si>
  <si>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</si>
  <si>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</si>
  <si>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</si>
  <si>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</si>
  <si>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</si>
  <si>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</si>
  <si>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</si>
  <si>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</si>
  <si>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</si>
  <si>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</si>
  <si>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</si>
  <si>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</si>
  <si>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</si>
  <si>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</si>
  <si>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</si>
  <si>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</si>
  <si>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</si>
  <si>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</si>
  <si>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</si>
  <si>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</si>
  <si>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</si>
  <si>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</si>
  <si>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</si>
  <si>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</si>
  <si>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</si>
  <si>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</si>
  <si>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</si>
  <si>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</si>
  <si>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</si>
  <si>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</si>
  <si>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</si>
  <si>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</si>
  <si>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</si>
  <si>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</si>
  <si>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</si>
  <si>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</si>
  <si>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</si>
  <si>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</si>
  <si>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</si>
  <si>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</si>
  <si>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</si>
  <si>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</si>
  <si>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</si>
  <si>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</si>
  <si>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</si>
  <si>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</si>
  <si>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</si>
  <si>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</si>
  <si>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</si>
  <si>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</si>
  <si>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</si>
  <si>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</si>
  <si>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</si>
  <si>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</si>
  <si>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</si>
  <si>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</si>
  <si>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</si>
  <si>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</si>
  <si>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</si>
  <si>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</si>
  <si>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</si>
  <si>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</si>
  <si>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</si>
  <si>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</si>
  <si>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</si>
  <si>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</si>
  <si>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</si>
  <si>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</si>
  <si>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</si>
  <si>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</si>
  <si>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</si>
  <si>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</si>
  <si>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</si>
  <si>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</si>
  <si>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</si>
  <si>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</si>
  <si>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</si>
  <si>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</si>
  <si>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</si>
  <si>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</si>
  <si>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</si>
  <si>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</si>
  <si>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</si>
  <si>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</si>
  <si>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</si>
  <si>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</si>
  <si>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</si>
  <si>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</si>
  <si>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</si>
  <si>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</si>
  <si>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</si>
  <si>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</si>
  <si>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</si>
  <si>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</si>
  <si>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</si>
  <si>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</si>
  <si>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</si>
  <si>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</si>
  <si>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</si>
  <si>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</si>
  <si>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</si>
  <si>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</si>
  <si>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</si>
  <si>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</si>
  <si>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</si>
  <si>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</si>
  <si>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</si>
  <si>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</si>
  <si>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</si>
  <si>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</si>
  <si>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</si>
  <si>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</si>
  <si>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</si>
  <si>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</si>
  <si>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</si>
  <si>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</si>
  <si>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</si>
  <si>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</si>
  <si>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</si>
  <si>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</si>
  <si>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</si>
  <si>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</si>
  <si>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</si>
  <si>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</si>
  <si>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</si>
  <si>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</si>
  <si>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</si>
  <si>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</si>
  <si>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</si>
  <si>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</si>
  <si>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</si>
  <si>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</si>
  <si>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</si>
  <si>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</si>
  <si>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</si>
  <si>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</si>
  <si>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</si>
  <si>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</si>
  <si>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</si>
  <si>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</si>
  <si>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</si>
  <si>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</si>
  <si>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</si>
  <si>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</si>
  <si>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</si>
  <si>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</si>
  <si>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</si>
  <si>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</si>
  <si>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</si>
  <si>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</si>
  <si>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</si>
  <si>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</si>
  <si>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</si>
  <si>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</si>
  <si>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</si>
  <si>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</si>
  <si>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</si>
  <si>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</si>
  <si>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</si>
  <si>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</si>
  <si>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</si>
  <si>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</si>
  <si>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</si>
  <si>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</si>
  <si>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</si>
  <si>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</si>
  <si>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</si>
  <si>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</si>
  <si>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</si>
  <si>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</si>
  <si>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</si>
  <si>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</si>
  <si>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</si>
  <si>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</si>
  <si>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</si>
  <si>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</si>
  <si>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</si>
  <si>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</si>
  <si>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</si>
  <si>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</si>
  <si>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</si>
  <si>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</si>
  <si>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</si>
  <si>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</si>
  <si>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</si>
  <si>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</si>
  <si>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</si>
  <si>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</si>
  <si>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</si>
  <si>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</si>
  <si>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</si>
  <si>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</si>
  <si>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</si>
  <si>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</si>
  <si>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</si>
  <si>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</si>
  <si>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</si>
  <si>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</si>
  <si>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</si>
  <si>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</si>
  <si>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</si>
  <si>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</si>
  <si>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</si>
  <si>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</si>
  <si>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</si>
  <si>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</si>
  <si>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</si>
  <si>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</si>
  <si>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</si>
  <si>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</si>
  <si>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</si>
  <si>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</si>
  <si>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</si>
  <si>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</si>
  <si>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</si>
  <si>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</si>
  <si>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</si>
  <si>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</si>
  <si>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</si>
  <si>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</si>
  <si>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</si>
  <si>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</si>
  <si>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</si>
  <si>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</si>
  <si>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</si>
  <si>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</si>
  <si>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</si>
  <si>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</si>
  <si>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</si>
  <si>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</si>
  <si>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</si>
  <si>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</si>
  <si>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</si>
  <si>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</si>
  <si>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</si>
  <si>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</si>
  <si>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</si>
  <si>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</si>
  <si>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</si>
  <si>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</si>
  <si>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</si>
  <si>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41048</t>
  </si>
  <si>
    <t>NINOVE</t>
  </si>
  <si>
    <t>Paarden&amp;pony's 200 - 600 kg</t>
  </si>
  <si>
    <t>Paarden&amp;pony's &lt; 200 kg</t>
  </si>
  <si>
    <t>vloeibaar gas (MWh)</t>
  </si>
  <si>
    <t>biogas - stortgas</t>
  </si>
  <si>
    <t>niet WKK interne verbrandingsmotor (gas)</t>
  </si>
  <si>
    <t>Intergem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</si>
</sst>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AC8123BA-EF16-4713-BA90-13E1984126A5}"/>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41048</v>
      </c>
      <c r="B6" s="384"/>
      <c r="C6" s="385"/>
    </row>
    <row r="7" spans="1:7" s="382" customFormat="1" ht="15.75" customHeight="1">
      <c r="A7" s="386" t="str">
        <f>txtMunicipality</f>
        <v>NINOVE</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0.20927806626141529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0.20927806626141529</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15725</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3874</v>
      </c>
      <c r="C14" s="327"/>
      <c r="D14" s="327"/>
      <c r="E14" s="327"/>
      <c r="F14" s="327"/>
    </row>
    <row r="15" spans="1:6">
      <c r="A15" s="1258" t="s">
        <v>177</v>
      </c>
      <c r="B15" s="1259">
        <v>183</v>
      </c>
      <c r="C15" s="327"/>
      <c r="D15" s="327"/>
      <c r="E15" s="327"/>
      <c r="F15" s="327"/>
    </row>
    <row r="16" spans="1:6">
      <c r="A16" s="1258" t="s">
        <v>6</v>
      </c>
      <c r="B16" s="1259">
        <v>1407</v>
      </c>
      <c r="C16" s="327"/>
      <c r="D16" s="327"/>
      <c r="E16" s="327"/>
      <c r="F16" s="327"/>
    </row>
    <row r="17" spans="1:6">
      <c r="A17" s="1258" t="s">
        <v>7</v>
      </c>
      <c r="B17" s="1259">
        <v>1177</v>
      </c>
      <c r="C17" s="327"/>
      <c r="D17" s="327"/>
      <c r="E17" s="327"/>
      <c r="F17" s="327"/>
    </row>
    <row r="18" spans="1:6">
      <c r="A18" s="1258" t="s">
        <v>8</v>
      </c>
      <c r="B18" s="1259">
        <v>1837</v>
      </c>
      <c r="C18" s="327"/>
      <c r="D18" s="327"/>
      <c r="E18" s="327"/>
      <c r="F18" s="327"/>
    </row>
    <row r="19" spans="1:6">
      <c r="A19" s="1258" t="s">
        <v>9</v>
      </c>
      <c r="B19" s="1259">
        <v>1808</v>
      </c>
      <c r="C19" s="327"/>
      <c r="D19" s="327"/>
      <c r="E19" s="327"/>
      <c r="F19" s="327"/>
    </row>
    <row r="20" spans="1:6">
      <c r="A20" s="1258" t="s">
        <v>10</v>
      </c>
      <c r="B20" s="1259">
        <v>1553</v>
      </c>
      <c r="C20" s="327"/>
      <c r="D20" s="327"/>
      <c r="E20" s="327"/>
      <c r="F20" s="327"/>
    </row>
    <row r="21" spans="1:6">
      <c r="A21" s="1258" t="s">
        <v>11</v>
      </c>
      <c r="B21" s="1259">
        <v>408</v>
      </c>
      <c r="C21" s="327"/>
      <c r="D21" s="327"/>
      <c r="E21" s="327"/>
      <c r="F21" s="327"/>
    </row>
    <row r="22" spans="1:6">
      <c r="A22" s="1258" t="s">
        <v>12</v>
      </c>
      <c r="B22" s="1259">
        <v>2082</v>
      </c>
      <c r="C22" s="327"/>
      <c r="D22" s="327"/>
      <c r="E22" s="327"/>
      <c r="F22" s="327"/>
    </row>
    <row r="23" spans="1:6">
      <c r="A23" s="1258" t="s">
        <v>13</v>
      </c>
      <c r="B23" s="1259">
        <v>12</v>
      </c>
      <c r="C23" s="327"/>
      <c r="D23" s="327"/>
      <c r="E23" s="327"/>
      <c r="F23" s="327"/>
    </row>
    <row r="24" spans="1:6">
      <c r="A24" s="1258" t="s">
        <v>14</v>
      </c>
      <c r="B24" s="1259">
        <v>1</v>
      </c>
      <c r="C24" s="327"/>
      <c r="D24" s="327"/>
      <c r="E24" s="327"/>
      <c r="F24" s="327"/>
    </row>
    <row r="25" spans="1:6">
      <c r="A25" s="1258" t="s">
        <v>15</v>
      </c>
      <c r="B25" s="1259">
        <v>236</v>
      </c>
      <c r="C25" s="327"/>
      <c r="D25" s="327"/>
      <c r="E25" s="327"/>
      <c r="F25" s="327"/>
    </row>
    <row r="26" spans="1:6">
      <c r="A26" s="1258" t="s">
        <v>16</v>
      </c>
      <c r="B26" s="1259">
        <v>444</v>
      </c>
      <c r="C26" s="327"/>
      <c r="D26" s="327"/>
      <c r="E26" s="327"/>
      <c r="F26" s="327"/>
    </row>
    <row r="27" spans="1:6">
      <c r="A27" s="1258" t="s">
        <v>17</v>
      </c>
      <c r="B27" s="1259">
        <v>7</v>
      </c>
      <c r="C27" s="327"/>
      <c r="D27" s="327"/>
      <c r="E27" s="327"/>
      <c r="F27" s="327"/>
    </row>
    <row r="28" spans="1:6">
      <c r="A28" s="1258" t="s">
        <v>18</v>
      </c>
      <c r="B28" s="1260">
        <v>8</v>
      </c>
      <c r="C28" s="327"/>
      <c r="D28" s="327"/>
      <c r="E28" s="327"/>
      <c r="F28" s="327"/>
    </row>
    <row r="29" spans="1:6">
      <c r="A29" s="1258" t="s">
        <v>939</v>
      </c>
      <c r="B29" s="1260">
        <v>163</v>
      </c>
      <c r="C29" s="327"/>
      <c r="D29" s="327"/>
      <c r="E29" s="327"/>
      <c r="F29" s="327"/>
    </row>
    <row r="30" spans="1:6">
      <c r="A30" s="1253" t="s">
        <v>940</v>
      </c>
      <c r="B30" s="1261">
        <v>44</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3</v>
      </c>
      <c r="D38" s="1259">
        <v>192655.35466031599</v>
      </c>
      <c r="E38" s="1259">
        <v>8</v>
      </c>
      <c r="F38" s="1259">
        <v>49029.607663036099</v>
      </c>
    </row>
    <row r="39" spans="1:6">
      <c r="A39" s="1258" t="s">
        <v>29</v>
      </c>
      <c r="B39" s="1258" t="s">
        <v>30</v>
      </c>
      <c r="C39" s="1259">
        <v>7382</v>
      </c>
      <c r="D39" s="1259">
        <v>122311563.735075</v>
      </c>
      <c r="E39" s="1259">
        <v>15559</v>
      </c>
      <c r="F39" s="1259">
        <v>67649226.703910396</v>
      </c>
    </row>
    <row r="40" spans="1:6">
      <c r="A40" s="1258" t="s">
        <v>29</v>
      </c>
      <c r="B40" s="1258" t="s">
        <v>28</v>
      </c>
      <c r="C40" s="1259">
        <v>0</v>
      </c>
      <c r="D40" s="1259">
        <v>0</v>
      </c>
      <c r="E40" s="1259">
        <v>0</v>
      </c>
      <c r="F40" s="1259">
        <v>0</v>
      </c>
    </row>
    <row r="41" spans="1:6">
      <c r="A41" s="1258" t="s">
        <v>31</v>
      </c>
      <c r="B41" s="1258" t="s">
        <v>32</v>
      </c>
      <c r="C41" s="1259">
        <v>64</v>
      </c>
      <c r="D41" s="1259">
        <v>1911642.4061177101</v>
      </c>
      <c r="E41" s="1259">
        <v>252</v>
      </c>
      <c r="F41" s="1259">
        <v>2441360.9055937501</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5</v>
      </c>
      <c r="D44" s="1259">
        <v>620065.823060847</v>
      </c>
      <c r="E44" s="1259">
        <v>29</v>
      </c>
      <c r="F44" s="1259">
        <v>2637295.7090479899</v>
      </c>
    </row>
    <row r="45" spans="1:6">
      <c r="A45" s="1258" t="s">
        <v>31</v>
      </c>
      <c r="B45" s="1258" t="s">
        <v>36</v>
      </c>
      <c r="C45" s="1259">
        <v>0</v>
      </c>
      <c r="D45" s="1259">
        <v>0</v>
      </c>
      <c r="E45" s="1259">
        <v>5</v>
      </c>
      <c r="F45" s="1259">
        <v>544755.773855387</v>
      </c>
    </row>
    <row r="46" spans="1:6">
      <c r="A46" s="1258" t="s">
        <v>31</v>
      </c>
      <c r="B46" s="1258" t="s">
        <v>37</v>
      </c>
      <c r="C46" s="1259">
        <v>0</v>
      </c>
      <c r="D46" s="1259">
        <v>0</v>
      </c>
      <c r="E46" s="1259">
        <v>0</v>
      </c>
      <c r="F46" s="1259">
        <v>0</v>
      </c>
    </row>
    <row r="47" spans="1:6">
      <c r="A47" s="1258" t="s">
        <v>31</v>
      </c>
      <c r="B47" s="1258" t="s">
        <v>38</v>
      </c>
      <c r="C47" s="1259">
        <v>0</v>
      </c>
      <c r="D47" s="1259">
        <v>0</v>
      </c>
      <c r="E47" s="1259">
        <v>4</v>
      </c>
      <c r="F47" s="1259">
        <v>230906.20761249101</v>
      </c>
    </row>
    <row r="48" spans="1:6">
      <c r="A48" s="1258" t="s">
        <v>31</v>
      </c>
      <c r="B48" s="1258" t="s">
        <v>28</v>
      </c>
      <c r="C48" s="1259">
        <v>51</v>
      </c>
      <c r="D48" s="1259">
        <v>25901757.5579307</v>
      </c>
      <c r="E48" s="1259">
        <v>103</v>
      </c>
      <c r="F48" s="1259">
        <v>28467633.2328269</v>
      </c>
    </row>
    <row r="49" spans="1:6">
      <c r="A49" s="1258" t="s">
        <v>31</v>
      </c>
      <c r="B49" s="1258" t="s">
        <v>39</v>
      </c>
      <c r="C49" s="1259">
        <v>0</v>
      </c>
      <c r="D49" s="1259">
        <v>0</v>
      </c>
      <c r="E49" s="1259">
        <v>0</v>
      </c>
      <c r="F49" s="1259">
        <v>0</v>
      </c>
    </row>
    <row r="50" spans="1:6">
      <c r="A50" s="1258" t="s">
        <v>31</v>
      </c>
      <c r="B50" s="1258" t="s">
        <v>40</v>
      </c>
      <c r="C50" s="1259">
        <v>15</v>
      </c>
      <c r="D50" s="1259">
        <v>29259076.4798024</v>
      </c>
      <c r="E50" s="1259">
        <v>32</v>
      </c>
      <c r="F50" s="1259">
        <v>14843625.387093101</v>
      </c>
    </row>
    <row r="51" spans="1:6">
      <c r="A51" s="1258" t="s">
        <v>41</v>
      </c>
      <c r="B51" s="1258" t="s">
        <v>42</v>
      </c>
      <c r="C51" s="1259">
        <v>0</v>
      </c>
      <c r="D51" s="1259">
        <v>0</v>
      </c>
      <c r="E51" s="1259">
        <v>85</v>
      </c>
      <c r="F51" s="1259">
        <v>984500.71183128201</v>
      </c>
    </row>
    <row r="52" spans="1:6">
      <c r="A52" s="1258" t="s">
        <v>41</v>
      </c>
      <c r="B52" s="1258" t="s">
        <v>28</v>
      </c>
      <c r="C52" s="1259">
        <v>7</v>
      </c>
      <c r="D52" s="1259">
        <v>365407.17163122498</v>
      </c>
      <c r="E52" s="1259">
        <v>19</v>
      </c>
      <c r="F52" s="1259">
        <v>264355.13171024399</v>
      </c>
    </row>
    <row r="53" spans="1:6">
      <c r="A53" s="1258" t="s">
        <v>43</v>
      </c>
      <c r="B53" s="1258" t="s">
        <v>44</v>
      </c>
      <c r="C53" s="1259">
        <v>186</v>
      </c>
      <c r="D53" s="1259">
        <v>4889229.3044129899</v>
      </c>
      <c r="E53" s="1259">
        <v>474</v>
      </c>
      <c r="F53" s="1259">
        <v>2651072.39015486</v>
      </c>
    </row>
    <row r="54" spans="1:6">
      <c r="A54" s="1258" t="s">
        <v>45</v>
      </c>
      <c r="B54" s="1258" t="s">
        <v>46</v>
      </c>
      <c r="C54" s="1259">
        <v>0</v>
      </c>
      <c r="D54" s="1259">
        <v>0</v>
      </c>
      <c r="E54" s="1259">
        <v>1</v>
      </c>
      <c r="F54" s="1259">
        <v>2608912</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76</v>
      </c>
      <c r="D57" s="1259">
        <v>2707579.9889729898</v>
      </c>
      <c r="E57" s="1259">
        <v>181</v>
      </c>
      <c r="F57" s="1259">
        <v>4074834.19752507</v>
      </c>
    </row>
    <row r="58" spans="1:6">
      <c r="A58" s="1258" t="s">
        <v>48</v>
      </c>
      <c r="B58" s="1258" t="s">
        <v>50</v>
      </c>
      <c r="C58" s="1259">
        <v>19</v>
      </c>
      <c r="D58" s="1259">
        <v>912169.77949715697</v>
      </c>
      <c r="E58" s="1259">
        <v>51</v>
      </c>
      <c r="F58" s="1259">
        <v>486934.221577099</v>
      </c>
    </row>
    <row r="59" spans="1:6">
      <c r="A59" s="1258" t="s">
        <v>48</v>
      </c>
      <c r="B59" s="1258" t="s">
        <v>51</v>
      </c>
      <c r="C59" s="1259">
        <v>172</v>
      </c>
      <c r="D59" s="1259">
        <v>17065940.9509915</v>
      </c>
      <c r="E59" s="1259">
        <v>488</v>
      </c>
      <c r="F59" s="1259">
        <v>23656507.036722701</v>
      </c>
    </row>
    <row r="60" spans="1:6">
      <c r="A60" s="1258" t="s">
        <v>48</v>
      </c>
      <c r="B60" s="1258" t="s">
        <v>52</v>
      </c>
      <c r="C60" s="1259">
        <v>110</v>
      </c>
      <c r="D60" s="1259">
        <v>4692683.8067578999</v>
      </c>
      <c r="E60" s="1259">
        <v>194</v>
      </c>
      <c r="F60" s="1259">
        <v>4432300.19374598</v>
      </c>
    </row>
    <row r="61" spans="1:6">
      <c r="A61" s="1258" t="s">
        <v>48</v>
      </c>
      <c r="B61" s="1258" t="s">
        <v>53</v>
      </c>
      <c r="C61" s="1259">
        <v>192</v>
      </c>
      <c r="D61" s="1259">
        <v>15550849.1829376</v>
      </c>
      <c r="E61" s="1259">
        <v>608</v>
      </c>
      <c r="F61" s="1259">
        <v>9451897.5843249597</v>
      </c>
    </row>
    <row r="62" spans="1:6">
      <c r="A62" s="1258" t="s">
        <v>48</v>
      </c>
      <c r="B62" s="1258" t="s">
        <v>54</v>
      </c>
      <c r="C62" s="1259">
        <v>4</v>
      </c>
      <c r="D62" s="1259">
        <v>2343570.9733386501</v>
      </c>
      <c r="E62" s="1259">
        <v>13</v>
      </c>
      <c r="F62" s="1259">
        <v>850674.43565136404</v>
      </c>
    </row>
    <row r="63" spans="1:6">
      <c r="A63" s="1258" t="s">
        <v>48</v>
      </c>
      <c r="B63" s="1258" t="s">
        <v>28</v>
      </c>
      <c r="C63" s="1259">
        <v>167</v>
      </c>
      <c r="D63" s="1259">
        <v>10469968.919392999</v>
      </c>
      <c r="E63" s="1259">
        <v>295</v>
      </c>
      <c r="F63" s="1259">
        <v>7163520.3450231198</v>
      </c>
    </row>
    <row r="64" spans="1:6">
      <c r="A64" s="1258" t="s">
        <v>55</v>
      </c>
      <c r="B64" s="1258" t="s">
        <v>56</v>
      </c>
      <c r="C64" s="1259">
        <v>0</v>
      </c>
      <c r="D64" s="1259">
        <v>0</v>
      </c>
      <c r="E64" s="1259">
        <v>0</v>
      </c>
      <c r="F64" s="1259">
        <v>0</v>
      </c>
    </row>
    <row r="65" spans="1:6">
      <c r="A65" s="1258" t="s">
        <v>55</v>
      </c>
      <c r="B65" s="1258" t="s">
        <v>28</v>
      </c>
      <c r="C65" s="1259">
        <v>4</v>
      </c>
      <c r="D65" s="1259">
        <v>67095.117099614596</v>
      </c>
      <c r="E65" s="1259">
        <v>8</v>
      </c>
      <c r="F65" s="1259">
        <v>63122.479811258097</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11</v>
      </c>
      <c r="F68" s="1261">
        <v>264006.09123105399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147002018</v>
      </c>
      <c r="E73" s="445"/>
      <c r="F73" s="327"/>
    </row>
    <row r="74" spans="1:6">
      <c r="A74" s="1258" t="s">
        <v>63</v>
      </c>
      <c r="B74" s="1258" t="s">
        <v>724</v>
      </c>
      <c r="C74" s="1271" t="s">
        <v>718</v>
      </c>
      <c r="D74" s="1259">
        <v>20722509.06338745</v>
      </c>
      <c r="E74" s="445"/>
      <c r="F74" s="327"/>
    </row>
    <row r="75" spans="1:6">
      <c r="A75" s="1258" t="s">
        <v>64</v>
      </c>
      <c r="B75" s="1258" t="s">
        <v>723</v>
      </c>
      <c r="C75" s="1271" t="s">
        <v>719</v>
      </c>
      <c r="D75" s="1259">
        <v>55535724</v>
      </c>
      <c r="E75" s="445"/>
      <c r="F75" s="327"/>
    </row>
    <row r="76" spans="1:6">
      <c r="A76" s="1258" t="s">
        <v>64</v>
      </c>
      <c r="B76" s="1258" t="s">
        <v>724</v>
      </c>
      <c r="C76" s="1271" t="s">
        <v>720</v>
      </c>
      <c r="D76" s="1259">
        <v>2535401.0633874503</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842593.87322509976</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4302.7124314660687</v>
      </c>
      <c r="C91" s="327"/>
      <c r="D91" s="327"/>
      <c r="E91" s="327"/>
      <c r="F91" s="327"/>
    </row>
    <row r="92" spans="1:6">
      <c r="A92" s="1253" t="s">
        <v>68</v>
      </c>
      <c r="B92" s="1254">
        <v>3055.1076918419685</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4030</v>
      </c>
      <c r="C97" s="327"/>
      <c r="D97" s="327"/>
      <c r="E97" s="327"/>
      <c r="F97" s="327"/>
    </row>
    <row r="98" spans="1:6">
      <c r="A98" s="1258" t="s">
        <v>71</v>
      </c>
      <c r="B98" s="1259">
        <v>2</v>
      </c>
      <c r="C98" s="327"/>
      <c r="D98" s="327"/>
      <c r="E98" s="327"/>
      <c r="F98" s="327"/>
    </row>
    <row r="99" spans="1:6">
      <c r="A99" s="1258" t="s">
        <v>72</v>
      </c>
      <c r="B99" s="1259">
        <v>188</v>
      </c>
      <c r="C99" s="327"/>
      <c r="D99" s="327"/>
      <c r="E99" s="327"/>
      <c r="F99" s="327"/>
    </row>
    <row r="100" spans="1:6">
      <c r="A100" s="1258" t="s">
        <v>73</v>
      </c>
      <c r="B100" s="1259">
        <v>1269</v>
      </c>
      <c r="C100" s="327"/>
      <c r="D100" s="327"/>
      <c r="E100" s="327"/>
      <c r="F100" s="327"/>
    </row>
    <row r="101" spans="1:6">
      <c r="A101" s="1258" t="s">
        <v>74</v>
      </c>
      <c r="B101" s="1259">
        <v>211</v>
      </c>
      <c r="C101" s="327"/>
      <c r="D101" s="327"/>
      <c r="E101" s="327"/>
      <c r="F101" s="327"/>
    </row>
    <row r="102" spans="1:6">
      <c r="A102" s="1258" t="s">
        <v>75</v>
      </c>
      <c r="B102" s="1259">
        <v>300</v>
      </c>
      <c r="C102" s="327"/>
      <c r="D102" s="327"/>
      <c r="E102" s="327"/>
      <c r="F102" s="327"/>
    </row>
    <row r="103" spans="1:6">
      <c r="A103" s="1258" t="s">
        <v>76</v>
      </c>
      <c r="B103" s="1259">
        <v>540</v>
      </c>
      <c r="C103" s="327"/>
      <c r="D103" s="327"/>
      <c r="E103" s="327"/>
      <c r="F103" s="327"/>
    </row>
    <row r="104" spans="1:6">
      <c r="A104" s="1258" t="s">
        <v>77</v>
      </c>
      <c r="B104" s="1259">
        <v>7256</v>
      </c>
      <c r="C104" s="327"/>
      <c r="D104" s="327"/>
      <c r="E104" s="327"/>
      <c r="F104" s="327"/>
    </row>
    <row r="105" spans="1:6">
      <c r="A105" s="1253" t="s">
        <v>78</v>
      </c>
      <c r="B105" s="1261">
        <v>9</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1</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17</v>
      </c>
      <c r="C123" s="1259">
        <v>14</v>
      </c>
      <c r="D123" s="327"/>
      <c r="E123" s="327"/>
      <c r="F123" s="327"/>
    </row>
    <row r="124" spans="1:6">
      <c r="A124" s="1258" t="s">
        <v>88</v>
      </c>
      <c r="B124" s="1259">
        <v>0</v>
      </c>
      <c r="C124" s="1259">
        <v>1</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68</v>
      </c>
      <c r="C129" s="327"/>
      <c r="D129" s="327"/>
      <c r="E129" s="327"/>
      <c r="F129" s="327"/>
    </row>
    <row r="130" spans="1:6">
      <c r="A130" s="1258" t="s">
        <v>284</v>
      </c>
      <c r="B130" s="1259">
        <v>2</v>
      </c>
      <c r="C130" s="327"/>
      <c r="D130" s="327"/>
      <c r="E130" s="327"/>
      <c r="F130" s="327"/>
    </row>
    <row r="131" spans="1:6">
      <c r="A131" s="1258" t="s">
        <v>285</v>
      </c>
      <c r="B131" s="1259">
        <v>1</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179953.69145515808</v>
      </c>
      <c r="C3" s="44" t="s">
        <v>163</v>
      </c>
      <c r="D3" s="44"/>
      <c r="E3" s="157"/>
      <c r="F3" s="44"/>
      <c r="G3" s="44"/>
      <c r="H3" s="44"/>
      <c r="I3" s="44"/>
      <c r="J3" s="44"/>
      <c r="K3" s="97"/>
    </row>
    <row r="4" spans="1:11">
      <c r="A4" s="352" t="s">
        <v>164</v>
      </c>
      <c r="B4" s="50">
        <f>IF(ISERROR('SEAP template'!B78+'SEAP template'!C78),0,'SEAP template'!B78+'SEAP template'!C78)</f>
        <v>9544.8201233080363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0.20927806626141529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2608.9119999999998</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2608.9119999999998</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0.20927806626141529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545.9880584062015</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67649.22670391039</v>
      </c>
      <c r="C5" s="18">
        <f>IF(ISERROR('Eigen informatie GS &amp; warmtenet'!B57),0,'Eigen informatie GS &amp; warmtenet'!B57)</f>
        <v>0</v>
      </c>
      <c r="D5" s="31">
        <f>(SUM(HH_hh_gas_kWh,HH_rest_gas_kWh)/1000)*0.902</f>
        <v>110325.03048903766</v>
      </c>
      <c r="E5" s="18">
        <f>B32*B41</f>
        <v>4515.2250135222102</v>
      </c>
      <c r="F5" s="18">
        <f>B36*B45</f>
        <v>137656.10162819605</v>
      </c>
      <c r="G5" s="19"/>
      <c r="H5" s="18"/>
      <c r="I5" s="18"/>
      <c r="J5" s="18">
        <f>B35*B44+C35*C44</f>
        <v>2497.7219983484861</v>
      </c>
      <c r="K5" s="18"/>
      <c r="L5" s="18"/>
      <c r="M5" s="18"/>
      <c r="N5" s="18">
        <f>B34*B43+C34*C43</f>
        <v>23572.444744141867</v>
      </c>
      <c r="O5" s="18">
        <f>B52*B53*B54</f>
        <v>129.75666666666669</v>
      </c>
      <c r="P5" s="18">
        <f>B60*B61*B62/1000-B60*B61*B62/1000/B63</f>
        <v>591.06666666666661</v>
      </c>
    </row>
    <row r="6" spans="1:16">
      <c r="A6" s="17" t="s">
        <v>597</v>
      </c>
      <c r="B6" s="731">
        <f>kWh_PV_kleiner_dan_10kW</f>
        <v>4302.7124314660687</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71951.939135376451</v>
      </c>
      <c r="C8" s="22">
        <f>C5</f>
        <v>0</v>
      </c>
      <c r="D8" s="22">
        <f>D5</f>
        <v>110325.03048903766</v>
      </c>
      <c r="E8" s="22">
        <f>E5</f>
        <v>4515.2250135222102</v>
      </c>
      <c r="F8" s="22">
        <f>F5</f>
        <v>137656.10162819605</v>
      </c>
      <c r="G8" s="22"/>
      <c r="H8" s="22"/>
      <c r="I8" s="22"/>
      <c r="J8" s="22">
        <f>J5</f>
        <v>2497.7219983484861</v>
      </c>
      <c r="K8" s="22"/>
      <c r="L8" s="22">
        <f>L5</f>
        <v>0</v>
      </c>
      <c r="M8" s="22">
        <f>M5</f>
        <v>0</v>
      </c>
      <c r="N8" s="22">
        <f>N5</f>
        <v>23572.444744141867</v>
      </c>
      <c r="O8" s="22">
        <f>O5</f>
        <v>129.75666666666669</v>
      </c>
      <c r="P8" s="22">
        <f>P5</f>
        <v>591.06666666666661</v>
      </c>
    </row>
    <row r="9" spans="1:16">
      <c r="B9" s="20"/>
      <c r="C9" s="20"/>
      <c r="D9" s="258"/>
      <c r="E9" s="20"/>
      <c r="F9" s="20"/>
      <c r="G9" s="20"/>
      <c r="H9" s="20"/>
      <c r="I9" s="20"/>
      <c r="J9" s="20"/>
      <c r="K9" s="20"/>
      <c r="L9" s="20"/>
      <c r="M9" s="20"/>
      <c r="N9" s="20"/>
      <c r="O9" s="20"/>
      <c r="P9" s="20"/>
    </row>
    <row r="10" spans="1:16">
      <c r="A10" s="25" t="s">
        <v>207</v>
      </c>
      <c r="B10" s="26">
        <f ca="1">'EF ele_warmte'!B12</f>
        <v>0.20927806626141529</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15057.962686010633</v>
      </c>
      <c r="C12" s="24">
        <f ca="1">C10*C8</f>
        <v>0</v>
      </c>
      <c r="D12" s="24">
        <f>D8*D10</f>
        <v>22285.656158785609</v>
      </c>
      <c r="E12" s="24">
        <f>E10*E8</f>
        <v>1024.9560780695417</v>
      </c>
      <c r="F12" s="24">
        <f>F10*F8</f>
        <v>36754.179134728343</v>
      </c>
      <c r="G12" s="24"/>
      <c r="H12" s="24"/>
      <c r="I12" s="24"/>
      <c r="J12" s="24">
        <f>J10*J8</f>
        <v>884.19358741536405</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15725</v>
      </c>
      <c r="C26" s="37"/>
      <c r="D26" s="228"/>
    </row>
    <row r="27" spans="1:5" s="16" customFormat="1">
      <c r="A27" s="230" t="s">
        <v>623</v>
      </c>
      <c r="B27" s="38">
        <f>SUM(HH_hh_gas_aantal,HH_rest_gas_aantal)</f>
        <v>7382</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7012.9</v>
      </c>
      <c r="C31" s="35" t="s">
        <v>104</v>
      </c>
      <c r="D31" s="174"/>
    </row>
    <row r="32" spans="1:5">
      <c r="A32" s="171" t="s">
        <v>72</v>
      </c>
      <c r="B32" s="34">
        <f>IF((B21*($B$26-($B$27-0.05*$B$27)-$B$60))&lt;0,0,B21*($B$26-($B$27-0.05*$B$27)-$B$60))</f>
        <v>213.34090219706596</v>
      </c>
      <c r="C32" s="35" t="s">
        <v>104</v>
      </c>
      <c r="D32" s="174"/>
    </row>
    <row r="33" spans="1:6">
      <c r="A33" s="171" t="s">
        <v>73</v>
      </c>
      <c r="B33" s="34">
        <f>IF((B22*($B$26-($B$27-0.05*$B$27)-$B$60))&lt;0,0,B22*($B$26-($B$27-0.05*$B$27)-$B$60))</f>
        <v>1436.0344864246335</v>
      </c>
      <c r="C33" s="35" t="s">
        <v>104</v>
      </c>
      <c r="D33" s="174"/>
    </row>
    <row r="34" spans="1:6">
      <c r="A34" s="171" t="s">
        <v>74</v>
      </c>
      <c r="B34" s="34">
        <f>IF((B24*($B$26-($B$27-0.05*$B$27)-$B$60))&lt;0,0,B24*($B$26-($B$27-0.05*$B$27)-$B$60))</f>
        <v>364.20861462158729</v>
      </c>
      <c r="C34" s="34">
        <f>B26*C24</f>
        <v>3215.799102596161</v>
      </c>
      <c r="D34" s="233"/>
    </row>
    <row r="35" spans="1:6">
      <c r="A35" s="171" t="s">
        <v>76</v>
      </c>
      <c r="B35" s="34">
        <f>IF((B19*($B$26-($B$27-0.05*$B$27)-$B$60))&lt;0,0,B19*($B$26-($B$27-0.05*$B$27)-$B$60))</f>
        <v>135.40123720717079</v>
      </c>
      <c r="C35" s="34">
        <f>B35/2</f>
        <v>67.700618603585397</v>
      </c>
      <c r="D35" s="233"/>
    </row>
    <row r="36" spans="1:6">
      <c r="A36" s="171" t="s">
        <v>77</v>
      </c>
      <c r="B36" s="34">
        <f>IF((B18*($B$26-($B$27-0.05*$B$27)-$B$60))&lt;0,0,B18*($B$26-($B$27-0.05*$B$27)-$B$60))</f>
        <v>6532.1147595495404</v>
      </c>
      <c r="C36" s="35" t="s">
        <v>104</v>
      </c>
      <c r="D36" s="174"/>
    </row>
    <row r="37" spans="1:6">
      <c r="A37" s="171" t="s">
        <v>78</v>
      </c>
      <c r="B37" s="34">
        <f>B60</f>
        <v>31</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83</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31</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50116.668014570299</v>
      </c>
      <c r="C5" s="18">
        <f>IF(ISERROR('Eigen informatie GS &amp; warmtenet'!B58),0,'Eigen informatie GS &amp; warmtenet'!B58)</f>
        <v>0</v>
      </c>
      <c r="D5" s="31">
        <f>SUM(D6:D12)</f>
        <v>48475.972768903695</v>
      </c>
      <c r="E5" s="18">
        <f>SUM(E6:E12)</f>
        <v>465.04412026273343</v>
      </c>
      <c r="F5" s="18">
        <f>SUM(F6:F12)</f>
        <v>9758.7591801017643</v>
      </c>
      <c r="G5" s="19"/>
      <c r="H5" s="18"/>
      <c r="I5" s="18"/>
      <c r="J5" s="18">
        <f>SUM(J6:J12)</f>
        <v>0</v>
      </c>
      <c r="K5" s="18"/>
      <c r="L5" s="18"/>
      <c r="M5" s="18"/>
      <c r="N5" s="18">
        <f>SUM(N6:N12)</f>
        <v>2541.1009074285062</v>
      </c>
      <c r="O5" s="18">
        <f>B38*B39*B40</f>
        <v>3.1266666666666669</v>
      </c>
      <c r="P5" s="18">
        <f>B46*B47*B48/1000-B46*B47*B48/1000/B49</f>
        <v>19.066666666666666</v>
      </c>
      <c r="R5" s="33"/>
    </row>
    <row r="6" spans="1:18">
      <c r="A6" s="33" t="s">
        <v>53</v>
      </c>
      <c r="B6" s="38">
        <f>B26</f>
        <v>9451.8975843249591</v>
      </c>
      <c r="C6" s="34"/>
      <c r="D6" s="38">
        <f>IF(ISERROR(TER_kantoor_gas_kWh/1000),0,TER_kantoor_gas_kWh/1000)*0.902</f>
        <v>14026.865963009715</v>
      </c>
      <c r="E6" s="34">
        <f>$C$26*'E Balans VL '!I12/100/3.6*1000000</f>
        <v>15.439958933393527</v>
      </c>
      <c r="F6" s="34">
        <f>$C$26*('E Balans VL '!L12+'E Balans VL '!N12)/100/3.6*1000000</f>
        <v>1110.4281116171687</v>
      </c>
      <c r="G6" s="35"/>
      <c r="H6" s="34"/>
      <c r="I6" s="34"/>
      <c r="J6" s="34">
        <f>$C$26*('E Balans VL '!D12+'E Balans VL '!E12)/100/3.6*1000000</f>
        <v>0</v>
      </c>
      <c r="K6" s="34"/>
      <c r="L6" s="34"/>
      <c r="M6" s="34"/>
      <c r="N6" s="34">
        <f>$C$26*'E Balans VL '!Y12/100/3.6*1000000</f>
        <v>68.821903476791988</v>
      </c>
      <c r="O6" s="34"/>
      <c r="P6" s="34"/>
      <c r="R6" s="33"/>
    </row>
    <row r="7" spans="1:18">
      <c r="A7" s="33" t="s">
        <v>52</v>
      </c>
      <c r="B7" s="38">
        <f t="shared" ref="B7:B12" si="0">B27</f>
        <v>4432.3001937459803</v>
      </c>
      <c r="C7" s="34"/>
      <c r="D7" s="38">
        <f>IF(ISERROR(TER_horeca_gas_kWh/1000),0,TER_horeca_gas_kWh/1000)*0.902</f>
        <v>4232.8007936956265</v>
      </c>
      <c r="E7" s="34">
        <f>$C$27*'E Balans VL '!I9/100/3.6*1000000</f>
        <v>229.31367766899535</v>
      </c>
      <c r="F7" s="34">
        <f>$C$27*('E Balans VL '!L9+'E Balans VL '!N9)/100/3.6*1000000</f>
        <v>1008.4170461809518</v>
      </c>
      <c r="G7" s="35"/>
      <c r="H7" s="34"/>
      <c r="I7" s="34"/>
      <c r="J7" s="34">
        <f>$C$27*('E Balans VL '!D9+'E Balans VL '!E9)/100/3.6*1000000</f>
        <v>0</v>
      </c>
      <c r="K7" s="34"/>
      <c r="L7" s="34"/>
      <c r="M7" s="34"/>
      <c r="N7" s="34">
        <f>$C$27*'E Balans VL '!Y9/100/3.6*1000000</f>
        <v>0.46664374206082321</v>
      </c>
      <c r="O7" s="34"/>
      <c r="P7" s="34"/>
      <c r="R7" s="33"/>
    </row>
    <row r="8" spans="1:18">
      <c r="A8" s="6" t="s">
        <v>51</v>
      </c>
      <c r="B8" s="38">
        <f t="shared" si="0"/>
        <v>23656.507036722702</v>
      </c>
      <c r="C8" s="34"/>
      <c r="D8" s="38">
        <f>IF(ISERROR(TER_handel_gas_kWh/1000),0,TER_handel_gas_kWh/1000)*0.902</f>
        <v>15393.478737794332</v>
      </c>
      <c r="E8" s="34">
        <f>$C$28*'E Balans VL '!I13/100/3.6*1000000</f>
        <v>124.2616229444729</v>
      </c>
      <c r="F8" s="34">
        <f>$C$28*('E Balans VL '!L13+'E Balans VL '!N13)/100/3.6*1000000</f>
        <v>4460.0438418898948</v>
      </c>
      <c r="G8" s="35"/>
      <c r="H8" s="34"/>
      <c r="I8" s="34"/>
      <c r="J8" s="34">
        <f>$C$28*('E Balans VL '!D13+'E Balans VL '!E13)/100/3.6*1000000</f>
        <v>0</v>
      </c>
      <c r="K8" s="34"/>
      <c r="L8" s="34"/>
      <c r="M8" s="34"/>
      <c r="N8" s="34">
        <f>$C$28*'E Balans VL '!Y13/100/3.6*1000000</f>
        <v>117.27817645237137</v>
      </c>
      <c r="O8" s="34"/>
      <c r="P8" s="34"/>
      <c r="R8" s="33"/>
    </row>
    <row r="9" spans="1:18">
      <c r="A9" s="33" t="s">
        <v>50</v>
      </c>
      <c r="B9" s="38">
        <f t="shared" si="0"/>
        <v>486.93422157709898</v>
      </c>
      <c r="C9" s="34"/>
      <c r="D9" s="38">
        <f>IF(ISERROR(TER_gezond_gas_kWh/1000),0,TER_gezond_gas_kWh/1000)*0.902</f>
        <v>822.77714110643558</v>
      </c>
      <c r="E9" s="34">
        <f>$C$29*'E Balans VL '!I10/100/3.6*1000000</f>
        <v>0.43227268588264345</v>
      </c>
      <c r="F9" s="34">
        <f>$C$29*('E Balans VL '!L10+'E Balans VL '!N10)/100/3.6*1000000</f>
        <v>151.3465601545501</v>
      </c>
      <c r="G9" s="35"/>
      <c r="H9" s="34"/>
      <c r="I9" s="34"/>
      <c r="J9" s="34">
        <f>$C$29*('E Balans VL '!D10+'E Balans VL '!E10)/100/3.6*1000000</f>
        <v>0</v>
      </c>
      <c r="K9" s="34"/>
      <c r="L9" s="34"/>
      <c r="M9" s="34"/>
      <c r="N9" s="34">
        <f>$C$29*'E Balans VL '!Y10/100/3.6*1000000</f>
        <v>3.7586413153938993</v>
      </c>
      <c r="O9" s="34"/>
      <c r="P9" s="34"/>
      <c r="R9" s="33"/>
    </row>
    <row r="10" spans="1:18">
      <c r="A10" s="33" t="s">
        <v>49</v>
      </c>
      <c r="B10" s="38">
        <f t="shared" si="0"/>
        <v>4074.8341975250701</v>
      </c>
      <c r="C10" s="34"/>
      <c r="D10" s="38">
        <f>IF(ISERROR(TER_ander_gas_kWh/1000),0,TER_ander_gas_kWh/1000)*0.902</f>
        <v>2442.2371500536369</v>
      </c>
      <c r="E10" s="34">
        <f>$C$30*'E Balans VL '!I14/100/3.6*1000000</f>
        <v>33.236119834810296</v>
      </c>
      <c r="F10" s="34">
        <f>$C$30*('E Balans VL '!L14+'E Balans VL '!N14)/100/3.6*1000000</f>
        <v>1187.738514686283</v>
      </c>
      <c r="G10" s="35"/>
      <c r="H10" s="34"/>
      <c r="I10" s="34"/>
      <c r="J10" s="34">
        <f>$C$30*('E Balans VL '!D14+'E Balans VL '!E14)/100/3.6*1000000</f>
        <v>0</v>
      </c>
      <c r="K10" s="34"/>
      <c r="L10" s="34"/>
      <c r="M10" s="34"/>
      <c r="N10" s="34">
        <f>$C$30*'E Balans VL '!Y14/100/3.6*1000000</f>
        <v>1935.3646022866658</v>
      </c>
      <c r="O10" s="34"/>
      <c r="P10" s="34"/>
      <c r="R10" s="33"/>
    </row>
    <row r="11" spans="1:18">
      <c r="A11" s="33" t="s">
        <v>54</v>
      </c>
      <c r="B11" s="38">
        <f t="shared" si="0"/>
        <v>850.67443565136409</v>
      </c>
      <c r="C11" s="34"/>
      <c r="D11" s="38">
        <f>IF(ISERROR(TER_onderwijs_gas_kWh/1000),0,TER_onderwijs_gas_kWh/1000)*0.902</f>
        <v>2113.9010179514626</v>
      </c>
      <c r="E11" s="34">
        <f>$C$31*'E Balans VL '!I11/100/3.6*1000000</f>
        <v>0.70968905578740016</v>
      </c>
      <c r="F11" s="34">
        <f>$C$31*('E Balans VL '!L11+'E Balans VL '!N11)/100/3.6*1000000</f>
        <v>445.15909356580835</v>
      </c>
      <c r="G11" s="35"/>
      <c r="H11" s="34"/>
      <c r="I11" s="34"/>
      <c r="J11" s="34">
        <f>$C$31*('E Balans VL '!D11+'E Balans VL '!E11)/100/3.6*1000000</f>
        <v>0</v>
      </c>
      <c r="K11" s="34"/>
      <c r="L11" s="34"/>
      <c r="M11" s="34"/>
      <c r="N11" s="34">
        <f>$C$31*'E Balans VL '!Y11/100/3.6*1000000</f>
        <v>3.7453349233111743</v>
      </c>
      <c r="O11" s="34"/>
      <c r="P11" s="34"/>
      <c r="R11" s="33"/>
    </row>
    <row r="12" spans="1:18">
      <c r="A12" s="33" t="s">
        <v>249</v>
      </c>
      <c r="B12" s="38">
        <f t="shared" si="0"/>
        <v>7163.5203450231202</v>
      </c>
      <c r="C12" s="34"/>
      <c r="D12" s="38">
        <f>IF(ISERROR(TER_rest_gas_kWh/1000),0,TER_rest_gas_kWh/1000)*0.902</f>
        <v>9443.9119652924855</v>
      </c>
      <c r="E12" s="34">
        <f>$C$32*'E Balans VL '!I8/100/3.6*1000000</f>
        <v>61.650779139391332</v>
      </c>
      <c r="F12" s="34">
        <f>$C$32*('E Balans VL '!L8+'E Balans VL '!N8)/100/3.6*1000000</f>
        <v>1395.6260120071076</v>
      </c>
      <c r="G12" s="35"/>
      <c r="H12" s="34"/>
      <c r="I12" s="34"/>
      <c r="J12" s="34">
        <f>$C$32*('E Balans VL '!D8+'E Balans VL '!E8)/100/3.6*1000000</f>
        <v>0</v>
      </c>
      <c r="K12" s="34"/>
      <c r="L12" s="34"/>
      <c r="M12" s="34"/>
      <c r="N12" s="34">
        <f>$C$32*'E Balans VL '!Y8/100/3.6*1000000</f>
        <v>411.66560523191146</v>
      </c>
      <c r="O12" s="34"/>
      <c r="P12" s="34"/>
      <c r="R12" s="33"/>
    </row>
    <row r="13" spans="1:18">
      <c r="A13" s="17" t="s">
        <v>488</v>
      </c>
      <c r="B13" s="246">
        <f ca="1">'lokale energieproductie'!N38+'lokale energieproductie'!N31</f>
        <v>2187</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-6248.5714285714294</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52303.668014570299</v>
      </c>
      <c r="C16" s="22">
        <f t="shared" ca="1" si="1"/>
        <v>0</v>
      </c>
      <c r="D16" s="22">
        <f t="shared" ca="1" si="1"/>
        <v>48475.972768903695</v>
      </c>
      <c r="E16" s="22">
        <f t="shared" si="1"/>
        <v>465.04412026273343</v>
      </c>
      <c r="F16" s="22">
        <f t="shared" ca="1" si="1"/>
        <v>9758.7591801017643</v>
      </c>
      <c r="G16" s="22">
        <f t="shared" si="1"/>
        <v>0</v>
      </c>
      <c r="H16" s="22">
        <f t="shared" si="1"/>
        <v>0</v>
      </c>
      <c r="I16" s="22">
        <f t="shared" si="1"/>
        <v>0</v>
      </c>
      <c r="J16" s="22">
        <f t="shared" si="1"/>
        <v>0</v>
      </c>
      <c r="K16" s="22">
        <f t="shared" si="1"/>
        <v>0</v>
      </c>
      <c r="L16" s="22">
        <f t="shared" ca="1" si="1"/>
        <v>0</v>
      </c>
      <c r="M16" s="22">
        <f t="shared" si="1"/>
        <v>0</v>
      </c>
      <c r="N16" s="22">
        <f t="shared" ca="1" si="1"/>
        <v>0</v>
      </c>
      <c r="O16" s="22">
        <f>O5</f>
        <v>3.1266666666666669</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0.20927806626141529</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10946.01050046831</v>
      </c>
      <c r="C20" s="24">
        <f t="shared" ref="C20:P20" ca="1" si="2">C16*C18</f>
        <v>0</v>
      </c>
      <c r="D20" s="24">
        <f t="shared" ca="1" si="2"/>
        <v>9792.1464993185473</v>
      </c>
      <c r="E20" s="24">
        <f t="shared" si="2"/>
        <v>105.56501529964049</v>
      </c>
      <c r="F20" s="24">
        <f t="shared" ca="1" si="2"/>
        <v>2605.5887010871711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9451.8975843249591</v>
      </c>
      <c r="C26" s="40">
        <f>IF(ISERROR(B26*3.6/1000000/'E Balans VL '!Z12*100),0,B26*3.6/1000000/'E Balans VL '!Z12*100)</f>
        <v>0.20033350193611163</v>
      </c>
      <c r="D26" s="236" t="s">
        <v>660</v>
      </c>
      <c r="F26" s="6"/>
    </row>
    <row r="27" spans="1:18">
      <c r="A27" s="231" t="s">
        <v>52</v>
      </c>
      <c r="B27" s="34">
        <f>IF(ISERROR(TER_horeca_ele_kWh/1000),0,TER_horeca_ele_kWh/1000)</f>
        <v>4432.3001937459803</v>
      </c>
      <c r="C27" s="40">
        <f>IF(ISERROR(B27*3.6/1000000/'E Balans VL '!Z9*100),0,B27*3.6/1000000/'E Balans VL '!Z9*100)</f>
        <v>0.34780900029378126</v>
      </c>
      <c r="D27" s="236" t="s">
        <v>660</v>
      </c>
      <c r="F27" s="6"/>
    </row>
    <row r="28" spans="1:18">
      <c r="A28" s="171" t="s">
        <v>51</v>
      </c>
      <c r="B28" s="34">
        <f>IF(ISERROR(TER_handel_ele_kWh/1000),0,TER_handel_ele_kWh/1000)</f>
        <v>23656.507036722702</v>
      </c>
      <c r="C28" s="40">
        <f>IF(ISERROR(B28*3.6/1000000/'E Balans VL '!Z13*100),0,B28*3.6/1000000/'E Balans VL '!Z13*100)</f>
        <v>0.66064214002648225</v>
      </c>
      <c r="D28" s="236" t="s">
        <v>660</v>
      </c>
      <c r="F28" s="6"/>
    </row>
    <row r="29" spans="1:18">
      <c r="A29" s="231" t="s">
        <v>50</v>
      </c>
      <c r="B29" s="34">
        <f>IF(ISERROR(TER_gezond_ele_kWh/1000),0,TER_gezond_ele_kWh/1000)</f>
        <v>486.93422157709898</v>
      </c>
      <c r="C29" s="40">
        <f>IF(ISERROR(B29*3.6/1000000/'E Balans VL '!Z10*100),0,B29*3.6/1000000/'E Balans VL '!Z10*100)</f>
        <v>5.5802334351613081E-2</v>
      </c>
      <c r="D29" s="236" t="s">
        <v>660</v>
      </c>
      <c r="F29" s="6"/>
    </row>
    <row r="30" spans="1:18">
      <c r="A30" s="231" t="s">
        <v>49</v>
      </c>
      <c r="B30" s="34">
        <f>IF(ISERROR(TER_ander_ele_kWh/1000),0,TER_ander_ele_kWh/1000)</f>
        <v>4074.8341975250701</v>
      </c>
      <c r="C30" s="40">
        <f>IF(ISERROR(B30*3.6/1000000/'E Balans VL '!Z14*100),0,B30*3.6/1000000/'E Balans VL '!Z14*100)</f>
        <v>0.30384833452963445</v>
      </c>
      <c r="D30" s="236" t="s">
        <v>660</v>
      </c>
      <c r="F30" s="6"/>
    </row>
    <row r="31" spans="1:18">
      <c r="A31" s="231" t="s">
        <v>54</v>
      </c>
      <c r="B31" s="34">
        <f>IF(ISERROR(TER_onderwijs_ele_kWh/1000),0,TER_onderwijs_ele_kWh/1000)</f>
        <v>850.67443565136409</v>
      </c>
      <c r="C31" s="40">
        <f>IF(ISERROR(B31*3.6/1000000/'E Balans VL '!Z11*100),0,B31*3.6/1000000/'E Balans VL '!Z11*100)</f>
        <v>0.24312462988063449</v>
      </c>
      <c r="D31" s="236" t="s">
        <v>660</v>
      </c>
    </row>
    <row r="32" spans="1:18">
      <c r="A32" s="231" t="s">
        <v>249</v>
      </c>
      <c r="B32" s="34">
        <f>IF(ISERROR(TER_rest_ele_kWh/1000),0,TER_rest_ele_kWh/1000)</f>
        <v>7163.5203450231202</v>
      </c>
      <c r="C32" s="40">
        <f>IF(ISERROR(B32*3.6/1000000/'E Balans VL '!Z8*100),0,B32*3.6/1000000/'E Balans VL '!Z8*100)</f>
        <v>5.9022952279383367E-2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2</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49165.577216029618</v>
      </c>
      <c r="C5" s="18">
        <f>IF(ISERROR('Eigen informatie GS &amp; warmtenet'!B59),0,'Eigen informatie GS &amp; warmtenet'!B59)</f>
        <v>0</v>
      </c>
      <c r="D5" s="31">
        <f>SUM(D6:D15)</f>
        <v>52038.673124754321</v>
      </c>
      <c r="E5" s="18">
        <f>SUM(E6:E15)</f>
        <v>461.55736100831871</v>
      </c>
      <c r="F5" s="18">
        <f>SUM(F6:F15)</f>
        <v>9733.3735340979256</v>
      </c>
      <c r="G5" s="19"/>
      <c r="H5" s="18"/>
      <c r="I5" s="18"/>
      <c r="J5" s="18">
        <f>SUM(J6:J15)</f>
        <v>190.29211955040762</v>
      </c>
      <c r="K5" s="18"/>
      <c r="L5" s="18"/>
      <c r="M5" s="18"/>
      <c r="N5" s="18">
        <f>SUM(N6:N15)</f>
        <v>1372.6811835817982</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2637.2957090479899</v>
      </c>
      <c r="C8" s="34"/>
      <c r="D8" s="38">
        <f>IF( ISERROR(IND_metaal_Gas_kWH/1000),0,IND_metaal_Gas_kWH/1000)*0.902</f>
        <v>559.29937240088407</v>
      </c>
      <c r="E8" s="34">
        <f>C30*'E Balans VL '!I18/100/3.6*1000000</f>
        <v>24.01737674903098</v>
      </c>
      <c r="F8" s="34">
        <f>C30*'E Balans VL '!L18/100/3.6*1000000+C30*'E Balans VL '!N18/100/3.6*1000000</f>
        <v>347.83927605582414</v>
      </c>
      <c r="G8" s="35"/>
      <c r="H8" s="34"/>
      <c r="I8" s="34"/>
      <c r="J8" s="41">
        <f>C30*'E Balans VL '!D18/100/3.6*1000000+C30*'E Balans VL '!E18/100/3.6*1000000</f>
        <v>43.247820412903422</v>
      </c>
      <c r="K8" s="34"/>
      <c r="L8" s="34"/>
      <c r="M8" s="34"/>
      <c r="N8" s="34">
        <f>C30*'E Balans VL '!Y18/100/3.6*1000000</f>
        <v>9.0633376889649817</v>
      </c>
      <c r="O8" s="34"/>
      <c r="P8" s="34"/>
      <c r="R8" s="33"/>
    </row>
    <row r="9" spans="1:18">
      <c r="A9" s="6" t="s">
        <v>32</v>
      </c>
      <c r="B9" s="38">
        <f t="shared" si="0"/>
        <v>2441.36090559375</v>
      </c>
      <c r="C9" s="34"/>
      <c r="D9" s="38">
        <f>IF( ISERROR(IND_andere_gas_kWh/1000),0,IND_andere_gas_kWh/1000)*0.902</f>
        <v>1724.3014503181746</v>
      </c>
      <c r="E9" s="34">
        <f>C31*'E Balans VL '!I19/100/3.6*1000000</f>
        <v>14.111430865542939</v>
      </c>
      <c r="F9" s="34">
        <f>C31*'E Balans VL '!L19/100/3.6*1000000+C31*'E Balans VL '!N19/100/3.6*1000000</f>
        <v>1942.2200740380026</v>
      </c>
      <c r="G9" s="35"/>
      <c r="H9" s="34"/>
      <c r="I9" s="34"/>
      <c r="J9" s="41">
        <f>C31*'E Balans VL '!D19/100/3.6*1000000+C31*'E Balans VL '!E19/100/3.6*1000000</f>
        <v>0.23092562380031048</v>
      </c>
      <c r="K9" s="34"/>
      <c r="L9" s="34"/>
      <c r="M9" s="34"/>
      <c r="N9" s="34">
        <f>C31*'E Balans VL '!Y19/100/3.6*1000000</f>
        <v>184.97003446342026</v>
      </c>
      <c r="O9" s="34"/>
      <c r="P9" s="34"/>
      <c r="R9" s="33"/>
    </row>
    <row r="10" spans="1:18">
      <c r="A10" s="6" t="s">
        <v>40</v>
      </c>
      <c r="B10" s="38">
        <f t="shared" si="0"/>
        <v>14843.625387093101</v>
      </c>
      <c r="C10" s="34"/>
      <c r="D10" s="38">
        <f>IF( ISERROR(IND_voed_gas_kWh/1000),0,IND_voed_gas_kWh/1000)*0.902</f>
        <v>26391.686984781765</v>
      </c>
      <c r="E10" s="34">
        <f>C32*'E Balans VL '!I20/100/3.6*1000000</f>
        <v>145.95167072519666</v>
      </c>
      <c r="F10" s="34">
        <f>C32*'E Balans VL '!L20/100/3.6*1000000+C32*'E Balans VL '!N20/100/3.6*1000000</f>
        <v>1648.5783478003486</v>
      </c>
      <c r="G10" s="35"/>
      <c r="H10" s="34"/>
      <c r="I10" s="34"/>
      <c r="J10" s="41">
        <f>C32*'E Balans VL '!D20/100/3.6*1000000+C32*'E Balans VL '!E20/100/3.6*1000000</f>
        <v>5.8505466250982532E-2</v>
      </c>
      <c r="K10" s="34"/>
      <c r="L10" s="34"/>
      <c r="M10" s="34"/>
      <c r="N10" s="34">
        <f>C32*'E Balans VL '!Y20/100/3.6*1000000</f>
        <v>219.79917609553405</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544.75577385538702</v>
      </c>
      <c r="C12" s="34"/>
      <c r="D12" s="38">
        <f>IF( ISERROR(IND_min_gas_kWh/1000),0,IND_min_gas_kWh/1000)*0.902</f>
        <v>0</v>
      </c>
      <c r="E12" s="34">
        <f>C34*'E Balans VL '!I22/100/3.6*1000000</f>
        <v>13.810528257452276</v>
      </c>
      <c r="F12" s="34">
        <f>C34*'E Balans VL '!L22/100/3.6*1000000+C34*'E Balans VL '!N22/100/3.6*1000000</f>
        <v>150.73582142121413</v>
      </c>
      <c r="G12" s="35"/>
      <c r="H12" s="34"/>
      <c r="I12" s="34"/>
      <c r="J12" s="41">
        <f>C34*'E Balans VL '!D22/100/3.6*1000000+C34*'E Balans VL '!E22/100/3.6*1000000</f>
        <v>3.5976765997191746</v>
      </c>
      <c r="K12" s="34"/>
      <c r="L12" s="34"/>
      <c r="M12" s="34"/>
      <c r="N12" s="34">
        <f>C34*'E Balans VL '!Y22/100/3.6*1000000</f>
        <v>0</v>
      </c>
      <c r="O12" s="34"/>
      <c r="P12" s="34"/>
      <c r="R12" s="33"/>
    </row>
    <row r="13" spans="1:18">
      <c r="A13" s="6" t="s">
        <v>38</v>
      </c>
      <c r="B13" s="38">
        <f t="shared" si="0"/>
        <v>230.90620761249102</v>
      </c>
      <c r="C13" s="34"/>
      <c r="D13" s="38">
        <f>IF( ISERROR(IND_papier_gas_kWh/1000),0,IND_papier_gas_kWh/1000)*0.902</f>
        <v>0</v>
      </c>
      <c r="E13" s="34">
        <f>C35*'E Balans VL '!I23/100/3.6*1000000</f>
        <v>7.8650002236373187</v>
      </c>
      <c r="F13" s="34">
        <f>C35*'E Balans VL '!L23/100/3.6*1000000+C35*'E Balans VL '!N23/100/3.6*1000000</f>
        <v>38.140286245543329</v>
      </c>
      <c r="G13" s="35"/>
      <c r="H13" s="34"/>
      <c r="I13" s="34"/>
      <c r="J13" s="41">
        <f>C35*'E Balans VL '!D23/100/3.6*1000000+C35*'E Balans VL '!E23/100/3.6*1000000</f>
        <v>0</v>
      </c>
      <c r="K13" s="34"/>
      <c r="L13" s="34"/>
      <c r="M13" s="34"/>
      <c r="N13" s="34">
        <f>C35*'E Balans VL '!Y23/100/3.6*1000000</f>
        <v>84.967291976945589</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28467.633232826898</v>
      </c>
      <c r="C15" s="34"/>
      <c r="D15" s="38">
        <f>IF( ISERROR(IND_rest_gas_kWh/1000),0,IND_rest_gas_kWh/1000)*0.902</f>
        <v>23363.385317253495</v>
      </c>
      <c r="E15" s="34">
        <f>C37*'E Balans VL '!I15/100/3.6*1000000</f>
        <v>255.80135418745849</v>
      </c>
      <c r="F15" s="34">
        <f>C37*'E Balans VL '!L15/100/3.6*1000000+C37*'E Balans VL '!N15/100/3.6*1000000</f>
        <v>5605.8597285369933</v>
      </c>
      <c r="G15" s="35"/>
      <c r="H15" s="34"/>
      <c r="I15" s="34"/>
      <c r="J15" s="41">
        <f>C37*'E Balans VL '!D15/100/3.6*1000000+C37*'E Balans VL '!E15/100/3.6*1000000</f>
        <v>143.15719144773374</v>
      </c>
      <c r="K15" s="34"/>
      <c r="L15" s="34"/>
      <c r="M15" s="34"/>
      <c r="N15" s="34">
        <f>C37*'E Balans VL '!Y15/100/3.6*1000000</f>
        <v>873.88134335693337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49165.577216029618</v>
      </c>
      <c r="C18" s="22">
        <f>C5+C16</f>
        <v>0</v>
      </c>
      <c r="D18" s="22">
        <f>MAX((D5+D16),0)</f>
        <v>52038.673124754321</v>
      </c>
      <c r="E18" s="22">
        <f>MAX((E5+E16),0)</f>
        <v>461.55736100831871</v>
      </c>
      <c r="F18" s="22">
        <f>MAX((F5+F16),0)</f>
        <v>9733.3735340979256</v>
      </c>
      <c r="G18" s="22"/>
      <c r="H18" s="22"/>
      <c r="I18" s="22"/>
      <c r="J18" s="22">
        <f>MAX((J5+J16),0)</f>
        <v>190.29211955040762</v>
      </c>
      <c r="K18" s="22"/>
      <c r="L18" s="22">
        <f>MAX((L5+L16),0)</f>
        <v>0</v>
      </c>
      <c r="M18" s="22"/>
      <c r="N18" s="22">
        <f>MAX((N5+N16),0)</f>
        <v>1372.6811835817982</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0.20927806626141529</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10289.276926396977</v>
      </c>
      <c r="C22" s="24">
        <f ca="1">C18*C20</f>
        <v>0</v>
      </c>
      <c r="D22" s="24">
        <f>D18*D20</f>
        <v>10511.811971200374</v>
      </c>
      <c r="E22" s="24">
        <f>E18*E20</f>
        <v>104.77352094888835</v>
      </c>
      <c r="F22" s="24">
        <f>F18*F20</f>
        <v>2598.8107336041462</v>
      </c>
      <c r="G22" s="24"/>
      <c r="H22" s="24"/>
      <c r="I22" s="24"/>
      <c r="J22" s="24">
        <f>J18*J20</f>
        <v>67.363410320844295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2637.2957090479899</v>
      </c>
      <c r="C30" s="40">
        <f>IF(ISERROR(B30*3.6/1000000/'E Balans VL '!Z18*100),0,B30*3.6/1000000/'E Balans VL '!Z18*100)</f>
        <v>0.14674787076342177</v>
      </c>
      <c r="D30" s="236" t="s">
        <v>660</v>
      </c>
    </row>
    <row r="31" spans="1:18">
      <c r="A31" s="6" t="s">
        <v>32</v>
      </c>
      <c r="B31" s="38">
        <f>IF( ISERROR(IND_ander_ele_kWh/1000),0,IND_ander_ele_kWh/1000)</f>
        <v>2441.36090559375</v>
      </c>
      <c r="C31" s="40">
        <f>IF(ISERROR(B31*3.6/1000000/'E Balans VL '!Z19*100),0,B31*3.6/1000000/'E Balans VL '!Z19*100)</f>
        <v>0.11349245674827545</v>
      </c>
      <c r="D31" s="236" t="s">
        <v>660</v>
      </c>
    </row>
    <row r="32" spans="1:18">
      <c r="A32" s="171" t="s">
        <v>40</v>
      </c>
      <c r="B32" s="38">
        <f>IF( ISERROR(IND_voed_ele_kWh/1000),0,IND_voed_ele_kWh/1000)</f>
        <v>14843.625387093101</v>
      </c>
      <c r="C32" s="40">
        <f>IF(ISERROR(B32*3.6/1000000/'E Balans VL '!Z20*100),0,B32*3.6/1000000/'E Balans VL '!Z20*100)</f>
        <v>0.52469217946269164</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544.75577385538702</v>
      </c>
      <c r="C34" s="40">
        <f>IF(ISERROR(B34*3.6/1000000/'E Balans VL '!Z22*100),0,B34*3.6/1000000/'E Balans VL '!Z22*100)</f>
        <v>0.10948054895108768</v>
      </c>
      <c r="D34" s="236" t="s">
        <v>660</v>
      </c>
    </row>
    <row r="35" spans="1:5">
      <c r="A35" s="171" t="s">
        <v>38</v>
      </c>
      <c r="B35" s="38">
        <f>IF( ISERROR(IND_papier_ele_kWh/1000),0,IND_papier_ele_kWh/1000)</f>
        <v>230.90620761249102</v>
      </c>
      <c r="C35" s="40">
        <f>IF(ISERROR(B35*3.6/1000000/'E Balans VL '!Z22*100),0,B35*3.6/1000000/'E Balans VL '!Z22*100)</f>
        <v>4.6405636395035622E-2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28467.633232826898</v>
      </c>
      <c r="C37" s="40">
        <f>IF(ISERROR(B37*3.6/1000000/'E Balans VL '!Z15*100),0,B37*3.6/1000000/'E Balans VL '!Z15*100)</f>
        <v>0.21497268396117905</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1248.8558435415259</v>
      </c>
      <c r="C5" s="18">
        <f>'Eigen informatie GS &amp; warmtenet'!B60</f>
        <v>0</v>
      </c>
      <c r="D5" s="31">
        <f>IF(ISERROR(SUM(LB_lb_gas_kWh,LB_rest_gas_kWh)/1000),0,SUM(LB_lb_gas_kWh,LB_rest_gas_kWh)/1000)*0.902</f>
        <v>329.59726881136493</v>
      </c>
      <c r="E5" s="18">
        <f>B17*'E Balans VL '!I25/3.6*1000000/100</f>
        <v>12.332678757234341</v>
      </c>
      <c r="F5" s="18">
        <f>B17*('E Balans VL '!L25/3.6*1000000+'E Balans VL '!N25/3.6*1000000)/100</f>
        <v>4166.5135387743794</v>
      </c>
      <c r="G5" s="19"/>
      <c r="H5" s="18"/>
      <c r="I5" s="18"/>
      <c r="J5" s="18">
        <f>('E Balans VL '!D25+'E Balans VL '!E25)/3.6*1000000*landbouw!B17/100</f>
        <v>124.59790772115556</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1248.8558435415259</v>
      </c>
      <c r="C8" s="22">
        <f>C5+C6</f>
        <v>0</v>
      </c>
      <c r="D8" s="22">
        <f>MAX((D5+D6),0)</f>
        <v>329.59726881136493</v>
      </c>
      <c r="E8" s="22">
        <f>MAX((E5+E6),0)</f>
        <v>12.332678757234341</v>
      </c>
      <c r="F8" s="22">
        <f>MAX((F5+F6),0)</f>
        <v>4166.5135387743794</v>
      </c>
      <c r="G8" s="22"/>
      <c r="H8" s="22"/>
      <c r="I8" s="22"/>
      <c r="J8" s="22">
        <f>MAX((J5+J6),0)</f>
        <v>124.59790772115556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0.20927806626141529</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261.35813597563913</v>
      </c>
      <c r="C12" s="24">
        <f ca="1">C8*C10</f>
        <v>0</v>
      </c>
      <c r="D12" s="24">
        <f>D8*D10</f>
        <v>66.578648299895718</v>
      </c>
      <c r="E12" s="24">
        <f>E8*E10</f>
        <v>2.7995180778921953</v>
      </c>
      <c r="F12" s="24">
        <f>F8*F10</f>
        <v>1112.4591148527593</v>
      </c>
      <c r="G12" s="24"/>
      <c r="H12" s="24"/>
      <c r="I12" s="24"/>
      <c r="J12" s="24">
        <f>J8*J10</f>
        <v>44.107659333289071</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0.16907512513707817</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475.07839247076265</v>
      </c>
      <c r="C26" s="246">
        <f>B26*'GWP N2O_CH4'!B5</f>
        <v>9976.6462418860156</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76.007507676159832</v>
      </c>
      <c r="C27" s="246">
        <f>B27*'GWP N2O_CH4'!B5</f>
        <v>1596.1576611993564</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7.3909121981233117</v>
      </c>
      <c r="C28" s="246">
        <f>B28*'GWP N2O_CH4'!B4</f>
        <v>2291.1827814182266</v>
      </c>
      <c r="D28" s="51"/>
    </row>
    <row r="29" spans="1:4">
      <c r="A29" s="42" t="s">
        <v>266</v>
      </c>
      <c r="B29" s="246">
        <f>B34*'ha_N2O bodem landbouw'!B4</f>
        <v>21.366523444940167</v>
      </c>
      <c r="C29" s="246">
        <f>B29*'GWP N2O_CH4'!B4</f>
        <v>6623.6222679314515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5.7682887062743913E-3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3.0142187137219499E-5</v>
      </c>
      <c r="C5" s="433" t="s">
        <v>204</v>
      </c>
      <c r="D5" s="418">
        <f>SUM(D6:D11)</f>
        <v>3.9327242554780065E-5</v>
      </c>
      <c r="E5" s="418">
        <f>SUM(E6:E11)</f>
        <v>2.490797090484974E-3</v>
      </c>
      <c r="F5" s="431" t="s">
        <v>204</v>
      </c>
      <c r="G5" s="418">
        <f>SUM(G6:G11)</f>
        <v>0.61678001623502043</v>
      </c>
      <c r="H5" s="418">
        <f>SUM(H6:H11)</f>
        <v>9.9579867899584035E-2</v>
      </c>
      <c r="I5" s="433" t="s">
        <v>204</v>
      </c>
      <c r="J5" s="433" t="s">
        <v>204</v>
      </c>
      <c r="K5" s="433" t="s">
        <v>204</v>
      </c>
      <c r="L5" s="433" t="s">
        <v>204</v>
      </c>
      <c r="M5" s="418">
        <f>SUM(M6:M11)</f>
        <v>3.2005327522424507E-2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2.0639568581278271E-5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2.3938144781205467E-5</v>
      </c>
      <c r="E6" s="421">
        <f>vkm_GW_PW*SUMIFS(TableVerdeelsleutelVkm[LPG],TableVerdeelsleutelVkm[Voertuigtype],"Lichte voertuigen")*SUMIFS(TableECFTransport[EnergieConsumptieFactor (PJ per km)],TableECFTransport[Index],CONCATENATE($A6,"_LPG_LPG"))</f>
        <v>1.5494281372893843E-3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0.24430103807233078</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6.1774765790736361E-2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1.3699973441504476E-2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1.2129863303453117E-6</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0.20065332237863226</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6.2533542900854353E-6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8.928458088551694E-3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8.1412232263562657E-6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1.5389097773574594E-5</v>
      </c>
      <c r="E8" s="421">
        <f>vkm_NGW_PW*SUMIFS(TableVerdeelsleutelVkm[LPG],TableVerdeelsleutelVkm[Voertuigtype],"Lichte voertuigen")*SUMIFS(TableECFTransport[EnergieConsumptieFactor (PJ per km)],TableECFTransport[Index],CONCATENATE($A8,"_LPG_LPG"))</f>
        <v>9.4136895319558945E-4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0.14034413456314407</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3.7797925261125895E-2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7.9760673901274632E-3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1.4840899923965173E-7</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3.1481521220913279E-2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9.2349343170335924E-7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1.4008286022408746E-3</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8.3728297603387496</v>
      </c>
      <c r="C14" s="22"/>
      <c r="D14" s="22">
        <f t="shared" ref="D14:M14" si="0">((D5)*10^9/3600)+D12</f>
        <v>10.924234042994463</v>
      </c>
      <c r="E14" s="22">
        <f t="shared" si="0"/>
        <v>691.8880806902705</v>
      </c>
      <c r="F14" s="22"/>
      <c r="G14" s="22">
        <f t="shared" si="0"/>
        <v>171327.78228750566</v>
      </c>
      <c r="H14" s="22">
        <f t="shared" si="0"/>
        <v>27661.074416551121</v>
      </c>
      <c r="I14" s="22"/>
      <c r="J14" s="22"/>
      <c r="K14" s="22"/>
      <c r="L14" s="22"/>
      <c r="M14" s="22">
        <f t="shared" si="0"/>
        <v>8890.3687562290306</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0.20927806626141529</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1.7522496213797227</v>
      </c>
      <c r="C18" s="24"/>
      <c r="D18" s="24">
        <f t="shared" ref="D18:M18" si="1">D14*D16</f>
        <v>2.2066952766848815</v>
      </c>
      <c r="E18" s="24">
        <f t="shared" si="1"/>
        <v>157.0585943166914</v>
      </c>
      <c r="F18" s="24"/>
      <c r="G18" s="24">
        <f t="shared" si="1"/>
        <v>45744.517870764015</v>
      </c>
      <c r="H18" s="24">
        <f t="shared" si="1"/>
        <v>6887.6075297212292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5.5058492609959145E-5</v>
      </c>
      <c r="C50" s="316">
        <f t="shared" ref="C50:P50" si="2">SUM(C51:C52)</f>
        <v>0</v>
      </c>
      <c r="D50" s="316">
        <f t="shared" si="2"/>
        <v>0</v>
      </c>
      <c r="E50" s="316">
        <f t="shared" si="2"/>
        <v>0</v>
      </c>
      <c r="F50" s="316">
        <f t="shared" si="2"/>
        <v>0</v>
      </c>
      <c r="G50" s="316">
        <f t="shared" si="2"/>
        <v>1.0981525206638131E-2</v>
      </c>
      <c r="H50" s="316">
        <f t="shared" si="2"/>
        <v>0</v>
      </c>
      <c r="I50" s="316">
        <f t="shared" si="2"/>
        <v>0</v>
      </c>
      <c r="J50" s="316">
        <f t="shared" si="2"/>
        <v>0</v>
      </c>
      <c r="K50" s="316">
        <f t="shared" si="2"/>
        <v>0</v>
      </c>
      <c r="L50" s="316">
        <f t="shared" si="2"/>
        <v>0</v>
      </c>
      <c r="M50" s="316">
        <f t="shared" si="2"/>
        <v>4.8537171833767278E-4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5.5058492609959145E-5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1.0981525206638131E-2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4.8537171833767278E-4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15.294025724988652</v>
      </c>
      <c r="C54" s="22">
        <f t="shared" ref="C54:P54" si="3">(C50)*10^9/3600</f>
        <v>0</v>
      </c>
      <c r="D54" s="22">
        <f t="shared" si="3"/>
        <v>0</v>
      </c>
      <c r="E54" s="22">
        <f t="shared" si="3"/>
        <v>0</v>
      </c>
      <c r="F54" s="22">
        <f t="shared" si="3"/>
        <v>0</v>
      </c>
      <c r="G54" s="22">
        <f t="shared" si="3"/>
        <v>3050.4236685105921</v>
      </c>
      <c r="H54" s="22">
        <f t="shared" si="3"/>
        <v>0</v>
      </c>
      <c r="I54" s="22">
        <f t="shared" si="3"/>
        <v>0</v>
      </c>
      <c r="J54" s="22">
        <f t="shared" si="3"/>
        <v>0</v>
      </c>
      <c r="K54" s="22">
        <f t="shared" si="3"/>
        <v>0</v>
      </c>
      <c r="L54" s="22">
        <f t="shared" si="3"/>
        <v>0</v>
      </c>
      <c r="M54" s="22">
        <f t="shared" si="3"/>
        <v>134.8254773160202</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0.20927806626141529</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3.2007041290779652</v>
      </c>
      <c r="C58" s="24">
        <f t="shared" ref="C58:P58" ca="1" si="4">C54*C56</f>
        <v>0</v>
      </c>
      <c r="D58" s="24">
        <f t="shared" si="4"/>
        <v>0</v>
      </c>
      <c r="E58" s="24">
        <f t="shared" si="4"/>
        <v>0</v>
      </c>
      <c r="F58" s="24">
        <f t="shared" si="4"/>
        <v>0</v>
      </c>
      <c r="G58" s="24">
        <f t="shared" si="4"/>
        <v>814.46311949232813</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7357.8201233080372</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2187</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6248.5714285714294</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9544.8201233080363</v>
      </c>
      <c r="C10" s="556">
        <f t="shared" ref="C10:L10" si="0">SUM(C8:C9)</f>
        <v>0</v>
      </c>
      <c r="D10" s="556">
        <f t="shared" si="0"/>
        <v>0</v>
      </c>
      <c r="E10" s="556">
        <f t="shared" si="0"/>
        <v>0</v>
      </c>
      <c r="F10" s="556">
        <f t="shared" si="0"/>
        <v>0</v>
      </c>
      <c r="G10" s="556">
        <f t="shared" si="0"/>
        <v>0</v>
      </c>
      <c r="H10" s="556">
        <f t="shared" si="0"/>
        <v>0</v>
      </c>
      <c r="I10" s="556">
        <f t="shared" si="0"/>
        <v>0</v>
      </c>
      <c r="J10" s="556">
        <f t="shared" si="0"/>
        <v>6248.5714285714294</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63.75" hidden="1">
      <c r="A35" s="582"/>
      <c r="B35" s="740">
        <v>41048</v>
      </c>
      <c r="C35" s="740">
        <v>9400</v>
      </c>
      <c r="D35" s="630"/>
      <c r="E35" s="630"/>
      <c r="F35" s="630"/>
      <c r="G35" s="630" t="s">
        <v>942</v>
      </c>
      <c r="H35" s="630" t="s">
        <v>943</v>
      </c>
      <c r="I35" s="630"/>
      <c r="J35" s="739"/>
      <c r="K35" s="739"/>
      <c r="L35" s="630" t="s">
        <v>944</v>
      </c>
      <c r="M35" s="630">
        <v>486</v>
      </c>
      <c r="N35" s="630">
        <v>2187</v>
      </c>
      <c r="O35" s="630">
        <v>0</v>
      </c>
      <c r="P35" s="630">
        <v>0</v>
      </c>
      <c r="Q35" s="630">
        <v>0</v>
      </c>
      <c r="R35" s="630">
        <v>6248.5714285714294</v>
      </c>
      <c r="S35" s="630">
        <v>0</v>
      </c>
      <c r="T35" s="630">
        <v>0</v>
      </c>
      <c r="U35" s="630">
        <v>0</v>
      </c>
      <c r="V35" s="630">
        <v>0</v>
      </c>
      <c r="W35" s="630"/>
      <c r="X35" s="630"/>
      <c r="Y35" s="630">
        <v>1600</v>
      </c>
      <c r="Z35" s="630" t="s">
        <v>49</v>
      </c>
      <c r="AA35" s="631" t="s">
        <v>149</v>
      </c>
    </row>
    <row r="36" spans="1:28" s="563" customFormat="1" hidden="1">
      <c r="A36" s="583" t="s">
        <v>269</v>
      </c>
      <c r="B36" s="584"/>
      <c r="C36" s="584"/>
      <c r="D36" s="584"/>
      <c r="E36" s="584"/>
      <c r="F36" s="584"/>
      <c r="G36" s="584"/>
      <c r="H36" s="584"/>
      <c r="I36" s="584"/>
      <c r="J36" s="584"/>
      <c r="K36" s="584"/>
      <c r="L36" s="585"/>
      <c r="M36" s="585">
        <f>SUM(M35:M35)</f>
        <v>486</v>
      </c>
      <c r="N36" s="585">
        <f>SUM(N35:N35)</f>
        <v>2187</v>
      </c>
      <c r="O36" s="585">
        <f>SUM(O35:O35)</f>
        <v>0</v>
      </c>
      <c r="P36" s="585">
        <f>SUM(P35:P35)</f>
        <v>0</v>
      </c>
      <c r="Q36" s="585">
        <f>SUM(Q35:Q35)</f>
        <v>0</v>
      </c>
      <c r="R36" s="585">
        <f>SUM(R35:R35)</f>
        <v>6248.5714285714294</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486</v>
      </c>
      <c r="N38" s="585">
        <f>SUMIF($AA$35:$AA$36,"tertiair",N35:N36)</f>
        <v>2187</v>
      </c>
      <c r="O38" s="585">
        <f>SUMIF($AA$35:$AA$36,"tertiair",O35:O36)</f>
        <v>0</v>
      </c>
      <c r="P38" s="585">
        <f>SUMIF($AA$35:$AA$36,"tertiair",P35:P36)</f>
        <v>0</v>
      </c>
      <c r="Q38" s="585">
        <f>SUMIF($AA$35:$AA$36,"tertiair",Q35:Q36)</f>
        <v>0</v>
      </c>
      <c r="R38" s="585">
        <f>SUMIF($AA$35:$AA$36,"tertiair",R35:R36)</f>
        <v>6248.5714285714294</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54912.580014570296</v>
      </c>
      <c r="D10" s="639">
        <f ca="1">tertiair!C16</f>
        <v>0</v>
      </c>
      <c r="E10" s="639">
        <f ca="1">tertiair!D16</f>
        <v>48475.972768903695</v>
      </c>
      <c r="F10" s="639">
        <f>tertiair!E16</f>
        <v>465.04412026273343</v>
      </c>
      <c r="G10" s="639">
        <f ca="1">tertiair!F16</f>
        <v>9758.7591801017643</v>
      </c>
      <c r="H10" s="639">
        <f>tertiair!G16</f>
        <v>0</v>
      </c>
      <c r="I10" s="639">
        <f>tertiair!H16</f>
        <v>0</v>
      </c>
      <c r="J10" s="639">
        <f>tertiair!I16</f>
        <v>0</v>
      </c>
      <c r="K10" s="639">
        <f>tertiair!J16</f>
        <v>0</v>
      </c>
      <c r="L10" s="639">
        <f>tertiair!K16</f>
        <v>0</v>
      </c>
      <c r="M10" s="639">
        <f ca="1">tertiair!L16</f>
        <v>0</v>
      </c>
      <c r="N10" s="639">
        <f>tertiair!M16</f>
        <v>0</v>
      </c>
      <c r="O10" s="639">
        <f ca="1">tertiair!N16</f>
        <v>0</v>
      </c>
      <c r="P10" s="639">
        <f>tertiair!O16</f>
        <v>3.1266666666666669</v>
      </c>
      <c r="Q10" s="640">
        <f>tertiair!P16</f>
        <v>19.066666666666666</v>
      </c>
      <c r="R10" s="642">
        <f ca="1">SUM(C10:Q10)</f>
        <v>113634.54941717182</v>
      </c>
      <c r="S10" s="68"/>
    </row>
    <row r="11" spans="1:19" s="443" customFormat="1">
      <c r="A11" s="753" t="s">
        <v>214</v>
      </c>
      <c r="B11" s="758"/>
      <c r="C11" s="639">
        <f>huishoudens!B8</f>
        <v>71951.939135376451</v>
      </c>
      <c r="D11" s="639">
        <f>huishoudens!C8</f>
        <v>0</v>
      </c>
      <c r="E11" s="639">
        <f>huishoudens!D8</f>
        <v>110325.03048903766</v>
      </c>
      <c r="F11" s="639">
        <f>huishoudens!E8</f>
        <v>4515.2250135222102</v>
      </c>
      <c r="G11" s="639">
        <f>huishoudens!F8</f>
        <v>137656.10162819605</v>
      </c>
      <c r="H11" s="639">
        <f>huishoudens!G8</f>
        <v>0</v>
      </c>
      <c r="I11" s="639">
        <f>huishoudens!H8</f>
        <v>0</v>
      </c>
      <c r="J11" s="639">
        <f>huishoudens!I8</f>
        <v>0</v>
      </c>
      <c r="K11" s="639">
        <f>huishoudens!J8</f>
        <v>2497.7219983484861</v>
      </c>
      <c r="L11" s="639">
        <f>huishoudens!K8</f>
        <v>0</v>
      </c>
      <c r="M11" s="639">
        <f>huishoudens!L8</f>
        <v>0</v>
      </c>
      <c r="N11" s="639">
        <f>huishoudens!M8</f>
        <v>0</v>
      </c>
      <c r="O11" s="639">
        <f>huishoudens!N8</f>
        <v>23572.444744141867</v>
      </c>
      <c r="P11" s="639">
        <f>huishoudens!O8</f>
        <v>129.75666666666669</v>
      </c>
      <c r="Q11" s="640">
        <f>huishoudens!P8</f>
        <v>591.06666666666661</v>
      </c>
      <c r="R11" s="642">
        <f>SUM(C11:Q11)</f>
        <v>351239.28634195606</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49165.577216029618</v>
      </c>
      <c r="D13" s="639">
        <f>industrie!C18</f>
        <v>0</v>
      </c>
      <c r="E13" s="639">
        <f>industrie!D18</f>
        <v>52038.673124754321</v>
      </c>
      <c r="F13" s="639">
        <f>industrie!E18</f>
        <v>461.55736100831871</v>
      </c>
      <c r="G13" s="639">
        <f>industrie!F18</f>
        <v>9733.3735340979256</v>
      </c>
      <c r="H13" s="639">
        <f>industrie!G18</f>
        <v>0</v>
      </c>
      <c r="I13" s="639">
        <f>industrie!H18</f>
        <v>0</v>
      </c>
      <c r="J13" s="639">
        <f>industrie!I18</f>
        <v>0</v>
      </c>
      <c r="K13" s="639">
        <f>industrie!J18</f>
        <v>190.29211955040762</v>
      </c>
      <c r="L13" s="639">
        <f>industrie!K18</f>
        <v>0</v>
      </c>
      <c r="M13" s="639">
        <f>industrie!L18</f>
        <v>0</v>
      </c>
      <c r="N13" s="639">
        <f>industrie!M18</f>
        <v>0</v>
      </c>
      <c r="O13" s="639">
        <f>industrie!N18</f>
        <v>1372.6811835817982</v>
      </c>
      <c r="P13" s="639">
        <f>industrie!O18</f>
        <v>0</v>
      </c>
      <c r="Q13" s="640">
        <f>industrie!P18</f>
        <v>0</v>
      </c>
      <c r="R13" s="642">
        <f>SUM(C13:Q13)</f>
        <v>112962.15453902239</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176030.09636597638</v>
      </c>
      <c r="D16" s="672">
        <f t="shared" ref="D16:R16" ca="1" si="0">SUM(D9:D15)</f>
        <v>0</v>
      </c>
      <c r="E16" s="672">
        <f t="shared" ca="1" si="0"/>
        <v>210839.67638269567</v>
      </c>
      <c r="F16" s="672">
        <f t="shared" si="0"/>
        <v>5441.8264947932621</v>
      </c>
      <c r="G16" s="672">
        <f t="shared" ca="1" si="0"/>
        <v>157148.23434239574</v>
      </c>
      <c r="H16" s="672">
        <f t="shared" si="0"/>
        <v>0</v>
      </c>
      <c r="I16" s="672">
        <f t="shared" si="0"/>
        <v>0</v>
      </c>
      <c r="J16" s="672">
        <f t="shared" si="0"/>
        <v>0</v>
      </c>
      <c r="K16" s="672">
        <f t="shared" si="0"/>
        <v>2688.0141178988938</v>
      </c>
      <c r="L16" s="672">
        <f t="shared" si="0"/>
        <v>0</v>
      </c>
      <c r="M16" s="672">
        <f t="shared" ca="1" si="0"/>
        <v>0</v>
      </c>
      <c r="N16" s="672">
        <f t="shared" si="0"/>
        <v>0</v>
      </c>
      <c r="O16" s="672">
        <f t="shared" ca="1" si="0"/>
        <v>24945.125927723664</v>
      </c>
      <c r="P16" s="672">
        <f t="shared" si="0"/>
        <v>132.88333333333335</v>
      </c>
      <c r="Q16" s="672">
        <f t="shared" si="0"/>
        <v>610.13333333333333</v>
      </c>
      <c r="R16" s="672">
        <f t="shared" ca="1" si="0"/>
        <v>577835.99029815022</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15.294025724988652</v>
      </c>
      <c r="D19" s="639">
        <f>transport!C54</f>
        <v>0</v>
      </c>
      <c r="E19" s="639">
        <f>transport!D54</f>
        <v>0</v>
      </c>
      <c r="F19" s="639">
        <f>transport!E54</f>
        <v>0</v>
      </c>
      <c r="G19" s="639">
        <f>transport!F54</f>
        <v>0</v>
      </c>
      <c r="H19" s="639">
        <f>transport!G54</f>
        <v>3050.4236685105921</v>
      </c>
      <c r="I19" s="639">
        <f>transport!H54</f>
        <v>0</v>
      </c>
      <c r="J19" s="639">
        <f>transport!I54</f>
        <v>0</v>
      </c>
      <c r="K19" s="639">
        <f>transport!J54</f>
        <v>0</v>
      </c>
      <c r="L19" s="639">
        <f>transport!K54</f>
        <v>0</v>
      </c>
      <c r="M19" s="639">
        <f>transport!L54</f>
        <v>0</v>
      </c>
      <c r="N19" s="639">
        <f>transport!M54</f>
        <v>134.8254773160202</v>
      </c>
      <c r="O19" s="639">
        <f>transport!N54</f>
        <v>0</v>
      </c>
      <c r="P19" s="639">
        <f>transport!O54</f>
        <v>0</v>
      </c>
      <c r="Q19" s="640">
        <f>transport!P54</f>
        <v>0</v>
      </c>
      <c r="R19" s="642">
        <f>SUM(C19:Q19)</f>
        <v>3200.5431715516011</v>
      </c>
      <c r="S19" s="68"/>
    </row>
    <row r="20" spans="1:19" s="443" customFormat="1">
      <c r="A20" s="753" t="s">
        <v>296</v>
      </c>
      <c r="B20" s="758"/>
      <c r="C20" s="639">
        <f>transport!B14</f>
        <v>8.3728297603387496</v>
      </c>
      <c r="D20" s="639">
        <f>transport!C14</f>
        <v>0</v>
      </c>
      <c r="E20" s="639">
        <f>transport!D14</f>
        <v>10.924234042994463</v>
      </c>
      <c r="F20" s="639">
        <f>transport!E14</f>
        <v>691.8880806902705</v>
      </c>
      <c r="G20" s="639">
        <f>transport!F14</f>
        <v>0</v>
      </c>
      <c r="H20" s="639">
        <f>transport!G14</f>
        <v>171327.78228750566</v>
      </c>
      <c r="I20" s="639">
        <f>transport!H14</f>
        <v>27661.074416551121</v>
      </c>
      <c r="J20" s="639">
        <f>transport!I14</f>
        <v>0</v>
      </c>
      <c r="K20" s="639">
        <f>transport!J14</f>
        <v>0</v>
      </c>
      <c r="L20" s="639">
        <f>transport!K14</f>
        <v>0</v>
      </c>
      <c r="M20" s="639">
        <f>transport!L14</f>
        <v>0</v>
      </c>
      <c r="N20" s="639">
        <f>transport!M14</f>
        <v>8890.3687562290306</v>
      </c>
      <c r="O20" s="639">
        <f>transport!N14</f>
        <v>0</v>
      </c>
      <c r="P20" s="639">
        <f>transport!O14</f>
        <v>0</v>
      </c>
      <c r="Q20" s="640">
        <f>transport!P14</f>
        <v>0</v>
      </c>
      <c r="R20" s="642">
        <f>SUM(C20:Q20)</f>
        <v>208590.41060477943</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23.666855485327403</v>
      </c>
      <c r="D22" s="756">
        <f t="shared" ref="D22:R22" si="1">SUM(D18:D21)</f>
        <v>0</v>
      </c>
      <c r="E22" s="756">
        <f t="shared" si="1"/>
        <v>10.924234042994463</v>
      </c>
      <c r="F22" s="756">
        <f t="shared" si="1"/>
        <v>691.8880806902705</v>
      </c>
      <c r="G22" s="756">
        <f t="shared" si="1"/>
        <v>0</v>
      </c>
      <c r="H22" s="756">
        <f t="shared" si="1"/>
        <v>174378.20595601626</v>
      </c>
      <c r="I22" s="756">
        <f t="shared" si="1"/>
        <v>27661.074416551121</v>
      </c>
      <c r="J22" s="756">
        <f t="shared" si="1"/>
        <v>0</v>
      </c>
      <c r="K22" s="756">
        <f t="shared" si="1"/>
        <v>0</v>
      </c>
      <c r="L22" s="756">
        <f t="shared" si="1"/>
        <v>0</v>
      </c>
      <c r="M22" s="756">
        <f t="shared" si="1"/>
        <v>0</v>
      </c>
      <c r="N22" s="756">
        <f t="shared" si="1"/>
        <v>9025.1942335450512</v>
      </c>
      <c r="O22" s="756">
        <f t="shared" si="1"/>
        <v>0</v>
      </c>
      <c r="P22" s="756">
        <f t="shared" si="1"/>
        <v>0</v>
      </c>
      <c r="Q22" s="756">
        <f t="shared" si="1"/>
        <v>0</v>
      </c>
      <c r="R22" s="756">
        <f t="shared" si="1"/>
        <v>211790.95377633104</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1248.8558435415259</v>
      </c>
      <c r="D24" s="639">
        <f>+landbouw!C8</f>
        <v>0</v>
      </c>
      <c r="E24" s="639">
        <f>+landbouw!D8</f>
        <v>329.59726881136493</v>
      </c>
      <c r="F24" s="639">
        <f>+landbouw!E8</f>
        <v>12.332678757234341</v>
      </c>
      <c r="G24" s="639">
        <f>+landbouw!F8</f>
        <v>4166.5135387743794</v>
      </c>
      <c r="H24" s="639">
        <f>+landbouw!G8</f>
        <v>0</v>
      </c>
      <c r="I24" s="639">
        <f>+landbouw!H8</f>
        <v>0</v>
      </c>
      <c r="J24" s="639">
        <f>+landbouw!I8</f>
        <v>0</v>
      </c>
      <c r="K24" s="639">
        <f>+landbouw!J8</f>
        <v>124.59790772115556</v>
      </c>
      <c r="L24" s="639">
        <f>+landbouw!K8</f>
        <v>0</v>
      </c>
      <c r="M24" s="639">
        <f>+landbouw!L8</f>
        <v>0</v>
      </c>
      <c r="N24" s="639">
        <f>+landbouw!M8</f>
        <v>0</v>
      </c>
      <c r="O24" s="639">
        <f>+landbouw!N8</f>
        <v>0</v>
      </c>
      <c r="P24" s="639">
        <f>+landbouw!O8</f>
        <v>0</v>
      </c>
      <c r="Q24" s="640">
        <f>+landbouw!P8</f>
        <v>0</v>
      </c>
      <c r="R24" s="642">
        <f>SUM(C24:Q24)</f>
        <v>5881.8972376056608</v>
      </c>
      <c r="S24" s="68"/>
    </row>
    <row r="25" spans="1:19" s="443" customFormat="1" ht="15" thickBot="1">
      <c r="A25" s="775" t="s">
        <v>847</v>
      </c>
      <c r="B25" s="941"/>
      <c r="C25" s="942">
        <f>IF(Onbekend_ele_kWh="---",0,Onbekend_ele_kWh)/1000+IF(REST_rest_ele_kWh="---",0,REST_rest_ele_kWh)/1000</f>
        <v>2651.0723901548599</v>
      </c>
      <c r="D25" s="942"/>
      <c r="E25" s="942">
        <f>IF(onbekend_gas_kWh="---",0,onbekend_gas_kWh)/1000+IF(REST_rest_gas_kWh="---",0,REST_rest_gas_kWh)/1000</f>
        <v>4889.2293044129901</v>
      </c>
      <c r="F25" s="942"/>
      <c r="G25" s="942"/>
      <c r="H25" s="942"/>
      <c r="I25" s="942"/>
      <c r="J25" s="942"/>
      <c r="K25" s="942"/>
      <c r="L25" s="942"/>
      <c r="M25" s="942"/>
      <c r="N25" s="942"/>
      <c r="O25" s="942"/>
      <c r="P25" s="942"/>
      <c r="Q25" s="943"/>
      <c r="R25" s="642">
        <f>SUM(C25:Q25)</f>
        <v>7540.3016945678501</v>
      </c>
      <c r="S25" s="68"/>
    </row>
    <row r="26" spans="1:19" s="443" customFormat="1" ht="15.75" thickBot="1">
      <c r="A26" s="645" t="s">
        <v>848</v>
      </c>
      <c r="B26" s="761"/>
      <c r="C26" s="756">
        <f>SUM(C24:C25)</f>
        <v>3899.9282336963861</v>
      </c>
      <c r="D26" s="756">
        <f t="shared" ref="D26:R26" si="2">SUM(D24:D25)</f>
        <v>0</v>
      </c>
      <c r="E26" s="756">
        <f t="shared" si="2"/>
        <v>5218.8265732243553</v>
      </c>
      <c r="F26" s="756">
        <f t="shared" si="2"/>
        <v>12.332678757234341</v>
      </c>
      <c r="G26" s="756">
        <f t="shared" si="2"/>
        <v>4166.5135387743794</v>
      </c>
      <c r="H26" s="756">
        <f t="shared" si="2"/>
        <v>0</v>
      </c>
      <c r="I26" s="756">
        <f t="shared" si="2"/>
        <v>0</v>
      </c>
      <c r="J26" s="756">
        <f t="shared" si="2"/>
        <v>0</v>
      </c>
      <c r="K26" s="756">
        <f t="shared" si="2"/>
        <v>124.59790772115556</v>
      </c>
      <c r="L26" s="756">
        <f t="shared" si="2"/>
        <v>0</v>
      </c>
      <c r="M26" s="756">
        <f t="shared" si="2"/>
        <v>0</v>
      </c>
      <c r="N26" s="756">
        <f t="shared" si="2"/>
        <v>0</v>
      </c>
      <c r="O26" s="756">
        <f t="shared" si="2"/>
        <v>0</v>
      </c>
      <c r="P26" s="756">
        <f t="shared" si="2"/>
        <v>0</v>
      </c>
      <c r="Q26" s="756">
        <f t="shared" si="2"/>
        <v>0</v>
      </c>
      <c r="R26" s="756">
        <f t="shared" si="2"/>
        <v>13422.198932173511</v>
      </c>
      <c r="S26" s="68"/>
    </row>
    <row r="27" spans="1:19" s="443" customFormat="1" ht="17.25" thickTop="1" thickBot="1">
      <c r="A27" s="646" t="s">
        <v>109</v>
      </c>
      <c r="B27" s="748"/>
      <c r="C27" s="647">
        <f ca="1">C22+C16+C26</f>
        <v>179953.69145515808</v>
      </c>
      <c r="D27" s="647">
        <f t="shared" ref="D27:R27" ca="1" si="3">D22+D16+D26</f>
        <v>0</v>
      </c>
      <c r="E27" s="647">
        <f t="shared" ca="1" si="3"/>
        <v>216069.42718996303</v>
      </c>
      <c r="F27" s="647">
        <f t="shared" si="3"/>
        <v>6146.047254240767</v>
      </c>
      <c r="G27" s="647">
        <f t="shared" ca="1" si="3"/>
        <v>161314.74788117013</v>
      </c>
      <c r="H27" s="647">
        <f t="shared" si="3"/>
        <v>174378.20595601626</v>
      </c>
      <c r="I27" s="647">
        <f t="shared" si="3"/>
        <v>27661.074416551121</v>
      </c>
      <c r="J27" s="647">
        <f t="shared" si="3"/>
        <v>0</v>
      </c>
      <c r="K27" s="647">
        <f t="shared" si="3"/>
        <v>2812.6120256200493</v>
      </c>
      <c r="L27" s="647">
        <f t="shared" si="3"/>
        <v>0</v>
      </c>
      <c r="M27" s="647">
        <f t="shared" ca="1" si="3"/>
        <v>0</v>
      </c>
      <c r="N27" s="647">
        <f t="shared" si="3"/>
        <v>9025.1942335450512</v>
      </c>
      <c r="O27" s="647">
        <f t="shared" ca="1" si="3"/>
        <v>24945.125927723664</v>
      </c>
      <c r="P27" s="647">
        <f t="shared" si="3"/>
        <v>132.88333333333335</v>
      </c>
      <c r="Q27" s="647">
        <f t="shared" si="3"/>
        <v>610.13333333333333</v>
      </c>
      <c r="R27" s="647">
        <f t="shared" ca="1" si="3"/>
        <v>803049.14300665481</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11491.998558874511</v>
      </c>
      <c r="D40" s="639">
        <f ca="1">tertiair!C20</f>
        <v>0</v>
      </c>
      <c r="E40" s="639">
        <f ca="1">tertiair!D20</f>
        <v>9792.1464993185473</v>
      </c>
      <c r="F40" s="639">
        <f>tertiair!E20</f>
        <v>105.56501529964049</v>
      </c>
      <c r="G40" s="639">
        <f ca="1">tertiair!F20</f>
        <v>2605.5887010871711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23995.298774579871</v>
      </c>
    </row>
    <row r="41" spans="1:18">
      <c r="A41" s="766" t="s">
        <v>214</v>
      </c>
      <c r="B41" s="773"/>
      <c r="C41" s="639">
        <f ca="1">huishoudens!B12</f>
        <v>15057.962686010633</v>
      </c>
      <c r="D41" s="639">
        <f ca="1">huishoudens!C12</f>
        <v>0</v>
      </c>
      <c r="E41" s="639">
        <f>huishoudens!D12</f>
        <v>22285.656158785609</v>
      </c>
      <c r="F41" s="639">
        <f>huishoudens!E12</f>
        <v>1024.9560780695417</v>
      </c>
      <c r="G41" s="639">
        <f>huishoudens!F12</f>
        <v>36754.179134728343</v>
      </c>
      <c r="H41" s="639">
        <f>huishoudens!G12</f>
        <v>0</v>
      </c>
      <c r="I41" s="639">
        <f>huishoudens!H12</f>
        <v>0</v>
      </c>
      <c r="J41" s="639">
        <f>huishoudens!I12</f>
        <v>0</v>
      </c>
      <c r="K41" s="639">
        <f>huishoudens!J12</f>
        <v>884.19358741536405</v>
      </c>
      <c r="L41" s="639">
        <f>huishoudens!K12</f>
        <v>0</v>
      </c>
      <c r="M41" s="639">
        <f>huishoudens!L12</f>
        <v>0</v>
      </c>
      <c r="N41" s="639">
        <f>huishoudens!M12</f>
        <v>0</v>
      </c>
      <c r="O41" s="639">
        <f>huishoudens!N12</f>
        <v>0</v>
      </c>
      <c r="P41" s="639">
        <f>huishoudens!O12</f>
        <v>0</v>
      </c>
      <c r="Q41" s="714">
        <f>huishoudens!P12</f>
        <v>0</v>
      </c>
      <c r="R41" s="794">
        <f t="shared" ca="1" si="4"/>
        <v>76006.947645009481</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10289.276926396977</v>
      </c>
      <c r="D43" s="639">
        <f ca="1">industrie!C22</f>
        <v>0</v>
      </c>
      <c r="E43" s="639">
        <f>industrie!D22</f>
        <v>10511.811971200374</v>
      </c>
      <c r="F43" s="639">
        <f>industrie!E22</f>
        <v>104.77352094888835</v>
      </c>
      <c r="G43" s="639">
        <f>industrie!F22</f>
        <v>2598.8107336041462</v>
      </c>
      <c r="H43" s="639">
        <f>industrie!G22</f>
        <v>0</v>
      </c>
      <c r="I43" s="639">
        <f>industrie!H22</f>
        <v>0</v>
      </c>
      <c r="J43" s="639">
        <f>industrie!I22</f>
        <v>0</v>
      </c>
      <c r="K43" s="639">
        <f>industrie!J22</f>
        <v>67.363410320844295</v>
      </c>
      <c r="L43" s="639">
        <f>industrie!K22</f>
        <v>0</v>
      </c>
      <c r="M43" s="639">
        <f>industrie!L22</f>
        <v>0</v>
      </c>
      <c r="N43" s="639">
        <f>industrie!M22</f>
        <v>0</v>
      </c>
      <c r="O43" s="639">
        <f>industrie!N22</f>
        <v>0</v>
      </c>
      <c r="P43" s="639">
        <f>industrie!O22</f>
        <v>0</v>
      </c>
      <c r="Q43" s="714">
        <f>industrie!P22</f>
        <v>0</v>
      </c>
      <c r="R43" s="793">
        <f t="shared" ca="1" si="4"/>
        <v>23572.036562471232</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36839.238171282122</v>
      </c>
      <c r="D46" s="672">
        <f t="shared" ref="D46:Q46" ca="1" si="5">SUM(D39:D45)</f>
        <v>0</v>
      </c>
      <c r="E46" s="672">
        <f t="shared" ca="1" si="5"/>
        <v>42589.614629304531</v>
      </c>
      <c r="F46" s="672">
        <f t="shared" si="5"/>
        <v>1235.2946143180704</v>
      </c>
      <c r="G46" s="672">
        <f t="shared" ca="1" si="5"/>
        <v>41958.57856941966</v>
      </c>
      <c r="H46" s="672">
        <f t="shared" si="5"/>
        <v>0</v>
      </c>
      <c r="I46" s="672">
        <f t="shared" si="5"/>
        <v>0</v>
      </c>
      <c r="J46" s="672">
        <f t="shared" si="5"/>
        <v>0</v>
      </c>
      <c r="K46" s="672">
        <f t="shared" si="5"/>
        <v>951.55699773620836</v>
      </c>
      <c r="L46" s="672">
        <f t="shared" si="5"/>
        <v>0</v>
      </c>
      <c r="M46" s="672">
        <f t="shared" ca="1" si="5"/>
        <v>0</v>
      </c>
      <c r="N46" s="672">
        <f t="shared" si="5"/>
        <v>0</v>
      </c>
      <c r="O46" s="672">
        <f t="shared" ca="1" si="5"/>
        <v>0</v>
      </c>
      <c r="P46" s="672">
        <f t="shared" si="5"/>
        <v>0</v>
      </c>
      <c r="Q46" s="672">
        <f t="shared" si="5"/>
        <v>0</v>
      </c>
      <c r="R46" s="672">
        <f ca="1">SUM(R39:R45)</f>
        <v>123574.28298206058</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3.2007041290779652</v>
      </c>
      <c r="D49" s="639">
        <f ca="1">transport!C58</f>
        <v>0</v>
      </c>
      <c r="E49" s="639">
        <f>transport!D58</f>
        <v>0</v>
      </c>
      <c r="F49" s="639">
        <f>transport!E58</f>
        <v>0</v>
      </c>
      <c r="G49" s="639">
        <f>transport!F58</f>
        <v>0</v>
      </c>
      <c r="H49" s="639">
        <f>transport!G58</f>
        <v>814.46311949232813</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817.6638236214061</v>
      </c>
    </row>
    <row r="50" spans="1:18">
      <c r="A50" s="769" t="s">
        <v>296</v>
      </c>
      <c r="B50" s="779"/>
      <c r="C50" s="948">
        <f ca="1">transport!B18</f>
        <v>1.7522496213797227</v>
      </c>
      <c r="D50" s="948">
        <f>transport!C18</f>
        <v>0</v>
      </c>
      <c r="E50" s="948">
        <f>transport!D18</f>
        <v>2.2066952766848815</v>
      </c>
      <c r="F50" s="948">
        <f>transport!E18</f>
        <v>157.0585943166914</v>
      </c>
      <c r="G50" s="948">
        <f>transport!F18</f>
        <v>0</v>
      </c>
      <c r="H50" s="948">
        <f>transport!G18</f>
        <v>45744.517870764015</v>
      </c>
      <c r="I50" s="948">
        <f>transport!H18</f>
        <v>6887.6075297212292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52793.142939700003</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4.9529537504576879</v>
      </c>
      <c r="D52" s="672">
        <f t="shared" ref="D52:Q52" ca="1" si="6">SUM(D48:D51)</f>
        <v>0</v>
      </c>
      <c r="E52" s="672">
        <f t="shared" si="6"/>
        <v>2.2066952766848815</v>
      </c>
      <c r="F52" s="672">
        <f t="shared" si="6"/>
        <v>157.0585943166914</v>
      </c>
      <c r="G52" s="672">
        <f t="shared" si="6"/>
        <v>0</v>
      </c>
      <c r="H52" s="672">
        <f t="shared" si="6"/>
        <v>46558.980990256343</v>
      </c>
      <c r="I52" s="672">
        <f t="shared" si="6"/>
        <v>6887.6075297212292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53610.806763321409</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261.35813597563913</v>
      </c>
      <c r="D54" s="948">
        <f ca="1">+landbouw!C12</f>
        <v>0</v>
      </c>
      <c r="E54" s="948">
        <f>+landbouw!D12</f>
        <v>66.578648299895718</v>
      </c>
      <c r="F54" s="948">
        <f>+landbouw!E12</f>
        <v>2.7995180778921953</v>
      </c>
      <c r="G54" s="948">
        <f>+landbouw!F12</f>
        <v>1112.4591148527593</v>
      </c>
      <c r="H54" s="948">
        <f>+landbouw!G12</f>
        <v>0</v>
      </c>
      <c r="I54" s="948">
        <f>+landbouw!H12</f>
        <v>0</v>
      </c>
      <c r="J54" s="948">
        <f>+landbouw!I12</f>
        <v>0</v>
      </c>
      <c r="K54" s="948">
        <f>+landbouw!J12</f>
        <v>44.107659333289071</v>
      </c>
      <c r="L54" s="948">
        <f>+landbouw!K12</f>
        <v>0</v>
      </c>
      <c r="M54" s="948">
        <f>+landbouw!L12</f>
        <v>0</v>
      </c>
      <c r="N54" s="948">
        <f>+landbouw!M12</f>
        <v>0</v>
      </c>
      <c r="O54" s="948">
        <f>+landbouw!N12</f>
        <v>0</v>
      </c>
      <c r="P54" s="948">
        <f>+landbouw!O12</f>
        <v>0</v>
      </c>
      <c r="Q54" s="949">
        <f>+landbouw!P12</f>
        <v>0</v>
      </c>
      <c r="R54" s="671">
        <f ca="1">SUM(C54:Q54)</f>
        <v>1487.3030765394753</v>
      </c>
    </row>
    <row r="55" spans="1:18" ht="15" thickBot="1">
      <c r="A55" s="769" t="s">
        <v>847</v>
      </c>
      <c r="B55" s="779"/>
      <c r="C55" s="948">
        <f ca="1">C25*'EF ele_warmte'!B12</f>
        <v>554.81130333063743</v>
      </c>
      <c r="D55" s="948"/>
      <c r="E55" s="948">
        <f>E25*EF_CO2_aardgas</f>
        <v>987.6243194914241</v>
      </c>
      <c r="F55" s="948"/>
      <c r="G55" s="948"/>
      <c r="H55" s="948"/>
      <c r="I55" s="948"/>
      <c r="J55" s="948"/>
      <c r="K55" s="948"/>
      <c r="L55" s="948"/>
      <c r="M55" s="948"/>
      <c r="N55" s="948"/>
      <c r="O55" s="948"/>
      <c r="P55" s="948"/>
      <c r="Q55" s="949"/>
      <c r="R55" s="671">
        <f ca="1">SUM(C55:Q55)</f>
        <v>1542.4356228220615</v>
      </c>
    </row>
    <row r="56" spans="1:18" ht="15.75" thickBot="1">
      <c r="A56" s="767" t="s">
        <v>848</v>
      </c>
      <c r="B56" s="780"/>
      <c r="C56" s="672">
        <f ca="1">SUM(C54:C55)</f>
        <v>816.16943930627656</v>
      </c>
      <c r="D56" s="672">
        <f t="shared" ref="D56:Q56" ca="1" si="7">SUM(D54:D55)</f>
        <v>0</v>
      </c>
      <c r="E56" s="672">
        <f t="shared" si="7"/>
        <v>1054.2029677913199</v>
      </c>
      <c r="F56" s="672">
        <f t="shared" si="7"/>
        <v>2.7995180778921953</v>
      </c>
      <c r="G56" s="672">
        <f t="shared" si="7"/>
        <v>1112.4591148527593</v>
      </c>
      <c r="H56" s="672">
        <f t="shared" si="7"/>
        <v>0</v>
      </c>
      <c r="I56" s="672">
        <f t="shared" si="7"/>
        <v>0</v>
      </c>
      <c r="J56" s="672">
        <f t="shared" si="7"/>
        <v>0</v>
      </c>
      <c r="K56" s="672">
        <f t="shared" si="7"/>
        <v>44.107659333289071</v>
      </c>
      <c r="L56" s="672">
        <f t="shared" si="7"/>
        <v>0</v>
      </c>
      <c r="M56" s="672">
        <f t="shared" si="7"/>
        <v>0</v>
      </c>
      <c r="N56" s="672">
        <f t="shared" si="7"/>
        <v>0</v>
      </c>
      <c r="O56" s="672">
        <f t="shared" si="7"/>
        <v>0</v>
      </c>
      <c r="P56" s="672">
        <f t="shared" si="7"/>
        <v>0</v>
      </c>
      <c r="Q56" s="673">
        <f t="shared" si="7"/>
        <v>0</v>
      </c>
      <c r="R56" s="674">
        <f ca="1">SUM(R54:R55)</f>
        <v>3029.7386993615369</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37660.360564338858</v>
      </c>
      <c r="D61" s="680">
        <f t="shared" ref="D61:Q61" ca="1" si="8">D46+D52+D56</f>
        <v>0</v>
      </c>
      <c r="E61" s="680">
        <f t="shared" ca="1" si="8"/>
        <v>43646.024292372538</v>
      </c>
      <c r="F61" s="680">
        <f t="shared" si="8"/>
        <v>1395.1527267126539</v>
      </c>
      <c r="G61" s="680">
        <f t="shared" ca="1" si="8"/>
        <v>43071.037684272422</v>
      </c>
      <c r="H61" s="680">
        <f t="shared" si="8"/>
        <v>46558.980990256343</v>
      </c>
      <c r="I61" s="680">
        <f t="shared" si="8"/>
        <v>6887.6075297212292</v>
      </c>
      <c r="J61" s="680">
        <f t="shared" si="8"/>
        <v>0</v>
      </c>
      <c r="K61" s="680">
        <f t="shared" si="8"/>
        <v>995.66465706949748</v>
      </c>
      <c r="L61" s="680">
        <f t="shared" si="8"/>
        <v>0</v>
      </c>
      <c r="M61" s="680">
        <f t="shared" ca="1" si="8"/>
        <v>0</v>
      </c>
      <c r="N61" s="680">
        <f t="shared" si="8"/>
        <v>0</v>
      </c>
      <c r="O61" s="680">
        <f t="shared" ca="1" si="8"/>
        <v>0</v>
      </c>
      <c r="P61" s="680">
        <f t="shared" si="8"/>
        <v>0</v>
      </c>
      <c r="Q61" s="680">
        <f t="shared" si="8"/>
        <v>0</v>
      </c>
      <c r="R61" s="680">
        <f ca="1">R46+R52+R56</f>
        <v>180214.82844474353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0.20927806626141529</v>
      </c>
      <c r="D63" s="724">
        <f t="shared" ca="1" si="9"/>
        <v>0</v>
      </c>
      <c r="E63" s="950">
        <f t="shared" ca="1" si="9"/>
        <v>0.20200000000000004</v>
      </c>
      <c r="F63" s="724">
        <f t="shared" si="9"/>
        <v>0.22699999999999998</v>
      </c>
      <c r="G63" s="724">
        <f t="shared" ca="1" si="9"/>
        <v>0.26699999999999996</v>
      </c>
      <c r="H63" s="724">
        <f t="shared" si="9"/>
        <v>0.26700000000000002</v>
      </c>
      <c r="I63" s="724">
        <f t="shared" si="9"/>
        <v>0.249</v>
      </c>
      <c r="J63" s="724">
        <f t="shared" si="9"/>
        <v>0</v>
      </c>
      <c r="K63" s="724">
        <f t="shared" si="9"/>
        <v>0.35400000000000004</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7357.8201233080372</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2187</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6248.5714285714294</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9544.8201233080363</v>
      </c>
      <c r="C78" s="695">
        <f>SUM(C72:C77)</f>
        <v>0</v>
      </c>
      <c r="D78" s="696">
        <f t="shared" ref="D78:H78" si="10">SUM(D76:D77)</f>
        <v>0</v>
      </c>
      <c r="E78" s="696">
        <f t="shared" si="10"/>
        <v>0</v>
      </c>
      <c r="F78" s="696">
        <f t="shared" si="10"/>
        <v>0</v>
      </c>
      <c r="G78" s="696">
        <f t="shared" si="10"/>
        <v>0</v>
      </c>
      <c r="H78" s="696">
        <f t="shared" si="10"/>
        <v>0</v>
      </c>
      <c r="I78" s="696">
        <f>SUM(I76:I77)</f>
        <v>0</v>
      </c>
      <c r="J78" s="696">
        <f>SUM(J76:J77)</f>
        <v>6248.5714285714294</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71951.939135376451</v>
      </c>
      <c r="C4" s="447">
        <f>huishoudens!C8</f>
        <v>0</v>
      </c>
      <c r="D4" s="447">
        <f>huishoudens!D8</f>
        <v>110325.03048903766</v>
      </c>
      <c r="E4" s="447">
        <f>huishoudens!E8</f>
        <v>4515.2250135222102</v>
      </c>
      <c r="F4" s="447">
        <f>huishoudens!F8</f>
        <v>137656.10162819605</v>
      </c>
      <c r="G4" s="447">
        <f>huishoudens!G8</f>
        <v>0</v>
      </c>
      <c r="H4" s="447">
        <f>huishoudens!H8</f>
        <v>0</v>
      </c>
      <c r="I4" s="447">
        <f>huishoudens!I8</f>
        <v>0</v>
      </c>
      <c r="J4" s="447">
        <f>huishoudens!J8</f>
        <v>2497.7219983484861</v>
      </c>
      <c r="K4" s="447">
        <f>huishoudens!K8</f>
        <v>0</v>
      </c>
      <c r="L4" s="447">
        <f>huishoudens!L8</f>
        <v>0</v>
      </c>
      <c r="M4" s="447">
        <f>huishoudens!M8</f>
        <v>0</v>
      </c>
      <c r="N4" s="447">
        <f>huishoudens!N8</f>
        <v>23572.444744141867</v>
      </c>
      <c r="O4" s="447">
        <f>huishoudens!O8</f>
        <v>129.75666666666669</v>
      </c>
      <c r="P4" s="448">
        <f>huishoudens!P8</f>
        <v>591.06666666666661</v>
      </c>
      <c r="Q4" s="449">
        <f>SUM(B4:P4)</f>
        <v>351239.28634195606</v>
      </c>
    </row>
    <row r="5" spans="1:17">
      <c r="A5" s="446" t="s">
        <v>149</v>
      </c>
      <c r="B5" s="447">
        <f ca="1">tertiair!B16</f>
        <v>52303.668014570299</v>
      </c>
      <c r="C5" s="447">
        <f ca="1">tertiair!C16</f>
        <v>0</v>
      </c>
      <c r="D5" s="447">
        <f ca="1">tertiair!D16</f>
        <v>48475.972768903695</v>
      </c>
      <c r="E5" s="447">
        <f>tertiair!E16</f>
        <v>465.04412026273343</v>
      </c>
      <c r="F5" s="447">
        <f ca="1">tertiair!F16</f>
        <v>9758.7591801017643</v>
      </c>
      <c r="G5" s="447">
        <f>tertiair!G16</f>
        <v>0</v>
      </c>
      <c r="H5" s="447">
        <f>tertiair!H16</f>
        <v>0</v>
      </c>
      <c r="I5" s="447">
        <f>tertiair!I16</f>
        <v>0</v>
      </c>
      <c r="J5" s="447">
        <f>tertiair!J16</f>
        <v>0</v>
      </c>
      <c r="K5" s="447">
        <f>tertiair!K16</f>
        <v>0</v>
      </c>
      <c r="L5" s="447">
        <f ca="1">tertiair!L16</f>
        <v>0</v>
      </c>
      <c r="M5" s="447">
        <f>tertiair!M16</f>
        <v>0</v>
      </c>
      <c r="N5" s="447">
        <f ca="1">tertiair!N16</f>
        <v>0</v>
      </c>
      <c r="O5" s="447">
        <f>tertiair!O16</f>
        <v>3.1266666666666669</v>
      </c>
      <c r="P5" s="448">
        <f>tertiair!P16</f>
        <v>19.066666666666666</v>
      </c>
      <c r="Q5" s="446">
        <f t="shared" ref="Q5:Q14" ca="1" si="0">SUM(B5:P5)</f>
        <v>111025.63741717182</v>
      </c>
    </row>
    <row r="6" spans="1:17">
      <c r="A6" s="446" t="s">
        <v>187</v>
      </c>
      <c r="B6" s="447">
        <f>'openbare verlichting'!B8</f>
        <v>2608.9119999999998</v>
      </c>
      <c r="C6" s="447"/>
      <c r="D6" s="447"/>
      <c r="E6" s="447"/>
      <c r="F6" s="447"/>
      <c r="G6" s="447"/>
      <c r="H6" s="447"/>
      <c r="I6" s="447"/>
      <c r="J6" s="447"/>
      <c r="K6" s="447"/>
      <c r="L6" s="447"/>
      <c r="M6" s="447"/>
      <c r="N6" s="447"/>
      <c r="O6" s="447"/>
      <c r="P6" s="448"/>
      <c r="Q6" s="446">
        <f t="shared" si="0"/>
        <v>2608.9119999999998</v>
      </c>
    </row>
    <row r="7" spans="1:17">
      <c r="A7" s="446" t="s">
        <v>105</v>
      </c>
      <c r="B7" s="447">
        <f>landbouw!B8</f>
        <v>1248.8558435415259</v>
      </c>
      <c r="C7" s="447">
        <f>landbouw!C8</f>
        <v>0</v>
      </c>
      <c r="D7" s="447">
        <f>landbouw!D8</f>
        <v>329.59726881136493</v>
      </c>
      <c r="E7" s="447">
        <f>landbouw!E8</f>
        <v>12.332678757234341</v>
      </c>
      <c r="F7" s="447">
        <f>landbouw!F8</f>
        <v>4166.5135387743794</v>
      </c>
      <c r="G7" s="447">
        <f>landbouw!G8</f>
        <v>0</v>
      </c>
      <c r="H7" s="447">
        <f>landbouw!H8</f>
        <v>0</v>
      </c>
      <c r="I7" s="447">
        <f>landbouw!I8</f>
        <v>0</v>
      </c>
      <c r="J7" s="447">
        <f>landbouw!J8</f>
        <v>124.59790772115556</v>
      </c>
      <c r="K7" s="447">
        <f>landbouw!K8</f>
        <v>0</v>
      </c>
      <c r="L7" s="447">
        <f>landbouw!L8</f>
        <v>0</v>
      </c>
      <c r="M7" s="447">
        <f>landbouw!M8</f>
        <v>0</v>
      </c>
      <c r="N7" s="447">
        <f>landbouw!N8</f>
        <v>0</v>
      </c>
      <c r="O7" s="447">
        <f>landbouw!O8</f>
        <v>0</v>
      </c>
      <c r="P7" s="448">
        <f>landbouw!P8</f>
        <v>0</v>
      </c>
      <c r="Q7" s="446">
        <f t="shared" si="0"/>
        <v>5881.8972376056608</v>
      </c>
    </row>
    <row r="8" spans="1:17">
      <c r="A8" s="446" t="s">
        <v>640</v>
      </c>
      <c r="B8" s="447">
        <f>industrie!B18</f>
        <v>49165.577216029618</v>
      </c>
      <c r="C8" s="447">
        <f>industrie!C18</f>
        <v>0</v>
      </c>
      <c r="D8" s="447">
        <f>industrie!D18</f>
        <v>52038.673124754321</v>
      </c>
      <c r="E8" s="447">
        <f>industrie!E18</f>
        <v>461.55736100831871</v>
      </c>
      <c r="F8" s="447">
        <f>industrie!F18</f>
        <v>9733.3735340979256</v>
      </c>
      <c r="G8" s="447">
        <f>industrie!G18</f>
        <v>0</v>
      </c>
      <c r="H8" s="447">
        <f>industrie!H18</f>
        <v>0</v>
      </c>
      <c r="I8" s="447">
        <f>industrie!I18</f>
        <v>0</v>
      </c>
      <c r="J8" s="447">
        <f>industrie!J18</f>
        <v>190.29211955040762</v>
      </c>
      <c r="K8" s="447">
        <f>industrie!K18</f>
        <v>0</v>
      </c>
      <c r="L8" s="447">
        <f>industrie!L18</f>
        <v>0</v>
      </c>
      <c r="M8" s="447">
        <f>industrie!M18</f>
        <v>0</v>
      </c>
      <c r="N8" s="447">
        <f>industrie!N18</f>
        <v>1372.6811835817982</v>
      </c>
      <c r="O8" s="447">
        <f>industrie!O18</f>
        <v>0</v>
      </c>
      <c r="P8" s="448">
        <f>industrie!P18</f>
        <v>0</v>
      </c>
      <c r="Q8" s="446">
        <f t="shared" si="0"/>
        <v>112962.15453902239</v>
      </c>
    </row>
    <row r="9" spans="1:17" s="452" customFormat="1">
      <c r="A9" s="450" t="s">
        <v>560</v>
      </c>
      <c r="B9" s="451">
        <f>transport!B14</f>
        <v>8.3728297603387496</v>
      </c>
      <c r="C9" s="451">
        <f>transport!C14</f>
        <v>0</v>
      </c>
      <c r="D9" s="451">
        <f>transport!D14</f>
        <v>10.924234042994463</v>
      </c>
      <c r="E9" s="451">
        <f>transport!E14</f>
        <v>691.8880806902705</v>
      </c>
      <c r="F9" s="451">
        <f>transport!F14</f>
        <v>0</v>
      </c>
      <c r="G9" s="451">
        <f>transport!G14</f>
        <v>171327.78228750566</v>
      </c>
      <c r="H9" s="451">
        <f>transport!H14</f>
        <v>27661.074416551121</v>
      </c>
      <c r="I9" s="451">
        <f>transport!I14</f>
        <v>0</v>
      </c>
      <c r="J9" s="451">
        <f>transport!J14</f>
        <v>0</v>
      </c>
      <c r="K9" s="451">
        <f>transport!K14</f>
        <v>0</v>
      </c>
      <c r="L9" s="451">
        <f>transport!L14</f>
        <v>0</v>
      </c>
      <c r="M9" s="451">
        <f>transport!M14</f>
        <v>8890.3687562290306</v>
      </c>
      <c r="N9" s="451">
        <f>transport!N14</f>
        <v>0</v>
      </c>
      <c r="O9" s="451">
        <f>transport!O14</f>
        <v>0</v>
      </c>
      <c r="P9" s="451">
        <f>transport!P14</f>
        <v>0</v>
      </c>
      <c r="Q9" s="450">
        <f>SUM(B9:P9)</f>
        <v>208590.41060477943</v>
      </c>
    </row>
    <row r="10" spans="1:17">
      <c r="A10" s="446" t="s">
        <v>550</v>
      </c>
      <c r="B10" s="447">
        <f>transport!B54</f>
        <v>15.294025724988652</v>
      </c>
      <c r="C10" s="447">
        <f>transport!C54</f>
        <v>0</v>
      </c>
      <c r="D10" s="447">
        <f>transport!D54</f>
        <v>0</v>
      </c>
      <c r="E10" s="447">
        <f>transport!E54</f>
        <v>0</v>
      </c>
      <c r="F10" s="447">
        <f>transport!F54</f>
        <v>0</v>
      </c>
      <c r="G10" s="447">
        <f>transport!G54</f>
        <v>3050.4236685105921</v>
      </c>
      <c r="H10" s="447">
        <f>transport!H54</f>
        <v>0</v>
      </c>
      <c r="I10" s="447">
        <f>transport!I54</f>
        <v>0</v>
      </c>
      <c r="J10" s="447">
        <f>transport!J54</f>
        <v>0</v>
      </c>
      <c r="K10" s="447">
        <f>transport!K54</f>
        <v>0</v>
      </c>
      <c r="L10" s="447">
        <f>transport!L54</f>
        <v>0</v>
      </c>
      <c r="M10" s="447">
        <f>transport!M54</f>
        <v>134.8254773160202</v>
      </c>
      <c r="N10" s="447">
        <f>transport!N54</f>
        <v>0</v>
      </c>
      <c r="O10" s="447">
        <f>transport!O54</f>
        <v>0</v>
      </c>
      <c r="P10" s="448">
        <f>transport!P54</f>
        <v>0</v>
      </c>
      <c r="Q10" s="446">
        <f t="shared" si="0"/>
        <v>3200.5431715516011</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2651.0723901548599</v>
      </c>
      <c r="C14" s="454"/>
      <c r="D14" s="454">
        <f>'SEAP template'!E25</f>
        <v>4889.2293044129901</v>
      </c>
      <c r="E14" s="454"/>
      <c r="F14" s="454"/>
      <c r="G14" s="454"/>
      <c r="H14" s="454"/>
      <c r="I14" s="454"/>
      <c r="J14" s="454"/>
      <c r="K14" s="454"/>
      <c r="L14" s="454"/>
      <c r="M14" s="454"/>
      <c r="N14" s="454"/>
      <c r="O14" s="454"/>
      <c r="P14" s="455"/>
      <c r="Q14" s="446">
        <f t="shared" si="0"/>
        <v>7540.3016945678501</v>
      </c>
    </row>
    <row r="15" spans="1:17" s="459" customFormat="1">
      <c r="A15" s="456" t="s">
        <v>554</v>
      </c>
      <c r="B15" s="457">
        <f ca="1">SUM(B4:B14)</f>
        <v>179953.69145515806</v>
      </c>
      <c r="C15" s="457">
        <f t="shared" ref="C15:Q15" ca="1" si="1">SUM(C4:C14)</f>
        <v>0</v>
      </c>
      <c r="D15" s="457">
        <f t="shared" ca="1" si="1"/>
        <v>216069.42718996303</v>
      </c>
      <c r="E15" s="457">
        <f t="shared" si="1"/>
        <v>6146.047254240767</v>
      </c>
      <c r="F15" s="457">
        <f t="shared" ca="1" si="1"/>
        <v>161314.74788117013</v>
      </c>
      <c r="G15" s="457">
        <f t="shared" si="1"/>
        <v>174378.20595601626</v>
      </c>
      <c r="H15" s="457">
        <f t="shared" si="1"/>
        <v>27661.074416551121</v>
      </c>
      <c r="I15" s="457">
        <f t="shared" si="1"/>
        <v>0</v>
      </c>
      <c r="J15" s="457">
        <f t="shared" si="1"/>
        <v>2812.6120256200493</v>
      </c>
      <c r="K15" s="457">
        <f t="shared" si="1"/>
        <v>0</v>
      </c>
      <c r="L15" s="457">
        <f t="shared" ca="1" si="1"/>
        <v>0</v>
      </c>
      <c r="M15" s="457">
        <f t="shared" si="1"/>
        <v>9025.1942335450512</v>
      </c>
      <c r="N15" s="457">
        <f t="shared" ca="1" si="1"/>
        <v>24945.125927723664</v>
      </c>
      <c r="O15" s="457">
        <f t="shared" si="1"/>
        <v>132.88333333333335</v>
      </c>
      <c r="P15" s="457">
        <f t="shared" si="1"/>
        <v>610.13333333333333</v>
      </c>
      <c r="Q15" s="457">
        <f t="shared" ca="1" si="1"/>
        <v>803049.14300665481</v>
      </c>
    </row>
    <row r="17" spans="1:17">
      <c r="A17" s="460" t="s">
        <v>555</v>
      </c>
      <c r="B17" s="729">
        <f ca="1">huishoudens!B10</f>
        <v>0.20927806626141529</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15057.962686010633</v>
      </c>
      <c r="C22" s="447">
        <f t="shared" ref="C22:C32" ca="1" si="3">C4*$C$17</f>
        <v>0</v>
      </c>
      <c r="D22" s="447">
        <f t="shared" ref="D22:D32" si="4">D4*$D$17</f>
        <v>22285.656158785609</v>
      </c>
      <c r="E22" s="447">
        <f t="shared" ref="E22:E32" si="5">E4*$E$17</f>
        <v>1024.9560780695417</v>
      </c>
      <c r="F22" s="447">
        <f t="shared" ref="F22:F32" si="6">F4*$F$17</f>
        <v>36754.179134728343</v>
      </c>
      <c r="G22" s="447">
        <f t="shared" ref="G22:G32" si="7">G4*$G$17</f>
        <v>0</v>
      </c>
      <c r="H22" s="447">
        <f t="shared" ref="H22:H32" si="8">H4*$H$17</f>
        <v>0</v>
      </c>
      <c r="I22" s="447">
        <f t="shared" ref="I22:I32" si="9">I4*$I$17</f>
        <v>0</v>
      </c>
      <c r="J22" s="447">
        <f t="shared" ref="J22:J32" si="10">J4*$J$17</f>
        <v>884.19358741536405</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76006.947645009481</v>
      </c>
    </row>
    <row r="23" spans="1:17">
      <c r="A23" s="446" t="s">
        <v>149</v>
      </c>
      <c r="B23" s="447">
        <f t="shared" ca="1" si="2"/>
        <v>10946.01050046831</v>
      </c>
      <c r="C23" s="447">
        <f t="shared" ca="1" si="3"/>
        <v>0</v>
      </c>
      <c r="D23" s="447">
        <f t="shared" ca="1" si="4"/>
        <v>9792.1464993185473</v>
      </c>
      <c r="E23" s="447">
        <f t="shared" si="5"/>
        <v>105.56501529964049</v>
      </c>
      <c r="F23" s="447">
        <f t="shared" ca="1" si="6"/>
        <v>2605.5887010871711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23449.31071617367</v>
      </c>
    </row>
    <row r="24" spans="1:17">
      <c r="A24" s="446" t="s">
        <v>187</v>
      </c>
      <c r="B24" s="447">
        <f t="shared" ca="1" si="2"/>
        <v>545.9880584062015</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545.9880584062015</v>
      </c>
    </row>
    <row r="25" spans="1:17">
      <c r="A25" s="446" t="s">
        <v>105</v>
      </c>
      <c r="B25" s="447">
        <f t="shared" ca="1" si="2"/>
        <v>261.35813597563913</v>
      </c>
      <c r="C25" s="447">
        <f t="shared" ca="1" si="3"/>
        <v>0</v>
      </c>
      <c r="D25" s="447">
        <f t="shared" si="4"/>
        <v>66.578648299895718</v>
      </c>
      <c r="E25" s="447">
        <f t="shared" si="5"/>
        <v>2.7995180778921953</v>
      </c>
      <c r="F25" s="447">
        <f t="shared" si="6"/>
        <v>1112.4591148527593</v>
      </c>
      <c r="G25" s="447">
        <f t="shared" si="7"/>
        <v>0</v>
      </c>
      <c r="H25" s="447">
        <f t="shared" si="8"/>
        <v>0</v>
      </c>
      <c r="I25" s="447">
        <f t="shared" si="9"/>
        <v>0</v>
      </c>
      <c r="J25" s="447">
        <f t="shared" si="10"/>
        <v>44.107659333289071</v>
      </c>
      <c r="K25" s="447">
        <f t="shared" si="11"/>
        <v>0</v>
      </c>
      <c r="L25" s="447">
        <f t="shared" si="12"/>
        <v>0</v>
      </c>
      <c r="M25" s="447">
        <f t="shared" si="13"/>
        <v>0</v>
      </c>
      <c r="N25" s="447">
        <f t="shared" si="14"/>
        <v>0</v>
      </c>
      <c r="O25" s="447">
        <f t="shared" si="15"/>
        <v>0</v>
      </c>
      <c r="P25" s="448">
        <f t="shared" si="16"/>
        <v>0</v>
      </c>
      <c r="Q25" s="446">
        <f t="shared" ca="1" si="17"/>
        <v>1487.3030765394753</v>
      </c>
    </row>
    <row r="26" spans="1:17">
      <c r="A26" s="446" t="s">
        <v>640</v>
      </c>
      <c r="B26" s="447">
        <f t="shared" ca="1" si="2"/>
        <v>10289.276926396977</v>
      </c>
      <c r="C26" s="447">
        <f t="shared" ca="1" si="3"/>
        <v>0</v>
      </c>
      <c r="D26" s="447">
        <f t="shared" si="4"/>
        <v>10511.811971200374</v>
      </c>
      <c r="E26" s="447">
        <f t="shared" si="5"/>
        <v>104.77352094888835</v>
      </c>
      <c r="F26" s="447">
        <f t="shared" si="6"/>
        <v>2598.8107336041462</v>
      </c>
      <c r="G26" s="447">
        <f t="shared" si="7"/>
        <v>0</v>
      </c>
      <c r="H26" s="447">
        <f t="shared" si="8"/>
        <v>0</v>
      </c>
      <c r="I26" s="447">
        <f t="shared" si="9"/>
        <v>0</v>
      </c>
      <c r="J26" s="447">
        <f t="shared" si="10"/>
        <v>67.363410320844295</v>
      </c>
      <c r="K26" s="447">
        <f t="shared" si="11"/>
        <v>0</v>
      </c>
      <c r="L26" s="447">
        <f t="shared" si="12"/>
        <v>0</v>
      </c>
      <c r="M26" s="447">
        <f t="shared" si="13"/>
        <v>0</v>
      </c>
      <c r="N26" s="447">
        <f t="shared" si="14"/>
        <v>0</v>
      </c>
      <c r="O26" s="447">
        <f t="shared" si="15"/>
        <v>0</v>
      </c>
      <c r="P26" s="448">
        <f t="shared" si="16"/>
        <v>0</v>
      </c>
      <c r="Q26" s="446">
        <f t="shared" ca="1" si="17"/>
        <v>23572.036562471232</v>
      </c>
    </row>
    <row r="27" spans="1:17" s="452" customFormat="1">
      <c r="A27" s="450" t="s">
        <v>560</v>
      </c>
      <c r="B27" s="723">
        <f t="shared" ca="1" si="2"/>
        <v>1.7522496213797227</v>
      </c>
      <c r="C27" s="451">
        <f t="shared" ca="1" si="3"/>
        <v>0</v>
      </c>
      <c r="D27" s="451">
        <f t="shared" si="4"/>
        <v>2.2066952766848815</v>
      </c>
      <c r="E27" s="451">
        <f t="shared" si="5"/>
        <v>157.0585943166914</v>
      </c>
      <c r="F27" s="451">
        <f t="shared" si="6"/>
        <v>0</v>
      </c>
      <c r="G27" s="451">
        <f t="shared" si="7"/>
        <v>45744.517870764015</v>
      </c>
      <c r="H27" s="451">
        <f t="shared" si="8"/>
        <v>6887.6075297212292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52793.142939700003</v>
      </c>
    </row>
    <row r="28" spans="1:17">
      <c r="A28" s="446" t="s">
        <v>550</v>
      </c>
      <c r="B28" s="447">
        <f t="shared" ca="1" si="2"/>
        <v>3.2007041290779652</v>
      </c>
      <c r="C28" s="447">
        <f t="shared" ca="1" si="3"/>
        <v>0</v>
      </c>
      <c r="D28" s="447">
        <f t="shared" si="4"/>
        <v>0</v>
      </c>
      <c r="E28" s="447">
        <f t="shared" si="5"/>
        <v>0</v>
      </c>
      <c r="F28" s="447">
        <f t="shared" si="6"/>
        <v>0</v>
      </c>
      <c r="G28" s="447">
        <f t="shared" si="7"/>
        <v>814.46311949232813</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817.6638236214061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554.81130333063743</v>
      </c>
      <c r="C32" s="447">
        <f t="shared" ca="1" si="3"/>
        <v>0</v>
      </c>
      <c r="D32" s="447">
        <f t="shared" si="4"/>
        <v>987.6243194914241</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1542.4356228220615</v>
      </c>
    </row>
    <row r="33" spans="1:17" s="459" customFormat="1">
      <c r="A33" s="456" t="s">
        <v>554</v>
      </c>
      <c r="B33" s="457">
        <f ca="1">SUM(B22:B32)</f>
        <v>37660.360564338851</v>
      </c>
      <c r="C33" s="457">
        <f t="shared" ref="C33:Q33" ca="1" si="18">SUM(C22:C32)</f>
        <v>0</v>
      </c>
      <c r="D33" s="457">
        <f t="shared" ca="1" si="18"/>
        <v>43646.024292372531</v>
      </c>
      <c r="E33" s="457">
        <f t="shared" si="18"/>
        <v>1395.1527267126539</v>
      </c>
      <c r="F33" s="457">
        <f t="shared" ca="1" si="18"/>
        <v>43071.037684272422</v>
      </c>
      <c r="G33" s="457">
        <f t="shared" si="18"/>
        <v>46558.980990256343</v>
      </c>
      <c r="H33" s="457">
        <f t="shared" si="18"/>
        <v>6887.6075297212292</v>
      </c>
      <c r="I33" s="457">
        <f t="shared" si="18"/>
        <v>0</v>
      </c>
      <c r="J33" s="457">
        <f t="shared" si="18"/>
        <v>995.66465706949748</v>
      </c>
      <c r="K33" s="457">
        <f t="shared" si="18"/>
        <v>0</v>
      </c>
      <c r="L33" s="457">
        <f t="shared" ca="1" si="18"/>
        <v>0</v>
      </c>
      <c r="M33" s="457">
        <f t="shared" si="18"/>
        <v>0</v>
      </c>
      <c r="N33" s="457">
        <f t="shared" ca="1" si="18"/>
        <v>0</v>
      </c>
      <c r="O33" s="457">
        <f t="shared" si="18"/>
        <v>0</v>
      </c>
      <c r="P33" s="457">
        <f t="shared" si="18"/>
        <v>0</v>
      </c>
      <c r="Q33" s="457">
        <f t="shared" ca="1" si="18"/>
        <v>180214.82844474353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7357.8201233080372</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2187</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6248.5714285714294</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9544.8201233080363</v>
      </c>
      <c r="C10" s="981">
        <f>SUM(C4:C9)</f>
        <v>0</v>
      </c>
      <c r="D10" s="981">
        <f t="shared" ref="D10:H10" si="0">SUM(D8:D9)</f>
        <v>0</v>
      </c>
      <c r="E10" s="981">
        <f t="shared" si="0"/>
        <v>0</v>
      </c>
      <c r="F10" s="981">
        <f t="shared" si="0"/>
        <v>0</v>
      </c>
      <c r="G10" s="981">
        <f t="shared" si="0"/>
        <v>0</v>
      </c>
      <c r="H10" s="981">
        <f t="shared" si="0"/>
        <v>0</v>
      </c>
      <c r="I10" s="981">
        <f>SUM(I8:I9)</f>
        <v>0</v>
      </c>
      <c r="J10" s="981">
        <f>SUM(J8:J9)</f>
        <v>6248.5714285714294</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0.20927806626141529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0.20927806626141529</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1</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1.5633333333333335</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2022-07-26T12:33:23Z</dcterms:modified>
</cp:coreProperties>
</file>