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7FB7726A-4386-46BA-86BF-3E18AA2F1BB6}"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<sst xmlns="http://schemas.openxmlformats.org/spreadsheetml/2006/main" count="2497" uniqueCount="945">
  <si>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</si>
  <si>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</si>
  <si>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</si>
  <si>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</si>
  <si>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</si>
  <si>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</si>
  <si>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</si>
  <si>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</si>
  <si>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</si>
  <si>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</si>
  <si>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</si>
  <si>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</si>
  <si>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</si>
  <si>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</si>
  <si>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</si>
  <si>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</si>
  <si>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</si>
  <si>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</si>
  <si>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</si>
  <si>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</si>
  <si>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</si>
  <si>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</si>
  <si>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</si>
  <si>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</si>
  <si>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</si>
  <si>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</si>
  <si>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</si>
  <si>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</si>
  <si>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</si>
  <si>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</si>
  <si>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</si>
  <si>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</si>
  <si>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</si>
  <si>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</si>
  <si>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</si>
  <si>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</si>
  <si>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</si>
  <si>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</si>
  <si>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</si>
  <si>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</si>
  <si>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</si>
  <si>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</si>
  <si>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</si>
  <si>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</si>
  <si>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</si>
  <si>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</si>
  <si>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</si>
  <si>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</si>
  <si>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</si>
  <si>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</si>
  <si>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</si>
  <si>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</si>
  <si>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</si>
  <si>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</si>
  <si>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</si>
  <si>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</si>
  <si>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</si>
  <si>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</si>
  <si>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</si>
  <si>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</si>
  <si>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</si>
  <si>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</si>
  <si>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</si>
  <si>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</si>
  <si>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</si>
  <si>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</si>
  <si>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</si>
  <si>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</si>
  <si>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</si>
  <si>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</si>
  <si>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</si>
  <si>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</si>
  <si>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</si>
  <si>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</si>
  <si>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</si>
  <si>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</si>
  <si>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</si>
  <si>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</si>
  <si>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</si>
  <si>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</si>
  <si>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</si>
  <si>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</si>
  <si>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</si>
  <si>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</si>
  <si>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</si>
  <si>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</si>
  <si>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</si>
  <si>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</si>
  <si>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</si>
  <si>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</si>
  <si>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</si>
  <si>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</si>
  <si>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</si>
  <si>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</si>
  <si>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</si>
  <si>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</si>
  <si>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</si>
  <si>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</si>
  <si>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</si>
  <si>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</si>
  <si>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</si>
  <si>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</si>
  <si>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</si>
  <si>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</si>
  <si>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</si>
  <si>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</si>
  <si>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</si>
  <si>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</si>
  <si>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</si>
  <si>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</si>
  <si>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</si>
  <si>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</si>
  <si>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</si>
  <si>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</si>
  <si>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</si>
  <si>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</si>
  <si>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</si>
  <si>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</si>
  <si>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</si>
  <si>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</si>
  <si>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</si>
  <si>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</si>
  <si>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</si>
  <si>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</si>
  <si>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</si>
  <si>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</si>
  <si>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</si>
  <si>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</si>
  <si>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</si>
  <si>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</si>
  <si>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</si>
  <si>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</si>
  <si>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</si>
  <si>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</si>
  <si>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</si>
  <si>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</si>
  <si>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</si>
  <si>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</si>
  <si>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</si>
  <si>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</si>
  <si>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</si>
  <si>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</si>
  <si>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</si>
  <si>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</si>
  <si>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</si>
  <si>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</si>
  <si>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</si>
  <si>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</si>
  <si>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</si>
  <si>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</si>
  <si>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</si>
  <si>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</si>
  <si>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</si>
  <si>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</si>
  <si>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</si>
  <si>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</si>
  <si>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</si>
  <si>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</si>
  <si>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</si>
  <si>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</si>
  <si>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</si>
  <si>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</si>
  <si>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</si>
  <si>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</si>
  <si>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</si>
  <si>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</si>
  <si>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</si>
  <si>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</si>
  <si>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</si>
  <si>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</si>
  <si>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</si>
  <si>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</si>
  <si>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</si>
  <si>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</si>
  <si>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</si>
  <si>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</si>
  <si>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</si>
  <si>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</si>
  <si>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</si>
  <si>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</si>
  <si>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</si>
  <si>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</si>
  <si>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</si>
  <si>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</si>
  <si>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</si>
  <si>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</si>
  <si>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</si>
  <si>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</si>
  <si>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</si>
  <si>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</si>
  <si>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</si>
  <si>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</si>
  <si>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</si>
  <si>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</si>
  <si>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</si>
  <si>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</si>
  <si>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</si>
  <si>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</si>
  <si>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</si>
  <si>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</si>
  <si>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</si>
  <si>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</si>
  <si>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</si>
  <si>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</si>
  <si>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</si>
  <si>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</si>
  <si>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</si>
  <si>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</si>
  <si>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</si>
  <si>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</si>
  <si>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</si>
  <si>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</si>
  <si>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</si>
  <si>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</si>
  <si>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</si>
  <si>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</si>
  <si>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</si>
  <si>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</si>
  <si>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</si>
  <si>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</si>
  <si>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</si>
  <si>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</si>
  <si>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</si>
  <si>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</si>
  <si>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</si>
  <si>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</si>
  <si>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</si>
  <si>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</si>
  <si>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</si>
  <si>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</si>
  <si>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</si>
  <si>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</si>
  <si>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</si>
  <si>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</si>
  <si>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</si>
  <si>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</si>
  <si>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</si>
  <si>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</si>
  <si>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</si>
  <si>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</si>
  <si>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</si>
  <si>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</si>
  <si>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</si>
  <si>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</si>
  <si>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</si>
  <si>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</si>
  <si>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</si>
  <si>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</si>
  <si>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</si>
  <si>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</si>
  <si>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</si>
  <si>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</si>
  <si>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</si>
  <si>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</si>
  <si>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</si>
  <si>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</si>
  <si>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</si>
  <si>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</si>
  <si>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</si>
  <si>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</si>
  <si>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</si>
  <si>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</si>
  <si>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</si>
  <si>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</si>
  <si>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</si>
  <si>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</si>
  <si>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</si>
  <si>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</si>
  <si>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</si>
  <si>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</si>
  <si>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</si>
  <si>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</si>
  <si>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</si>
  <si>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</si>
  <si>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</si>
  <si>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</si>
  <si>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</si>
  <si>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</si>
  <si>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</si>
  <si>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</si>
  <si>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</si>
  <si>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</si>
  <si>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</si>
  <si>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</si>
  <si>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</si>
  <si>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</si>
  <si>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</si>
  <si>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</si>
  <si>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</si>
  <si>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</si>
  <si>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</si>
  <si>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</si>
  <si>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</si>
  <si>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</si>
  <si>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</si>
  <si>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</si>
  <si>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</si>
  <si>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</si>
  <si>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</si>
  <si>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</si>
  <si>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</si>
  <si>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</si>
  <si>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</si>
  <si>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</si>
  <si>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</si>
  <si>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</si>
  <si>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</si>
  <si>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</si>
  <si>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</si>
  <si>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</si>
  <si>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</si>
  <si>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</si>
  <si>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</si>
  <si>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</si>
  <si>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</si>
  <si>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</si>
  <si>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</si>
  <si>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</si>
  <si>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</si>
  <si>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</si>
  <si>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</si>
  <si>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</si>
  <si>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</si>
  <si>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</si>
  <si>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</si>
  <si>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</si>
  <si>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</si>
  <si>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</si>
  <si>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</si>
  <si>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</si>
  <si>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</si>
  <si>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</si>
  <si>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</si>
  <si>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</si>
  <si>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</si>
  <si>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</si>
  <si>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</si>
  <si>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</si>
  <si>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</si>
  <si>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</si>
  <si>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</si>
  <si>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</si>
  <si>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</si>
  <si>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</si>
  <si>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</si>
  <si>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</si>
  <si>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</si>
  <si>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</si>
  <si>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</si>
  <si>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</si>
  <si>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</si>
  <si>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</si>
  <si>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</si>
  <si>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</si>
  <si>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</si>
  <si>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</si>
  <si>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</si>
  <si>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</si>
  <si>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</si>
  <si>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</si>
  <si>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</si>
  <si>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</si>
  <si>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</si>
  <si>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</si>
  <si>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</si>
  <si>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</si>
  <si>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</si>
  <si>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</si>
  <si>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</si>
  <si>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</si>
  <si>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</si>
  <si>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</si>
  <si>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</si>
  <si>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</si>
  <si>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</si>
  <si>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</si>
  <si>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</si>
  <si>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</si>
  <si>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</si>
  <si>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</si>
  <si>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</si>
  <si>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</si>
  <si>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</si>
  <si>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</si>
  <si>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</si>
  <si>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</si>
  <si>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</si>
  <si>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</si>
  <si>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</si>
  <si>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</si>
  <si>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</si>
  <si>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</si>
  <si>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</si>
  <si>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</si>
  <si>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</si>
  <si>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</si>
  <si>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</si>
  <si>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</si>
  <si>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</si>
  <si>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</si>
  <si>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</si>
  <si>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</si>
  <si>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</si>
  <si>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</si>
  <si>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</si>
  <si>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</si>
  <si>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</si>
  <si>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</si>
  <si>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</si>
  <si>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</si>
  <si>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</si>
  <si>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</si>
  <si>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</si>
  <si>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</si>
  <si>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</si>
  <si>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</si>
  <si>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</si>
  <si>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</si>
  <si>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</si>
  <si>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</si>
  <si>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</si>
  <si>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</si>
  <si>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</si>
  <si>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</si>
  <si>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</si>
  <si>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</si>
  <si>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</si>
  <si>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</si>
  <si>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</si>
  <si>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</si>
  <si>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</si>
  <si>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</si>
  <si>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</si>
  <si>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</si>
  <si>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</si>
  <si>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</si>
  <si>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</si>
  <si>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</si>
  <si>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</si>
  <si>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</si>
  <si>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</si>
  <si>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</si>
  <si>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</si>
  <si>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</si>
  <si>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</si>
  <si>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</si>
  <si>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</si>
  <si>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</si>
  <si>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</si>
  <si>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</si>
  <si>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</si>
  <si>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</si>
  <si>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</si>
  <si>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</si>
  <si>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</si>
  <si>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</si>
  <si>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</si>
  <si>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</si>
  <si>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</si>
  <si>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</si>
  <si>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</si>
  <si>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</si>
  <si>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</si>
  <si>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</si>
  <si>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</si>
  <si>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</si>
  <si>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</si>
  <si>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</si>
  <si>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</si>
  <si>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</si>
  <si>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</si>
  <si>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</si>
  <si>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</si>
  <si>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</si>
  <si>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</si>
  <si>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</si>
  <si>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</si>
  <si>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</si>
  <si>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</si>
  <si>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</si>
  <si>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</si>
  <si>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</si>
  <si>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</si>
  <si>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</si>
  <si>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</si>
  <si>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</si>
  <si>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</si>
  <si>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</si>
  <si>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</si>
  <si>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</si>
  <si>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</si>
  <si>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</si>
  <si>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</si>
  <si>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</si>
  <si>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</si>
  <si>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</si>
  <si>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</si>
  <si>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</si>
  <si>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</si>
  <si>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</si>
  <si>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</si>
  <si>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</si>
  <si>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</si>
  <si>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</si>
  <si>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</si>
  <si>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</si>
  <si>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</si>
  <si>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</si>
  <si>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</si>
  <si>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</si>
  <si>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</si>
  <si>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</si>
  <si>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</si>
  <si>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</si>
  <si>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</si>
  <si>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</si>
  <si>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</si>
  <si>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</si>
  <si>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</si>
  <si>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</si>
  <si>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</si>
  <si>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</si>
  <si>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</si>
  <si>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</si>
  <si>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</si>
  <si>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</si>
  <si>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</si>
  <si>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</si>
  <si>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</si>
  <si>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</si>
  <si>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</si>
  <si>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</si>
  <si>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</si>
  <si>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</si>
  <si>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</si>
  <si>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</si>
  <si>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</si>
  <si>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</si>
  <si>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</si>
  <si>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</si>
  <si>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</si>
  <si>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</si>
  <si>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</si>
  <si>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</si>
  <si>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</si>
  <si>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</si>
  <si>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</si>
  <si>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</si>
  <si>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</si>
  <si>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</si>
  <si>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</si>
  <si>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</si>
  <si>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</si>
  <si>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</si>
  <si>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</si>
  <si>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</si>
  <si>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</si>
  <si>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</si>
  <si>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</si>
  <si>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</si>
  <si>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</si>
  <si>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</si>
  <si>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</si>
  <si>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</si>
  <si>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</si>
  <si>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</si>
  <si>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</si>
  <si>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</si>
  <si>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</si>
  <si>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</si>
  <si>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</si>
  <si>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</si>
  <si>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</si>
  <si>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</si>
  <si>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</si>
  <si>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</si>
  <si>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</si>
  <si>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</si>
  <si>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</si>
  <si>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</si>
  <si>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</si>
  <si>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</si>
  <si>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</si>
  <si>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</si>
  <si>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</si>
  <si>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</si>
  <si>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</si>
  <si>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</si>
  <si>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</si>
  <si>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</si>
  <si>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</si>
  <si>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</si>
  <si>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</si>
  <si>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</si>
  <si>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</si>
  <si>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</si>
  <si>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</si>
  <si>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</si>
  <si>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</si>
  <si>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</si>
  <si>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</si>
  <si>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</si>
  <si>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</si>
  <si>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</si>
  <si>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</si>
  <si>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</si>
  <si>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</si>
  <si>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</si>
  <si>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</si>
  <si>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</si>
  <si>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</si>
  <si>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</si>
  <si>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</si>
  <si>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</si>
  <si>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</si>
  <si>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</si>
  <si>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</si>
  <si>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</si>
  <si>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</si>
  <si>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</si>
  <si>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</si>
  <si>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</si>
  <si>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</si>
  <si>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</si>
  <si>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</si>
  <si>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</si>
  <si>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</si>
  <si>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</si>
  <si>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</si>
  <si>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</si>
  <si>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</si>
  <si>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</si>
  <si>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</si>
  <si>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</si>
  <si>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</si>
  <si>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</si>
  <si>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</si>
  <si>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</si>
  <si>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</si>
  <si>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</si>
  <si>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</si>
  <si>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</si>
  <si>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</si>
  <si>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</si>
  <si>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</si>
  <si>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</si>
  <si>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</si>
  <si>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</si>
  <si>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</si>
  <si>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</si>
  <si>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</si>
  <si>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</si>
  <si>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</si>
  <si>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</si>
  <si>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</si>
  <si>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</si>
  <si>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</si>
  <si>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</si>
  <si>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</si>
  <si>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</si>
  <si>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</si>
  <si>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</si>
  <si>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</si>
  <si>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</si>
  <si>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</si>
  <si>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</si>
  <si>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</si>
  <si>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</si>
  <si>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</si>
  <si>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</si>
  <si>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</si>
  <si>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</si>
  <si>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</si>
  <si>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</si>
  <si>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</si>
  <si>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</si>
  <si>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</si>
  <si>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</si>
  <si>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</si>
  <si>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</si>
  <si>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</si>
  <si>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</si>
  <si>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</si>
  <si>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</si>
  <si>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</si>
  <si>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</si>
  <si>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</si>
  <si>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</si>
  <si>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</si>
  <si>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</si>
  <si>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</si>
  <si>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</si>
  <si>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</si>
  <si>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</si>
  <si>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</si>
  <si>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</si>
  <si>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</si>
  <si>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</si>
  <si>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</si>
  <si>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</si>
  <si>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</si>
  <si>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</si>
  <si>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</si>
  <si>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</si>
  <si>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</si>
  <si>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</si>
  <si>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</si>
  <si>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</si>
  <si>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</si>
  <si>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</si>
  <si>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</si>
  <si>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</si>
  <si>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</si>
  <si>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</si>
  <si>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</si>
  <si>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</si>
  <si>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</si>
  <si>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</si>
  <si>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</si>
  <si>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</si>
  <si>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</si>
  <si>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</si>
  <si>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</si>
  <si>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</si>
  <si>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</si>
  <si>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</si>
  <si>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</si>
  <si>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</si>
  <si>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</si>
  <si>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</si>
  <si>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</si>
  <si>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</si>
  <si>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</si>
  <si>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</si>
  <si>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</si>
  <si>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</si>
  <si>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</si>
  <si>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</si>
  <si>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</si>
  <si>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</si>
  <si>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</si>
  <si>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</si>
  <si>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</si>
  <si>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</si>
  <si>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</si>
  <si>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</si>
  <si>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</si>
  <si>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</si>
  <si>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</si>
  <si>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</si>
  <si>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</si>
  <si>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</si>
  <si>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</si>
  <si>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</si>
  <si>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</si>
  <si>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</si>
  <si>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</si>
  <si>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</si>
  <si>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</si>
  <si>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</si>
  <si>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</si>
  <si>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</si>
  <si>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</si>
  <si>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</si>
  <si>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</si>
  <si>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</si>
  <si>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</si>
  <si>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</si>
  <si>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</si>
  <si>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</si>
  <si>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</si>
  <si>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</si>
  <si>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</si>
  <si>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</si>
  <si>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</si>
  <si>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</si>
  <si>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</si>
  <si>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</si>
  <si>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</si>
  <si>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</si>
  <si>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</si>
  <si>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</si>
  <si>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</si>
  <si>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</si>
  <si>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</si>
  <si>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</si>
  <si>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</si>
  <si>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</si>
  <si>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</si>
  <si>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</si>
  <si>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</si>
  <si>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</si>
  <si>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</si>
  <si>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</si>
  <si>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</si>
  <si>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</si>
  <si>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</si>
  <si>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</si>
  <si>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</si>
  <si>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</si>
  <si>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</si>
  <si>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</si>
  <si>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</si>
  <si>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</si>
  <si>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</si>
  <si>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</si>
  <si>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</si>
  <si>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</si>
  <si>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</si>
  <si>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</si>
  <si>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</si>
  <si>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</si>
  <si>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</si>
  <si>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</si>
  <si>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</si>
  <si>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</si>
  <si>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</si>
  <si>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</si>
  <si>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</si>
  <si>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</si>
  <si>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</si>
  <si>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</si>
  <si>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</si>
  <si>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</si>
  <si>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</si>
  <si>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</si>
  <si>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</si>
  <si>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</si>
  <si>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</si>
  <si>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</si>
  <si>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</si>
  <si>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</si>
  <si>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</si>
  <si>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</si>
  <si>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</si>
  <si>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</si>
  <si>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</si>
  <si>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</si>
  <si>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</si>
  <si>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</si>
  <si>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</si>
  <si>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</si>
  <si>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</si>
  <si>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</si>
  <si>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</si>
  <si>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</si>
  <si>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</si>
  <si>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</si>
  <si>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</si>
  <si>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</si>
  <si>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</si>
  <si>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</si>
  <si>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</si>
  <si>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</si>
  <si>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</si>
  <si>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</si>
  <si>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</si>
  <si>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</si>
  <si>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</si>
  <si>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</si>
  <si>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</si>
  <si>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</si>
  <si>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</si>
  <si>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</si>
  <si>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</si>
  <si>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</si>
  <si>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</si>
  <si>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</si>
  <si>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</si>
  <si>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</si>
  <si>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</si>
  <si>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</si>
  <si>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</si>
  <si>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</si>
  <si>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</si>
  <si>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</si>
  <si>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</si>
  <si>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</si>
  <si>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</si>
  <si>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</si>
  <si>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</si>
  <si>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</si>
  <si>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</si>
  <si>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</si>
  <si>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</si>
  <si>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</si>
  <si>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</si>
  <si>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</si>
  <si>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</si>
  <si>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</si>
  <si>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</si>
  <si>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</si>
  <si>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</si>
  <si>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</si>
  <si>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</si>
  <si>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</si>
  <si>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</si>
  <si>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</si>
  <si>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</si>
  <si>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</si>
  <si>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</si>
  <si>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</si>
  <si>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</si>
  <si>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</si>
  <si>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</si>
  <si>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</si>
  <si>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</si>
  <si>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</si>
  <si>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</si>
  <si>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</si>
  <si>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</si>
  <si>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</si>
  <si>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</si>
  <si>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</si>
  <si>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</si>
  <si>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</si>
  <si>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</si>
  <si>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</si>
  <si>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</si>
  <si>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</si>
  <si>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</si>
  <si>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</si>
  <si>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</si>
  <si>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</si>
  <si>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</si>
  <si>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</si>
  <si>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</si>
  <si>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</si>
  <si>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</si>
  <si>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</si>
  <si>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</si>
  <si>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</si>
  <si>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</si>
  <si>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</si>
  <si>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</si>
  <si>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</si>
  <si>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</si>
  <si>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38014</t>
  </si>
  <si>
    <t>KOKSIJDE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</si>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</sst>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42EB7B82-17FD-4ECE-B478-F49A245458C7}"/>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38014</v>
      </c>
      <c r="B6" s="384"/>
      <c r="C6" s="385"/>
    </row>
    <row r="7" spans="1:7" s="382" customFormat="1" ht="15.75" customHeight="1">
      <c r="A7" s="386" t="str">
        <f>txtMunicipality</f>
        <v>KOKSIJDE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0.21630001068743057</v>
      </c>
      <c r="C17" s="496">
        <f ca="1">'EF ele_warmte'!B22</f>
        <v>0.23764705882352949</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0.21630001068743057</v>
      </c>
      <c r="C29" s="497">
        <f ca="1">'EF ele_warmte'!B22</f>
        <v>0.23764705882352949</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10978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2208</v>
      </c>
      <c r="C14" s="327"/>
      <c r="D14" s="327"/>
      <c r="E14" s="327"/>
      <c r="F14" s="327"/>
    </row>
    <row r="15" spans="1:6">
      <c r="A15" s="1258" t="s">
        <v>177</v>
      </c>
      <c r="B15" s="1259">
        <v>6</v>
      </c>
      <c r="C15" s="327"/>
      <c r="D15" s="327"/>
      <c r="E15" s="327"/>
      <c r="F15" s="327"/>
    </row>
    <row r="16" spans="1:6">
      <c r="A16" s="1258" t="s">
        <v>6</v>
      </c>
      <c r="B16" s="1259">
        <v>229</v>
      </c>
      <c r="C16" s="327"/>
      <c r="D16" s="327"/>
      <c r="E16" s="327"/>
      <c r="F16" s="327"/>
    </row>
    <row r="17" spans="1:6">
      <c r="A17" s="1258" t="s">
        <v>7</v>
      </c>
      <c r="B17" s="1259">
        <v>167</v>
      </c>
      <c r="C17" s="327"/>
      <c r="D17" s="327"/>
      <c r="E17" s="327"/>
      <c r="F17" s="327"/>
    </row>
    <row r="18" spans="1:6">
      <c r="A18" s="1258" t="s">
        <v>8</v>
      </c>
      <c r="B18" s="1259">
        <v>254</v>
      </c>
      <c r="C18" s="327"/>
      <c r="D18" s="327"/>
      <c r="E18" s="327"/>
      <c r="F18" s="327"/>
    </row>
    <row r="19" spans="1:6">
      <c r="A19" s="1258" t="s">
        <v>9</v>
      </c>
      <c r="B19" s="1259">
        <v>240</v>
      </c>
      <c r="C19" s="327"/>
      <c r="D19" s="327"/>
      <c r="E19" s="327"/>
      <c r="F19" s="327"/>
    </row>
    <row r="20" spans="1:6">
      <c r="A20" s="1258" t="s">
        <v>10</v>
      </c>
      <c r="B20" s="1259">
        <v>471</v>
      </c>
      <c r="C20" s="327"/>
      <c r="D20" s="327"/>
      <c r="E20" s="327"/>
      <c r="F20" s="327"/>
    </row>
    <row r="21" spans="1:6">
      <c r="A21" s="1258" t="s">
        <v>11</v>
      </c>
      <c r="B21" s="1259">
        <v>4341</v>
      </c>
      <c r="C21" s="327"/>
      <c r="D21" s="327"/>
      <c r="E21" s="327"/>
      <c r="F21" s="327"/>
    </row>
    <row r="22" spans="1:6">
      <c r="A22" s="1258" t="s">
        <v>12</v>
      </c>
      <c r="B22" s="1259">
        <v>7595</v>
      </c>
      <c r="C22" s="327"/>
      <c r="D22" s="327"/>
      <c r="E22" s="327"/>
      <c r="F22" s="327"/>
    </row>
    <row r="23" spans="1:6">
      <c r="A23" s="1258" t="s">
        <v>13</v>
      </c>
      <c r="B23" s="1259">
        <v>186</v>
      </c>
      <c r="C23" s="327"/>
      <c r="D23" s="327"/>
      <c r="E23" s="327"/>
      <c r="F23" s="327"/>
    </row>
    <row r="24" spans="1:6">
      <c r="A24" s="1258" t="s">
        <v>14</v>
      </c>
      <c r="B24" s="1259">
        <v>77</v>
      </c>
      <c r="C24" s="327"/>
      <c r="D24" s="327"/>
      <c r="E24" s="327"/>
      <c r="F24" s="327"/>
    </row>
    <row r="25" spans="1:6">
      <c r="A25" s="1258" t="s">
        <v>15</v>
      </c>
      <c r="B25" s="1259">
        <v>1017</v>
      </c>
      <c r="C25" s="327"/>
      <c r="D25" s="327"/>
      <c r="E25" s="327"/>
      <c r="F25" s="327"/>
    </row>
    <row r="26" spans="1:6">
      <c r="A26" s="1258" t="s">
        <v>16</v>
      </c>
      <c r="B26" s="1259">
        <v>70</v>
      </c>
      <c r="C26" s="327"/>
      <c r="D26" s="327"/>
      <c r="E26" s="327"/>
      <c r="F26" s="327"/>
    </row>
    <row r="27" spans="1:6">
      <c r="A27" s="1258" t="s">
        <v>17</v>
      </c>
      <c r="B27" s="1259">
        <v>0</v>
      </c>
      <c r="C27" s="327"/>
      <c r="D27" s="327"/>
      <c r="E27" s="327"/>
      <c r="F27" s="327"/>
    </row>
    <row r="28" spans="1:6">
      <c r="A28" s="1258" t="s">
        <v>18</v>
      </c>
      <c r="B28" s="1260">
        <v>193694</v>
      </c>
      <c r="C28" s="327"/>
      <c r="D28" s="327"/>
      <c r="E28" s="327"/>
      <c r="F28" s="327"/>
    </row>
    <row r="29" spans="1:6">
      <c r="A29" s="1258" t="s">
        <v>939</v>
      </c>
      <c r="B29" s="1260">
        <v>228</v>
      </c>
      <c r="C29" s="327"/>
      <c r="D29" s="327"/>
      <c r="E29" s="327"/>
      <c r="F29" s="327"/>
    </row>
    <row r="30" spans="1:6">
      <c r="A30" s="1253" t="s">
        <v>940</v>
      </c>
      <c r="B30" s="1261">
        <v>51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7</v>
      </c>
      <c r="D36" s="1259">
        <v>1431960.32460343</v>
      </c>
      <c r="E36" s="1259">
        <v>3</v>
      </c>
      <c r="F36" s="1259">
        <v>9133.5543285071999</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5987.9736672195004</v>
      </c>
    </row>
    <row r="39" spans="1:6">
      <c r="A39" s="1258" t="s">
        <v>29</v>
      </c>
      <c r="B39" s="1258" t="s">
        <v>30</v>
      </c>
      <c r="C39" s="1259">
        <v>13004</v>
      </c>
      <c r="D39" s="1259">
        <v>154248039.418055</v>
      </c>
      <c r="E39" s="1259">
        <v>24571</v>
      </c>
      <c r="F39" s="1259">
        <v>59564163.187227704</v>
      </c>
    </row>
    <row r="40" spans="1:6">
      <c r="A40" s="1258" t="s">
        <v>29</v>
      </c>
      <c r="B40" s="1258" t="s">
        <v>28</v>
      </c>
      <c r="C40" s="1259">
        <v>0</v>
      </c>
      <c r="D40" s="1259">
        <v>0</v>
      </c>
      <c r="E40" s="1259">
        <v>0</v>
      </c>
      <c r="F40" s="1259">
        <v>0</v>
      </c>
    </row>
    <row r="41" spans="1:6">
      <c r="A41" s="1258" t="s">
        <v>31</v>
      </c>
      <c r="B41" s="1258" t="s">
        <v>32</v>
      </c>
      <c r="C41" s="1259">
        <v>123</v>
      </c>
      <c r="D41" s="1259">
        <v>2588301.1631785198</v>
      </c>
      <c r="E41" s="1259">
        <v>275</v>
      </c>
      <c r="F41" s="1259">
        <v>1933967.5096915399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13</v>
      </c>
      <c r="F44" s="1259">
        <v>126906.681812333</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6</v>
      </c>
      <c r="D47" s="1259">
        <v>112208.041959002</v>
      </c>
      <c r="E47" s="1259">
        <v>6</v>
      </c>
      <c r="F47" s="1259">
        <v>13059.7221423633</v>
      </c>
    </row>
    <row r="48" spans="1:6">
      <c r="A48" s="1258" t="s">
        <v>31</v>
      </c>
      <c r="B48" s="1258" t="s">
        <v>28</v>
      </c>
      <c r="C48" s="1259">
        <v>31</v>
      </c>
      <c r="D48" s="1259">
        <v>645910.25376771705</v>
      </c>
      <c r="E48" s="1259">
        <v>45</v>
      </c>
      <c r="F48" s="1259">
        <v>213998.16538510699</v>
      </c>
    </row>
    <row r="49" spans="1:6">
      <c r="A49" s="1258" t="s">
        <v>31</v>
      </c>
      <c r="B49" s="1258" t="s">
        <v>39</v>
      </c>
      <c r="C49" s="1259">
        <v>0</v>
      </c>
      <c r="D49" s="1259">
        <v>0</v>
      </c>
      <c r="E49" s="1259">
        <v>3</v>
      </c>
      <c r="F49" s="1259">
        <v>5465.1537563878001</v>
      </c>
    </row>
    <row r="50" spans="1:6">
      <c r="A50" s="1258" t="s">
        <v>31</v>
      </c>
      <c r="B50" s="1258" t="s">
        <v>40</v>
      </c>
      <c r="C50" s="1259">
        <v>22</v>
      </c>
      <c r="D50" s="1259">
        <v>1490081.12043583</v>
      </c>
      <c r="E50" s="1259">
        <v>32</v>
      </c>
      <c r="F50" s="1259">
        <v>1033107.129424</v>
      </c>
    </row>
    <row r="51" spans="1:6">
      <c r="A51" s="1258" t="s">
        <v>41</v>
      </c>
      <c r="B51" s="1258" t="s">
        <v>42</v>
      </c>
      <c r="C51" s="1259">
        <v>8</v>
      </c>
      <c r="D51" s="1259">
        <v>48265.393951042803</v>
      </c>
      <c r="E51" s="1259">
        <v>60</v>
      </c>
      <c r="F51" s="1259">
        <v>1010697.80110634</v>
      </c>
    </row>
    <row r="52" spans="1:6">
      <c r="A52" s="1258" t="s">
        <v>41</v>
      </c>
      <c r="B52" s="1258" t="s">
        <v>28</v>
      </c>
      <c r="C52" s="1259">
        <v>6</v>
      </c>
      <c r="D52" s="1259">
        <v>195191.17968815</v>
      </c>
      <c r="E52" s="1259">
        <v>10</v>
      </c>
      <c r="F52" s="1259">
        <v>161171.94840198601</v>
      </c>
    </row>
    <row r="53" spans="1:6">
      <c r="A53" s="1258" t="s">
        <v>43</v>
      </c>
      <c r="B53" s="1258" t="s">
        <v>44</v>
      </c>
      <c r="C53" s="1259">
        <v>360</v>
      </c>
      <c r="D53" s="1259">
        <v>7334395.9086031504</v>
      </c>
      <c r="E53" s="1259">
        <v>1174</v>
      </c>
      <c r="F53" s="1259">
        <v>6014023.8881620904</v>
      </c>
    </row>
    <row r="54" spans="1:6">
      <c r="A54" s="1258" t="s">
        <v>45</v>
      </c>
      <c r="B54" s="1258" t="s">
        <v>46</v>
      </c>
      <c r="C54" s="1259">
        <v>0</v>
      </c>
      <c r="D54" s="1259">
        <v>0</v>
      </c>
      <c r="E54" s="1259">
        <v>1</v>
      </c>
      <c r="F54" s="1259">
        <v>3303753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58</v>
      </c>
      <c r="D57" s="1259">
        <v>2288314.4268257902</v>
      </c>
      <c r="E57" s="1259">
        <v>168</v>
      </c>
      <c r="F57" s="1259">
        <v>7623614.1184501899</v>
      </c>
    </row>
    <row r="58" spans="1:6">
      <c r="A58" s="1258" t="s">
        <v>48</v>
      </c>
      <c r="B58" s="1258" t="s">
        <v>50</v>
      </c>
      <c r="C58" s="1259">
        <v>67</v>
      </c>
      <c r="D58" s="1259">
        <v>1794666.31905353</v>
      </c>
      <c r="E58" s="1259">
        <v>127</v>
      </c>
      <c r="F58" s="1259">
        <v>833718.34324639896</v>
      </c>
    </row>
    <row r="59" spans="1:6">
      <c r="A59" s="1258" t="s">
        <v>48</v>
      </c>
      <c r="B59" s="1258" t="s">
        <v>51</v>
      </c>
      <c r="C59" s="1259">
        <v>269</v>
      </c>
      <c r="D59" s="1259">
        <v>6433301.5433237301</v>
      </c>
      <c r="E59" s="1259">
        <v>517</v>
      </c>
      <c r="F59" s="1259">
        <v>11006739.589795699</v>
      </c>
    </row>
    <row r="60" spans="1:6">
      <c r="A60" s="1258" t="s">
        <v>48</v>
      </c>
      <c r="B60" s="1258" t="s">
        <v>52</v>
      </c>
      <c r="C60" s="1259">
        <v>614</v>
      </c>
      <c r="D60" s="1259">
        <v>27013332.027411401</v>
      </c>
      <c r="E60" s="1259">
        <v>593</v>
      </c>
      <c r="F60" s="1259">
        <v>13108111.078735899</v>
      </c>
    </row>
    <row r="61" spans="1:6">
      <c r="A61" s="1258" t="s">
        <v>48</v>
      </c>
      <c r="B61" s="1258" t="s">
        <v>53</v>
      </c>
      <c r="C61" s="1259">
        <v>784</v>
      </c>
      <c r="D61" s="1259">
        <v>29349542.777249001</v>
      </c>
      <c r="E61" s="1259">
        <v>2821</v>
      </c>
      <c r="F61" s="1259">
        <v>15608378.998916101</v>
      </c>
    </row>
    <row r="62" spans="1:6">
      <c r="A62" s="1258" t="s">
        <v>48</v>
      </c>
      <c r="B62" s="1258" t="s">
        <v>54</v>
      </c>
      <c r="C62" s="1259">
        <v>9</v>
      </c>
      <c r="D62" s="1259">
        <v>2708906.3580883099</v>
      </c>
      <c r="E62" s="1259">
        <v>16</v>
      </c>
      <c r="F62" s="1259">
        <v>426320.24683710502</v>
      </c>
    </row>
    <row r="63" spans="1:6">
      <c r="A63" s="1258" t="s">
        <v>48</v>
      </c>
      <c r="B63" s="1258" t="s">
        <v>28</v>
      </c>
      <c r="C63" s="1259">
        <v>103</v>
      </c>
      <c r="D63" s="1259">
        <v>9463822.4876741096</v>
      </c>
      <c r="E63" s="1259">
        <v>104</v>
      </c>
      <c r="F63" s="1259">
        <v>2861044.6983989002</v>
      </c>
    </row>
    <row r="64" spans="1:6">
      <c r="A64" s="1258" t="s">
        <v>55</v>
      </c>
      <c r="B64" s="1258" t="s">
        <v>56</v>
      </c>
      <c r="C64" s="1259">
        <v>0</v>
      </c>
      <c r="D64" s="1259">
        <v>0</v>
      </c>
      <c r="E64" s="1259">
        <v>0</v>
      </c>
      <c r="F64" s="1259">
        <v>0</v>
      </c>
    </row>
    <row r="65" spans="1:6">
      <c r="A65" s="1258" t="s">
        <v>55</v>
      </c>
      <c r="B65" s="1258" t="s">
        <v>28</v>
      </c>
      <c r="C65" s="1259">
        <v>2</v>
      </c>
      <c r="D65" s="1259">
        <v>88858.667539655595</v>
      </c>
      <c r="E65" s="1259">
        <v>2</v>
      </c>
      <c r="F65" s="1259">
        <v>28831.0119302024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8</v>
      </c>
      <c r="D68" s="1261">
        <v>119159.828408246</v>
      </c>
      <c r="E68" s="1261">
        <v>23</v>
      </c>
      <c r="F68" s="1261">
        <v>681215.26643245202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79862698</v>
      </c>
      <c r="E73" s="445"/>
      <c r="F73" s="327"/>
    </row>
    <row r="74" spans="1:6">
      <c r="A74" s="1258" t="s">
        <v>63</v>
      </c>
      <c r="B74" s="1258" t="s">
        <v>724</v>
      </c>
      <c r="C74" s="1271" t="s">
        <v>718</v>
      </c>
      <c r="D74" s="1259">
        <v>9105546.1014461014</v>
      </c>
      <c r="E74" s="445"/>
      <c r="F74" s="327"/>
    </row>
    <row r="75" spans="1:6">
      <c r="A75" s="1258" t="s">
        <v>64</v>
      </c>
      <c r="B75" s="1258" t="s">
        <v>723</v>
      </c>
      <c r="C75" s="1271" t="s">
        <v>719</v>
      </c>
      <c r="D75" s="1259">
        <v>6152830</v>
      </c>
      <c r="E75" s="445"/>
      <c r="F75" s="327"/>
    </row>
    <row r="76" spans="1:6">
      <c r="A76" s="1258" t="s">
        <v>64</v>
      </c>
      <c r="B76" s="1258" t="s">
        <v>724</v>
      </c>
      <c r="C76" s="1271" t="s">
        <v>720</v>
      </c>
      <c r="D76" s="1259">
        <v>85883.101446100889</v>
      </c>
      <c r="E76" s="445"/>
      <c r="F76" s="327"/>
    </row>
    <row r="77" spans="1:6">
      <c r="A77" s="1258" t="s">
        <v>65</v>
      </c>
      <c r="B77" s="1258" t="s">
        <v>723</v>
      </c>
      <c r="C77" s="1271" t="s">
        <v>721</v>
      </c>
      <c r="D77" s="1259">
        <v>12829168</v>
      </c>
      <c r="E77" s="445"/>
      <c r="F77" s="327"/>
    </row>
    <row r="78" spans="1:6">
      <c r="A78" s="1253" t="s">
        <v>65</v>
      </c>
      <c r="B78" s="1253" t="s">
        <v>724</v>
      </c>
      <c r="C78" s="1253" t="s">
        <v>722</v>
      </c>
      <c r="D78" s="1261">
        <v>4094208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372663.79710779822</v>
      </c>
      <c r="C83" s="445"/>
      <c r="D83" s="327"/>
      <c r="E83" s="327"/>
      <c r="F83" s="327"/>
    </row>
    <row r="84" spans="1:6">
      <c r="A84" s="1253" t="s">
        <v>324</v>
      </c>
      <c r="B84" s="1261">
        <v>380832.68280932558</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2260.0481217154697</v>
      </c>
      <c r="C91" s="327"/>
      <c r="D91" s="327"/>
      <c r="E91" s="327"/>
      <c r="F91" s="327"/>
    </row>
    <row r="92" spans="1:6">
      <c r="A92" s="1253" t="s">
        <v>68</v>
      </c>
      <c r="B92" s="1254">
        <v>472.12057363225438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5266</v>
      </c>
      <c r="C97" s="327"/>
      <c r="D97" s="327"/>
      <c r="E97" s="327"/>
      <c r="F97" s="327"/>
    </row>
    <row r="98" spans="1:6">
      <c r="A98" s="1258" t="s">
        <v>71</v>
      </c>
      <c r="B98" s="1259">
        <v>0</v>
      </c>
      <c r="C98" s="327"/>
      <c r="D98" s="327"/>
      <c r="E98" s="327"/>
      <c r="F98" s="327"/>
    </row>
    <row r="99" spans="1:6">
      <c r="A99" s="1258" t="s">
        <v>72</v>
      </c>
      <c r="B99" s="1259">
        <v>87</v>
      </c>
      <c r="C99" s="327"/>
      <c r="D99" s="327"/>
      <c r="E99" s="327"/>
      <c r="F99" s="327"/>
    </row>
    <row r="100" spans="1:6">
      <c r="A100" s="1258" t="s">
        <v>73</v>
      </c>
      <c r="B100" s="1259">
        <v>1499</v>
      </c>
      <c r="C100" s="327"/>
      <c r="D100" s="327"/>
      <c r="E100" s="327"/>
      <c r="F100" s="327"/>
    </row>
    <row r="101" spans="1:6">
      <c r="A101" s="1258" t="s">
        <v>74</v>
      </c>
      <c r="B101" s="1259">
        <v>72</v>
      </c>
      <c r="C101" s="327"/>
      <c r="D101" s="327"/>
      <c r="E101" s="327"/>
      <c r="F101" s="327"/>
    </row>
    <row r="102" spans="1:6">
      <c r="A102" s="1258" t="s">
        <v>75</v>
      </c>
      <c r="B102" s="1259">
        <v>190</v>
      </c>
      <c r="C102" s="327"/>
      <c r="D102" s="327"/>
      <c r="E102" s="327"/>
      <c r="F102" s="327"/>
    </row>
    <row r="103" spans="1:6">
      <c r="A103" s="1258" t="s">
        <v>76</v>
      </c>
      <c r="B103" s="1259">
        <v>69</v>
      </c>
      <c r="C103" s="327"/>
      <c r="D103" s="327"/>
      <c r="E103" s="327"/>
      <c r="F103" s="327"/>
    </row>
    <row r="104" spans="1:6">
      <c r="A104" s="1258" t="s">
        <v>77</v>
      </c>
      <c r="B104" s="1259">
        <v>1638</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10</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54</v>
      </c>
      <c r="C129" s="327"/>
      <c r="D129" s="327"/>
      <c r="E129" s="327"/>
      <c r="F129" s="327"/>
    </row>
    <row r="130" spans="1:6">
      <c r="A130" s="1258" t="s">
        <v>284</v>
      </c>
      <c r="B130" s="1259">
        <v>3</v>
      </c>
      <c r="C130" s="327"/>
      <c r="D130" s="327"/>
      <c r="E130" s="327"/>
      <c r="F130" s="327"/>
    </row>
    <row r="131" spans="1:6">
      <c r="A131" s="1258" t="s">
        <v>285</v>
      </c>
      <c r="B131" s="1259">
        <v>2</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128461.58577139095</v>
      </c>
      <c r="C3" s="44" t="s">
        <v>163</v>
      </c>
      <c r="D3" s="44"/>
      <c r="E3" s="157"/>
      <c r="F3" s="44"/>
      <c r="G3" s="44"/>
      <c r="H3" s="44"/>
      <c r="I3" s="44"/>
      <c r="J3" s="44"/>
      <c r="K3" s="97"/>
    </row>
    <row r="4" spans="1:11">
      <c r="A4" s="352" t="s">
        <v>164</v>
      </c>
      <c r="B4" s="50">
        <f>IF(ISERROR('SEAP template'!B78+'SEAP template'!C78),0,'SEAP template'!B78+'SEAP template'!C78)</f>
        <v>2734.6436953477241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0.58817647058823541</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0.21630001068743057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0.8402521008403363</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3.5357142857142851</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0.23764705882352949</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3303.7530000000002</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3303.7530000000002</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0.21630001068743057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714.60180920863081</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59564.163187227707</v>
      </c>
      <c r="C5" s="18">
        <f>IF(ISERROR('Eigen informatie GS &amp; warmtenet'!B57),0,'Eigen informatie GS &amp; warmtenet'!B57)</f>
        <v>0</v>
      </c>
      <c r="D5" s="31">
        <f>(SUM(HH_hh_gas_kWh,HH_rest_gas_kWh)/1000)*0.902</f>
        <v>139131.73155508563</v>
      </c>
      <c r="E5" s="18">
        <f>B32*B41</f>
        <v>0</v>
      </c>
      <c r="F5" s="18">
        <f>B36*B45</f>
        <v>0</v>
      </c>
      <c r="G5" s="19"/>
      <c r="H5" s="18"/>
      <c r="I5" s="18"/>
      <c r="J5" s="18">
        <f>B35*B44+C35*C44</f>
        <v>0</v>
      </c>
      <c r="K5" s="18"/>
      <c r="L5" s="18"/>
      <c r="M5" s="18"/>
      <c r="N5" s="18">
        <f>B34*B43+C34*C43</f>
        <v>13820.03836128255</v>
      </c>
      <c r="O5" s="18">
        <f>B52*B53*B54</f>
        <v>100.05333333333334</v>
      </c>
      <c r="P5" s="18">
        <f>B60*B61*B62/1000-B60*B61*B62/1000/B63</f>
        <v>171.6</v>
      </c>
    </row>
    <row r="6" spans="1:16">
      <c r="A6" s="17" t="s">
        <v>597</v>
      </c>
      <c r="B6" s="731">
        <f>kWh_PV_kleiner_dan_10kW</f>
        <v>2260.0481217154697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61824.211308943173</v>
      </c>
      <c r="C8" s="22">
        <f>C5</f>
        <v>0</v>
      </c>
      <c r="D8" s="22">
        <f>D5</f>
        <v>139131.73155508563</v>
      </c>
      <c r="E8" s="22">
        <f>E5</f>
        <v>0</v>
      </c>
      <c r="F8" s="22">
        <f>F5</f>
        <v>0</v>
      </c>
      <c r="G8" s="22"/>
      <c r="H8" s="22"/>
      <c r="I8" s="22"/>
      <c r="J8" s="22">
        <f>J5</f>
        <v>0</v>
      </c>
      <c r="K8" s="22"/>
      <c r="L8" s="22">
        <f>L5</f>
        <v>0</v>
      </c>
      <c r="M8" s="22">
        <f>M5</f>
        <v>0</v>
      </c>
      <c r="N8" s="22">
        <f>N5</f>
        <v>13820.03836128255</v>
      </c>
      <c r="O8" s="22">
        <f>O5</f>
        <v>100.05333333333334</v>
      </c>
      <c r="P8" s="22">
        <f>P5</f>
        <v>171.6</v>
      </c>
    </row>
    <row r="9" spans="1:16">
      <c r="B9" s="20"/>
      <c r="C9" s="20"/>
      <c r="D9" s="258"/>
      <c r="E9" s="20"/>
      <c r="F9" s="20"/>
      <c r="G9" s="20"/>
      <c r="H9" s="20"/>
      <c r="I9" s="20"/>
      <c r="J9" s="20"/>
      <c r="K9" s="20"/>
      <c r="L9" s="20"/>
      <c r="M9" s="20"/>
      <c r="N9" s="20"/>
      <c r="O9" s="20"/>
      <c r="P9" s="20"/>
    </row>
    <row r="10" spans="1:16">
      <c r="A10" s="25" t="s">
        <v>207</v>
      </c>
      <c r="B10" s="26">
        <f ca="1">'EF ele_warmte'!B12</f>
        <v>0.21630001068743057</v>
      </c>
      <c r="C10" s="26">
        <f ca="1">'EF ele_warmte'!B22</f>
        <v>0.23764705882352949</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13372.577566866374</v>
      </c>
      <c r="C12" s="24">
        <f ca="1">C10*C8</f>
        <v>0</v>
      </c>
      <c r="D12" s="24">
        <f>D8*D10</f>
        <v>28104.609774127301</v>
      </c>
      <c r="E12" s="24">
        <f>E10*E8</f>
        <v>0</v>
      </c>
      <c r="F12" s="24">
        <f>F10*F8</f>
        <v>0</v>
      </c>
      <c r="G12" s="24"/>
      <c r="H12" s="24"/>
      <c r="I12" s="24"/>
      <c r="J12" s="24">
        <f>J10*J8</f>
        <v>0</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10978</v>
      </c>
      <c r="C26" s="37"/>
      <c r="D26" s="228"/>
    </row>
    <row r="27" spans="1:5" s="16" customFormat="1">
      <c r="A27" s="230" t="s">
        <v>623</v>
      </c>
      <c r="B27" s="38">
        <f>SUM(HH_hh_gas_aantal,HH_rest_gas_aantal)</f>
        <v>13004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12353.8</v>
      </c>
      <c r="C31" s="35" t="s">
        <v>104</v>
      </c>
      <c r="D31" s="174"/>
    </row>
    <row r="32" spans="1:5">
      <c r="A32" s="171" t="s">
        <v>72</v>
      </c>
      <c r="B32" s="34">
        <f>IF((B21*($B$26-($B$27-0.05*$B$27)-$B$60))&lt;0,0,B21*($B$26-($B$27-0.05*$B$27)-$B$60))</f>
        <v>0</v>
      </c>
      <c r="C32" s="35" t="s">
        <v>104</v>
      </c>
      <c r="D32" s="174"/>
    </row>
    <row r="33" spans="1:6">
      <c r="A33" s="171" t="s">
        <v>73</v>
      </c>
      <c r="B33" s="34">
        <f>IF((B22*($B$26-($B$27-0.05*$B$27)-$B$60))&lt;0,0,B22*($B$26-($B$27-0.05*$B$27)-$B$60))</f>
        <v>0</v>
      </c>
      <c r="C33" s="35" t="s">
        <v>104</v>
      </c>
      <c r="D33" s="174"/>
    </row>
    <row r="34" spans="1:6">
      <c r="A34" s="171" t="s">
        <v>74</v>
      </c>
      <c r="B34" s="34">
        <f>IF((B24*($B$26-($B$27-0.05*$B$27)-$B$60))&lt;0,0,B24*($B$26-($B$27-0.05*$B$27)-$B$60))</f>
        <v>0</v>
      </c>
      <c r="C34" s="34">
        <f>B26*C24</f>
        <v>2245.0265531510754</v>
      </c>
      <c r="D34" s="233"/>
    </row>
    <row r="35" spans="1:6">
      <c r="A35" s="171" t="s">
        <v>76</v>
      </c>
      <c r="B35" s="34">
        <f>IF((B19*($B$26-($B$27-0.05*$B$27)-$B$60))&lt;0,0,B19*($B$26-($B$27-0.05*$B$27)-$B$60))</f>
        <v>0</v>
      </c>
      <c r="C35" s="34">
        <f>B35/2</f>
        <v>0</v>
      </c>
      <c r="D35" s="233"/>
    </row>
    <row r="36" spans="1:6">
      <c r="A36" s="171" t="s">
        <v>77</v>
      </c>
      <c r="B36" s="34">
        <f>IF((B18*($B$26-($B$27-0.05*$B$27)-$B$60))&lt;0,0,B18*($B$26-($B$27-0.05*$B$27)-$B$60))</f>
        <v>0</v>
      </c>
      <c r="C36" s="35" t="s">
        <v>104</v>
      </c>
      <c r="D36" s="174"/>
    </row>
    <row r="37" spans="1:6">
      <c r="A37" s="171" t="s">
        <v>78</v>
      </c>
      <c r="B37" s="34">
        <f>B60</f>
        <v>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51467.927074380292</v>
      </c>
      <c r="C5" s="18">
        <f>IF(ISERROR('Eigen informatie GS &amp; warmtenet'!B58),0,'Eigen informatie GS &amp; warmtenet'!B58)</f>
        <v>0</v>
      </c>
      <c r="D5" s="31">
        <f>SUM(D6:D12)</f>
        <v>71304.801117542534</v>
      </c>
      <c r="E5" s="18">
        <f>SUM(E6:E12)</f>
        <v>849.38606839610497</v>
      </c>
      <c r="F5" s="18">
        <f>SUM(F6:F12)</f>
        <v>10152.910255973322</v>
      </c>
      <c r="G5" s="19"/>
      <c r="H5" s="18"/>
      <c r="I5" s="18"/>
      <c r="J5" s="18">
        <f>SUM(J6:J12)</f>
        <v>0</v>
      </c>
      <c r="K5" s="18"/>
      <c r="L5" s="18"/>
      <c r="M5" s="18"/>
      <c r="N5" s="18">
        <f>SUM(N6:N12)</f>
        <v>3963.2002361130249</v>
      </c>
      <c r="O5" s="18">
        <f>B38*B39*B40</f>
        <v>4.6900000000000004</v>
      </c>
      <c r="P5" s="18">
        <f>B46*B47*B48/1000-B46*B47*B48/1000/B49</f>
        <v>38.133333333333333</v>
      </c>
      <c r="R5" s="33"/>
    </row>
    <row r="6" spans="1:18">
      <c r="A6" s="33" t="s">
        <v>53</v>
      </c>
      <c r="B6" s="38">
        <f>B26</f>
        <v>15608.378998916101</v>
      </c>
      <c r="C6" s="34"/>
      <c r="D6" s="38">
        <f>IF(ISERROR(TER_kantoor_gas_kWh/1000),0,TER_kantoor_gas_kWh/1000)*0.902</f>
        <v>26473.2875850786</v>
      </c>
      <c r="E6" s="34">
        <f>$C$26*'E Balans VL '!I12/100/3.6*1000000</f>
        <v>25.496756456583835</v>
      </c>
      <c r="F6" s="34">
        <f>$C$26*('E Balans VL '!L12+'E Balans VL '!N12)/100/3.6*1000000</f>
        <v>1833.7040432933668</v>
      </c>
      <c r="G6" s="35"/>
      <c r="H6" s="34"/>
      <c r="I6" s="34"/>
      <c r="J6" s="34">
        <f>$C$26*('E Balans VL '!D12+'E Balans VL '!E12)/100/3.6*1000000</f>
        <v>0</v>
      </c>
      <c r="K6" s="34"/>
      <c r="L6" s="34"/>
      <c r="M6" s="34"/>
      <c r="N6" s="34">
        <f>$C$26*'E Balans VL '!Y12/100/3.6*1000000</f>
        <v>113.64896237069301</v>
      </c>
      <c r="O6" s="34"/>
      <c r="P6" s="34"/>
      <c r="R6" s="33"/>
    </row>
    <row r="7" spans="1:18">
      <c r="A7" s="33" t="s">
        <v>52</v>
      </c>
      <c r="B7" s="38">
        <f t="shared" ref="B7:B12" si="0">B27</f>
        <v>13108.111078735899</v>
      </c>
      <c r="C7" s="34"/>
      <c r="D7" s="38">
        <f>IF(ISERROR(TER_horeca_gas_kWh/1000),0,TER_horeca_gas_kWh/1000)*0.902</f>
        <v>24366.025488725085</v>
      </c>
      <c r="E7" s="34">
        <f>$C$27*'E Balans VL '!I9/100/3.6*1000000</f>
        <v>678.17364063019522</v>
      </c>
      <c r="F7" s="34">
        <f>$C$27*('E Balans VL '!L9+'E Balans VL '!N9)/100/3.6*1000000</f>
        <v>2982.2985982948576</v>
      </c>
      <c r="G7" s="35"/>
      <c r="H7" s="34"/>
      <c r="I7" s="34"/>
      <c r="J7" s="34">
        <f>$C$27*('E Balans VL '!D9+'E Balans VL '!E9)/100/3.6*1000000</f>
        <v>0</v>
      </c>
      <c r="K7" s="34"/>
      <c r="L7" s="34"/>
      <c r="M7" s="34"/>
      <c r="N7" s="34">
        <f>$C$27*'E Balans VL '!Y9/100/3.6*1000000</f>
        <v>1.3800549912573938</v>
      </c>
      <c r="O7" s="34"/>
      <c r="P7" s="34"/>
      <c r="R7" s="33"/>
    </row>
    <row r="8" spans="1:18">
      <c r="A8" s="6" t="s">
        <v>51</v>
      </c>
      <c r="B8" s="38">
        <f t="shared" si="0"/>
        <v>11006.739589795699</v>
      </c>
      <c r="C8" s="34"/>
      <c r="D8" s="38">
        <f>IF(ISERROR(TER_handel_gas_kWh/1000),0,TER_handel_gas_kWh/1000)*0.902</f>
        <v>5802.8379920780044</v>
      </c>
      <c r="E8" s="34">
        <f>$C$28*'E Balans VL '!I13/100/3.6*1000000</f>
        <v>57.815607461915242</v>
      </c>
      <c r="F8" s="34">
        <f>$C$28*('E Balans VL '!L13+'E Balans VL '!N13)/100/3.6*1000000</f>
        <v>2075.1390325946813</v>
      </c>
      <c r="G8" s="35"/>
      <c r="H8" s="34"/>
      <c r="I8" s="34"/>
      <c r="J8" s="34">
        <f>$C$28*('E Balans VL '!D13+'E Balans VL '!E13)/100/3.6*1000000</f>
        <v>0</v>
      </c>
      <c r="K8" s="34"/>
      <c r="L8" s="34"/>
      <c r="M8" s="34"/>
      <c r="N8" s="34">
        <f>$C$28*'E Balans VL '!Y13/100/3.6*1000000</f>
        <v>54.566396711633551</v>
      </c>
      <c r="O8" s="34"/>
      <c r="P8" s="34"/>
      <c r="R8" s="33"/>
    </row>
    <row r="9" spans="1:18">
      <c r="A9" s="33" t="s">
        <v>50</v>
      </c>
      <c r="B9" s="38">
        <f t="shared" si="0"/>
        <v>833.71834324639894</v>
      </c>
      <c r="C9" s="34"/>
      <c r="D9" s="38">
        <f>IF(ISERROR(TER_gezond_gas_kWh/1000),0,TER_gezond_gas_kWh/1000)*0.902</f>
        <v>1618.7890197862841</v>
      </c>
      <c r="E9" s="34">
        <f>$C$29*'E Balans VL '!I10/100/3.6*1000000</f>
        <v>0.74012803277102479</v>
      </c>
      <c r="F9" s="34">
        <f>$C$29*('E Balans VL '!L10+'E Balans VL '!N10)/100/3.6*1000000</f>
        <v>259.13233820251048</v>
      </c>
      <c r="G9" s="35"/>
      <c r="H9" s="34"/>
      <c r="I9" s="34"/>
      <c r="J9" s="34">
        <f>$C$29*('E Balans VL '!D10+'E Balans VL '!E10)/100/3.6*1000000</f>
        <v>0</v>
      </c>
      <c r="K9" s="34"/>
      <c r="L9" s="34"/>
      <c r="M9" s="34"/>
      <c r="N9" s="34">
        <f>$C$29*'E Balans VL '!Y10/100/3.6*1000000</f>
        <v>6.4354651438921318</v>
      </c>
      <c r="O9" s="34"/>
      <c r="P9" s="34"/>
      <c r="R9" s="33"/>
    </row>
    <row r="10" spans="1:18">
      <c r="A10" s="33" t="s">
        <v>49</v>
      </c>
      <c r="B10" s="38">
        <f t="shared" si="0"/>
        <v>7623.6141184501903</v>
      </c>
      <c r="C10" s="34"/>
      <c r="D10" s="38">
        <f>IF(ISERROR(TER_ander_gas_kWh/1000),0,TER_ander_gas_kWh/1000)*0.902</f>
        <v>2064.0596129968626</v>
      </c>
      <c r="E10" s="34">
        <f>$C$30*'E Balans VL '!I14/100/3.6*1000000</f>
        <v>62.181512211971004</v>
      </c>
      <c r="F10" s="34">
        <f>$C$30*('E Balans VL '!L14+'E Balans VL '!N14)/100/3.6*1000000</f>
        <v>2222.1419745345843</v>
      </c>
      <c r="G10" s="35"/>
      <c r="H10" s="34"/>
      <c r="I10" s="34"/>
      <c r="J10" s="34">
        <f>$C$30*('E Balans VL '!D14+'E Balans VL '!E14)/100/3.6*1000000</f>
        <v>0</v>
      </c>
      <c r="K10" s="34"/>
      <c r="L10" s="34"/>
      <c r="M10" s="34"/>
      <c r="N10" s="34">
        <f>$C$30*'E Balans VL '!Y14/100/3.6*1000000</f>
        <v>3620.8768728069431</v>
      </c>
      <c r="O10" s="34"/>
      <c r="P10" s="34"/>
      <c r="R10" s="33"/>
    </row>
    <row r="11" spans="1:18">
      <c r="A11" s="33" t="s">
        <v>54</v>
      </c>
      <c r="B11" s="38">
        <f t="shared" si="0"/>
        <v>426.320246837105</v>
      </c>
      <c r="C11" s="34"/>
      <c r="D11" s="38">
        <f>IF(ISERROR(TER_onderwijs_gas_kWh/1000),0,TER_onderwijs_gas_kWh/1000)*0.902</f>
        <v>2443.4335349956555</v>
      </c>
      <c r="E11" s="34">
        <f>$C$31*'E Balans VL '!I11/100/3.6*1000000</f>
        <v>0.35566463591821623</v>
      </c>
      <c r="F11" s="34">
        <f>$C$31*('E Balans VL '!L11+'E Balans VL '!N11)/100/3.6*1000000</f>
        <v>223.0939672066693</v>
      </c>
      <c r="G11" s="35"/>
      <c r="H11" s="34"/>
      <c r="I11" s="34"/>
      <c r="J11" s="34">
        <f>$C$31*('E Balans VL '!D11+'E Balans VL '!E11)/100/3.6*1000000</f>
        <v>0</v>
      </c>
      <c r="K11" s="34"/>
      <c r="L11" s="34"/>
      <c r="M11" s="34"/>
      <c r="N11" s="34">
        <f>$C$31*'E Balans VL '!Y11/100/3.6*1000000</f>
        <v>1.8769955250518866</v>
      </c>
      <c r="O11" s="34"/>
      <c r="P11" s="34"/>
      <c r="R11" s="33"/>
    </row>
    <row r="12" spans="1:18">
      <c r="A12" s="33" t="s">
        <v>249</v>
      </c>
      <c r="B12" s="38">
        <f t="shared" si="0"/>
        <v>2861.0446983989004</v>
      </c>
      <c r="C12" s="34"/>
      <c r="D12" s="38">
        <f>IF(ISERROR(TER_rest_gas_kWh/1000),0,TER_rest_gas_kWh/1000)*0.902</f>
        <v>8536.367883882047</v>
      </c>
      <c r="E12" s="34">
        <f>$C$32*'E Balans VL '!I8/100/3.6*1000000</f>
        <v>24.622758966750418</v>
      </c>
      <c r="F12" s="34">
        <f>$C$32*('E Balans VL '!L8+'E Balans VL '!N8)/100/3.6*1000000</f>
        <v>557.40030184665409</v>
      </c>
      <c r="G12" s="35"/>
      <c r="H12" s="34"/>
      <c r="I12" s="34"/>
      <c r="J12" s="34">
        <f>$C$32*('E Balans VL '!D8+'E Balans VL '!E8)/100/3.6*1000000</f>
        <v>0</v>
      </c>
      <c r="K12" s="34"/>
      <c r="L12" s="34"/>
      <c r="M12" s="34"/>
      <c r="N12" s="34">
        <f>$C$32*'E Balans VL '!Y8/100/3.6*1000000</f>
        <v>164.41548856355394</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51467.927074380292</v>
      </c>
      <c r="C16" s="22">
        <f t="shared" ca="1" si="1"/>
        <v>0</v>
      </c>
      <c r="D16" s="22">
        <f t="shared" ca="1" si="1"/>
        <v>71304.801117542534</v>
      </c>
      <c r="E16" s="22">
        <f t="shared" si="1"/>
        <v>849.38606839610497</v>
      </c>
      <c r="F16" s="22">
        <f t="shared" ca="1" si="1"/>
        <v>10152.910255973322</v>
      </c>
      <c r="G16" s="22">
        <f t="shared" si="1"/>
        <v>0</v>
      </c>
      <c r="H16" s="22">
        <f t="shared" si="1"/>
        <v>0</v>
      </c>
      <c r="I16" s="22">
        <f t="shared" si="1"/>
        <v>0</v>
      </c>
      <c r="J16" s="22">
        <f t="shared" si="1"/>
        <v>0</v>
      </c>
      <c r="K16" s="22">
        <f t="shared" si="1"/>
        <v>0</v>
      </c>
      <c r="L16" s="22">
        <f t="shared" ca="1" si="1"/>
        <v>0</v>
      </c>
      <c r="M16" s="22">
        <f t="shared" si="1"/>
        <v>0</v>
      </c>
      <c r="N16" s="22">
        <f t="shared" ca="1" si="1"/>
        <v>3963.2002361130249</v>
      </c>
      <c r="O16" s="22">
        <f>O5</f>
        <v>4.6900000000000004</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0.21630001068743057</v>
      </c>
      <c r="C18" s="26">
        <f ca="1">'EF ele_warmte'!B22</f>
        <v>0.23764705882352949</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11132.513176248354</v>
      </c>
      <c r="C20" s="24">
        <f t="shared" ref="C20:P20" ca="1" si="2">C16*C18</f>
        <v>0</v>
      </c>
      <c r="D20" s="24">
        <f t="shared" ca="1" si="2"/>
        <v>14403.569825743592</v>
      </c>
      <c r="E20" s="24">
        <f t="shared" si="2"/>
        <v>192.81063752591584</v>
      </c>
      <c r="F20" s="24">
        <f t="shared" ca="1" si="2"/>
        <v>2710.8270383448771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15608.378998916101</v>
      </c>
      <c r="C26" s="40">
        <f>IF(ISERROR(B26*3.6/1000000/'E Balans VL '!Z12*100),0,B26*3.6/1000000/'E Balans VL '!Z12*100)</f>
        <v>0.3308204724503731</v>
      </c>
      <c r="D26" s="236" t="s">
        <v>660</v>
      </c>
      <c r="F26" s="6"/>
    </row>
    <row r="27" spans="1:18">
      <c r="A27" s="231" t="s">
        <v>52</v>
      </c>
      <c r="B27" s="34">
        <f>IF(ISERROR(TER_horeca_ele_kWh/1000),0,TER_horeca_ele_kWh/1000)</f>
        <v>13108.111078735899</v>
      </c>
      <c r="C27" s="40">
        <f>IF(ISERROR(B27*3.6/1000000/'E Balans VL '!Z9*100),0,B27*3.6/1000000/'E Balans VL '!Z9*100)</f>
        <v>1.0286124158440202</v>
      </c>
      <c r="D27" s="236" t="s">
        <v>660</v>
      </c>
      <c r="F27" s="6"/>
    </row>
    <row r="28" spans="1:18">
      <c r="A28" s="171" t="s">
        <v>51</v>
      </c>
      <c r="B28" s="34">
        <f>IF(ISERROR(TER_handel_ele_kWh/1000),0,TER_handel_ele_kWh/1000)</f>
        <v>11006.739589795699</v>
      </c>
      <c r="C28" s="40">
        <f>IF(ISERROR(B28*3.6/1000000/'E Balans VL '!Z13*100),0,B28*3.6/1000000/'E Balans VL '!Z13*100)</f>
        <v>0.3073791065616342</v>
      </c>
      <c r="D28" s="236" t="s">
        <v>660</v>
      </c>
      <c r="F28" s="6"/>
    </row>
    <row r="29" spans="1:18">
      <c r="A29" s="231" t="s">
        <v>50</v>
      </c>
      <c r="B29" s="34">
        <f>IF(ISERROR(TER_gezond_ele_kWh/1000),0,TER_gezond_ele_kWh/1000)</f>
        <v>833.71834324639894</v>
      </c>
      <c r="C29" s="40">
        <f>IF(ISERROR(B29*3.6/1000000/'E Balans VL '!Z10*100),0,B29*3.6/1000000/'E Balans VL '!Z10*100)</f>
        <v>9.5543561498361781E-2</v>
      </c>
      <c r="D29" s="236" t="s">
        <v>660</v>
      </c>
      <c r="F29" s="6"/>
    </row>
    <row r="30" spans="1:18">
      <c r="A30" s="231" t="s">
        <v>49</v>
      </c>
      <c r="B30" s="34">
        <f>IF(ISERROR(TER_ander_ele_kWh/1000),0,TER_ander_ele_kWh/1000)</f>
        <v>7623.6141184501903</v>
      </c>
      <c r="C30" s="40">
        <f>IF(ISERROR(B30*3.6/1000000/'E Balans VL '!Z14*100),0,B30*3.6/1000000/'E Balans VL '!Z14*100)</f>
        <v>0.56847035749199859</v>
      </c>
      <c r="D30" s="236" t="s">
        <v>660</v>
      </c>
      <c r="F30" s="6"/>
    </row>
    <row r="31" spans="1:18">
      <c r="A31" s="231" t="s">
        <v>54</v>
      </c>
      <c r="B31" s="34">
        <f>IF(ISERROR(TER_onderwijs_ele_kWh/1000),0,TER_onderwijs_ele_kWh/1000)</f>
        <v>426.320246837105</v>
      </c>
      <c r="C31" s="40">
        <f>IF(ISERROR(B31*3.6/1000000/'E Balans VL '!Z11*100),0,B31*3.6/1000000/'E Balans VL '!Z11*100)</f>
        <v>0.12184326679986282</v>
      </c>
      <c r="D31" s="236" t="s">
        <v>660</v>
      </c>
    </row>
    <row r="32" spans="1:18">
      <c r="A32" s="231" t="s">
        <v>249</v>
      </c>
      <c r="B32" s="34">
        <f>IF(ISERROR(TER_rest_ele_kWh/1000),0,TER_rest_ele_kWh/1000)</f>
        <v>2861.0446983989004</v>
      </c>
      <c r="C32" s="40">
        <f>IF(ISERROR(B32*3.6/1000000/'E Balans VL '!Z8*100),0,B32*3.6/1000000/'E Balans VL '!Z8*100)</f>
        <v>2.3573228883212734E-2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3</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3326.5043622117305</v>
      </c>
      <c r="C5" s="18">
        <f>IF(ISERROR('Eigen informatie GS &amp; warmtenet'!B59),0,'Eigen informatie GS &amp; warmtenet'!B59)</f>
        <v>0</v>
      </c>
      <c r="D5" s="31">
        <f>SUM(D6:D15)</f>
        <v>4362.5235225656443</v>
      </c>
      <c r="E5" s="18">
        <f>SUM(E6:E15)</f>
        <v>24.87087971354455</v>
      </c>
      <c r="F5" s="18">
        <f>SUM(F6:F15)</f>
        <v>1714.5203095800716</v>
      </c>
      <c r="G5" s="19"/>
      <c r="H5" s="18"/>
      <c r="I5" s="18"/>
      <c r="J5" s="18">
        <f>SUM(J6:J15)</f>
        <v>3.3442367489767246</v>
      </c>
      <c r="K5" s="18"/>
      <c r="L5" s="18"/>
      <c r="M5" s="18"/>
      <c r="N5" s="18">
        <f>SUM(N6:N15)</f>
        <v>173.69281593806761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126.90668181233301</v>
      </c>
      <c r="C8" s="34"/>
      <c r="D8" s="38">
        <f>IF( ISERROR(IND_metaal_Gas_kWH/1000),0,IND_metaal_Gas_kWH/1000)*0.902</f>
        <v>0</v>
      </c>
      <c r="E8" s="34">
        <f>C30*'E Balans VL '!I18/100/3.6*1000000</f>
        <v>1.155716281112994</v>
      </c>
      <c r="F8" s="34">
        <f>C30*'E Balans VL '!L18/100/3.6*1000000+C30*'E Balans VL '!N18/100/3.6*1000000</f>
        <v>16.738027585152185</v>
      </c>
      <c r="G8" s="35"/>
      <c r="H8" s="34"/>
      <c r="I8" s="34"/>
      <c r="J8" s="41">
        <f>C30*'E Balans VL '!D18/100/3.6*1000000+C30*'E Balans VL '!E18/100/3.6*1000000</f>
        <v>2.0810853198553407</v>
      </c>
      <c r="K8" s="34"/>
      <c r="L8" s="34"/>
      <c r="M8" s="34"/>
      <c r="N8" s="34">
        <f>C30*'E Balans VL '!Y18/100/3.6*1000000</f>
        <v>0.43612785183895902</v>
      </c>
      <c r="O8" s="34"/>
      <c r="P8" s="34"/>
      <c r="R8" s="33"/>
    </row>
    <row r="9" spans="1:18">
      <c r="A9" s="6" t="s">
        <v>32</v>
      </c>
      <c r="B9" s="38">
        <f t="shared" si="0"/>
        <v>1933.9675096915398</v>
      </c>
      <c r="C9" s="34"/>
      <c r="D9" s="38">
        <f>IF( ISERROR(IND_andere_gas_kWh/1000),0,IND_andere_gas_kWh/1000)*0.902</f>
        <v>2334.6476491870249</v>
      </c>
      <c r="E9" s="34">
        <f>C31*'E Balans VL '!I19/100/3.6*1000000</f>
        <v>11.178621213556747</v>
      </c>
      <c r="F9" s="34">
        <f>C31*'E Balans VL '!L19/100/3.6*1000000+C31*'E Balans VL '!N19/100/3.6*1000000</f>
        <v>1538.5642127937131</v>
      </c>
      <c r="G9" s="35"/>
      <c r="H9" s="34"/>
      <c r="I9" s="34"/>
      <c r="J9" s="41">
        <f>C31*'E Balans VL '!D19/100/3.6*1000000+C31*'E Balans VL '!E19/100/3.6*1000000</f>
        <v>0.18293184451417105</v>
      </c>
      <c r="K9" s="34"/>
      <c r="L9" s="34"/>
      <c r="M9" s="34"/>
      <c r="N9" s="34">
        <f>C31*'E Balans VL '!Y19/100/3.6*1000000</f>
        <v>146.52730618367076</v>
      </c>
      <c r="O9" s="34"/>
      <c r="P9" s="34"/>
      <c r="R9" s="33"/>
    </row>
    <row r="10" spans="1:18">
      <c r="A10" s="6" t="s">
        <v>40</v>
      </c>
      <c r="B10" s="38">
        <f t="shared" si="0"/>
        <v>1033.107129424</v>
      </c>
      <c r="C10" s="34"/>
      <c r="D10" s="38">
        <f>IF( ISERROR(IND_voed_gas_kWh/1000),0,IND_voed_gas_kWh/1000)*0.902</f>
        <v>1344.0531706331187</v>
      </c>
      <c r="E10" s="34">
        <f>C32*'E Balans VL '!I20/100/3.6*1000000</f>
        <v>10.158145846812799</v>
      </c>
      <c r="F10" s="34">
        <f>C32*'E Balans VL '!L20/100/3.6*1000000+C32*'E Balans VL '!N20/100/3.6*1000000</f>
        <v>114.74003150251397</v>
      </c>
      <c r="G10" s="35"/>
      <c r="H10" s="34"/>
      <c r="I10" s="34"/>
      <c r="J10" s="41">
        <f>C32*'E Balans VL '!D20/100/3.6*1000000+C32*'E Balans VL '!E20/100/3.6*1000000</f>
        <v>4.0719441994757867E-3</v>
      </c>
      <c r="K10" s="34"/>
      <c r="L10" s="34"/>
      <c r="M10" s="34"/>
      <c r="N10" s="34">
        <f>C32*'E Balans VL '!Y20/100/3.6*1000000</f>
        <v>15.297886462647176</v>
      </c>
      <c r="O10" s="34"/>
      <c r="P10" s="34"/>
      <c r="R10" s="33"/>
    </row>
    <row r="11" spans="1:18">
      <c r="A11" s="6" t="s">
        <v>39</v>
      </c>
      <c r="B11" s="38">
        <f t="shared" si="0"/>
        <v>5.4651537563878003</v>
      </c>
      <c r="C11" s="34"/>
      <c r="D11" s="38">
        <f>IF( ISERROR(IND_textiel_gas_kWh/1000),0,IND_textiel_gas_kWh/1000)*0.902</f>
        <v>0</v>
      </c>
      <c r="E11" s="34">
        <f>C33*'E Balans VL '!I21/100/3.6*1000000</f>
        <v>1.0641923409803921E-2</v>
      </c>
      <c r="F11" s="34">
        <f>C33*'E Balans VL '!L21/100/3.6*1000000+C33*'E Balans VL '!N21/100/3.6*1000000</f>
        <v>0.18025870480729922</v>
      </c>
      <c r="G11" s="35"/>
      <c r="H11" s="34"/>
      <c r="I11" s="34"/>
      <c r="J11" s="41">
        <f>C33*'E Balans VL '!D21/100/3.6*1000000+C33*'E Balans VL '!E21/100/3.6*1000000</f>
        <v>0</v>
      </c>
      <c r="K11" s="34"/>
      <c r="L11" s="34"/>
      <c r="M11" s="34"/>
      <c r="N11" s="34">
        <f>C33*'E Balans VL '!Y21/100/3.6*1000000</f>
        <v>5.6688018777058341E-2</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13.059722142363301</v>
      </c>
      <c r="C13" s="34"/>
      <c r="D13" s="38">
        <f>IF( ISERROR(IND_papier_gas_kWh/1000),0,IND_papier_gas_kWh/1000)*0.902</f>
        <v>101.2116538470198</v>
      </c>
      <c r="E13" s="34">
        <f>C35*'E Balans VL '!I23/100/3.6*1000000</f>
        <v>0.44483307154178114</v>
      </c>
      <c r="F13" s="34">
        <f>C35*'E Balans VL '!L23/100/3.6*1000000+C35*'E Balans VL '!N23/100/3.6*1000000</f>
        <v>2.1571595928374321</v>
      </c>
      <c r="G13" s="35"/>
      <c r="H13" s="34"/>
      <c r="I13" s="34"/>
      <c r="J13" s="41">
        <f>C35*'E Balans VL '!D23/100/3.6*1000000+C35*'E Balans VL '!E23/100/3.6*1000000</f>
        <v>0</v>
      </c>
      <c r="K13" s="34"/>
      <c r="L13" s="34"/>
      <c r="M13" s="34"/>
      <c r="N13" s="34">
        <f>C35*'E Balans VL '!Y23/100/3.6*1000000</f>
        <v>4.8056275137920403</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213.99816538510697</v>
      </c>
      <c r="C15" s="34"/>
      <c r="D15" s="38">
        <f>IF( ISERROR(IND_rest_gas_kWh/1000),0,IND_rest_gas_kWh/1000)*0.902</f>
        <v>582.6110488984807</v>
      </c>
      <c r="E15" s="34">
        <f>C37*'E Balans VL '!I15/100/3.6*1000000</f>
        <v>1.9229213771104279</v>
      </c>
      <c r="F15" s="34">
        <f>C37*'E Balans VL '!L15/100/3.6*1000000+C37*'E Balans VL '!N15/100/3.6*1000000</f>
        <v>42.140619401047537</v>
      </c>
      <c r="G15" s="35"/>
      <c r="H15" s="34"/>
      <c r="I15" s="34"/>
      <c r="J15" s="41">
        <f>C37*'E Balans VL '!D15/100/3.6*1000000+C37*'E Balans VL '!E15/100/3.6*1000000</f>
        <v>1.0761476404077372</v>
      </c>
      <c r="K15" s="34"/>
      <c r="L15" s="34"/>
      <c r="M15" s="34"/>
      <c r="N15" s="34">
        <f>C37*'E Balans VL '!Y15/100/3.6*1000000</f>
        <v>6.5691799073416011</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3326.5043622117305</v>
      </c>
      <c r="C18" s="22">
        <f>C5+C16</f>
        <v>0</v>
      </c>
      <c r="D18" s="22">
        <f>MAX((D5+D16),0)</f>
        <v>4362.5235225656443</v>
      </c>
      <c r="E18" s="22">
        <f>MAX((E5+E16),0)</f>
        <v>24.87087971354455</v>
      </c>
      <c r="F18" s="22">
        <f>MAX((F5+F16),0)</f>
        <v>1714.5203095800716</v>
      </c>
      <c r="G18" s="22"/>
      <c r="H18" s="22"/>
      <c r="I18" s="22"/>
      <c r="J18" s="22">
        <f>MAX((J5+J16),0)</f>
        <v>3.3442367489767246</v>
      </c>
      <c r="K18" s="22"/>
      <c r="L18" s="22">
        <f>MAX((L5+L16),0)</f>
        <v>0</v>
      </c>
      <c r="M18" s="22"/>
      <c r="N18" s="22">
        <f>MAX((N5+N16),0)</f>
        <v>173.69281593806761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0.21630001068743057</v>
      </c>
      <c r="C20" s="26">
        <f ca="1">'EF ele_warmte'!B22</f>
        <v>0.23764705882352949</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719.52292909818175</v>
      </c>
      <c r="C22" s="24">
        <f ca="1">C18*C20</f>
        <v>0</v>
      </c>
      <c r="D22" s="24">
        <f>D18*D20</f>
        <v>881.2297515582602</v>
      </c>
      <c r="E22" s="24">
        <f>E18*E20</f>
        <v>5.6456896949746129</v>
      </c>
      <c r="F22" s="24">
        <f>F18*F20</f>
        <v>457.77692265787914</v>
      </c>
      <c r="G22" s="24"/>
      <c r="H22" s="24"/>
      <c r="I22" s="24"/>
      <c r="J22" s="24">
        <f>J18*J20</f>
        <v>1.1838598091377606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126.90668181233301</v>
      </c>
      <c r="C30" s="40">
        <f>IF(ISERROR(B30*3.6/1000000/'E Balans VL '!Z18*100),0,B30*3.6/1000000/'E Balans VL '!Z18*100)</f>
        <v>7.0615082251559713E-3</v>
      </c>
      <c r="D30" s="236" t="s">
        <v>660</v>
      </c>
    </row>
    <row r="31" spans="1:18">
      <c r="A31" s="6" t="s">
        <v>32</v>
      </c>
      <c r="B31" s="38">
        <f>IF( ISERROR(IND_ander_ele_kWh/1000),0,IND_ander_ele_kWh/1000)</f>
        <v>1933.9675096915398</v>
      </c>
      <c r="C31" s="40">
        <f>IF(ISERROR(B31*3.6/1000000/'E Balans VL '!Z19*100),0,B31*3.6/1000000/'E Balans VL '!Z19*100)</f>
        <v>8.9905070341435619E-2</v>
      </c>
      <c r="D31" s="236" t="s">
        <v>660</v>
      </c>
    </row>
    <row r="32" spans="1:18">
      <c r="A32" s="171" t="s">
        <v>40</v>
      </c>
      <c r="B32" s="38">
        <f>IF( ISERROR(IND_voed_ele_kWh/1000),0,IND_voed_ele_kWh/1000)</f>
        <v>1033.107129424</v>
      </c>
      <c r="C32" s="40">
        <f>IF(ISERROR(B32*3.6/1000000/'E Balans VL '!Z20*100),0,B32*3.6/1000000/'E Balans VL '!Z20*100)</f>
        <v>3.6518250576928535E-2</v>
      </c>
      <c r="D32" s="236" t="s">
        <v>660</v>
      </c>
    </row>
    <row r="33" spans="1:5">
      <c r="A33" s="171" t="s">
        <v>39</v>
      </c>
      <c r="B33" s="38">
        <f>IF( ISERROR(IND_textiel_ele_kWh/1000),0,IND_textiel_ele_kWh/1000)</f>
        <v>5.4651537563878003</v>
      </c>
      <c r="C33" s="40">
        <f>IF(ISERROR(B33*3.6/1000000/'E Balans VL '!Z21*100),0,B33*3.6/1000000/'E Balans VL '!Z21*100)</f>
        <v>7.3815194269689303E-4</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13.059722142363301</v>
      </c>
      <c r="C35" s="40">
        <f>IF(ISERROR(B35*3.6/1000000/'E Balans VL '!Z22*100),0,B35*3.6/1000000/'E Balans VL '!Z22*100)</f>
        <v>2.6246358788923375E-3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213.99816538510697</v>
      </c>
      <c r="C37" s="40">
        <f>IF(ISERROR(B37*3.6/1000000/'E Balans VL '!Z15*100),0,B37*3.6/1000000/'E Balans VL '!Z15*100)</f>
        <v>1.6160022717503749E-3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1171.8697495083259</v>
      </c>
      <c r="C5" s="18">
        <f>'Eigen informatie GS &amp; warmtenet'!B60</f>
        <v>0</v>
      </c>
      <c r="D5" s="31">
        <f>IF(ISERROR(SUM(LB_lb_gas_kWh,LB_rest_gas_kWh)/1000),0,SUM(LB_lb_gas_kWh,LB_rest_gas_kWh)/1000)*0.902</f>
        <v>219.59782942255188</v>
      </c>
      <c r="E5" s="18">
        <f>B17*'E Balans VL '!I25/3.6*1000000/100</f>
        <v>11.572427066540207</v>
      </c>
      <c r="F5" s="18">
        <f>B17*('E Balans VL '!L25/3.6*1000000+'E Balans VL '!N25/3.6*1000000)/100</f>
        <v>3909.6675587154973</v>
      </c>
      <c r="G5" s="19"/>
      <c r="H5" s="18"/>
      <c r="I5" s="18"/>
      <c r="J5" s="18">
        <f>('E Balans VL '!D25+'E Balans VL '!E25)/3.6*1000000*landbouw!B17/100</f>
        <v>116.91703223038729</v>
      </c>
      <c r="K5" s="18"/>
      <c r="L5" s="18">
        <f>L6*(-1)</f>
        <v>0</v>
      </c>
      <c r="M5" s="18"/>
      <c r="N5" s="18">
        <f>N6*(-1)</f>
        <v>0</v>
      </c>
      <c r="O5" s="18"/>
      <c r="P5" s="18"/>
      <c r="R5" s="33"/>
    </row>
    <row r="6" spans="1:18">
      <c r="A6" s="17" t="s">
        <v>488</v>
      </c>
      <c r="B6" s="18" t="s">
        <v>204</v>
      </c>
      <c r="C6" s="18">
        <f>'lokale energieproductie'!O39+'lokale energieproductie'!O32</f>
        <v>3.5357142857142851</v>
      </c>
      <c r="D6" s="305">
        <f>('lokale energieproductie'!P32+'lokale energieproductie'!P39)*(-1)</f>
        <v>-7.0714285714285712</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1171.8697495083259</v>
      </c>
      <c r="C8" s="22">
        <f>C5+C6</f>
        <v>3.5357142857142851</v>
      </c>
      <c r="D8" s="22">
        <f>MAX((D5+D6),0)</f>
        <v>212.5264008511233</v>
      </c>
      <c r="E8" s="22">
        <f>MAX((E5+E6),0)</f>
        <v>11.572427066540207</v>
      </c>
      <c r="F8" s="22">
        <f>MAX((F5+F6),0)</f>
        <v>3909.6675587154973</v>
      </c>
      <c r="G8" s="22"/>
      <c r="H8" s="22"/>
      <c r="I8" s="22"/>
      <c r="J8" s="22">
        <f>MAX((J5+J6),0)</f>
        <v>116.91703223038729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0.21630001068743057</v>
      </c>
      <c r="C10" s="32">
        <f ca="1">'EF ele_warmte'!B22</f>
        <v>0.23764705882352949</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253.47543934292747</v>
      </c>
      <c r="C12" s="24">
        <f ca="1">C8*C10</f>
        <v>0.8402521008403363</v>
      </c>
      <c r="D12" s="24">
        <f>D8*D10</f>
        <v>42.930332971926909</v>
      </c>
      <c r="E12" s="24">
        <f>E8*E10</f>
        <v>2.6269409441046272</v>
      </c>
      <c r="F12" s="24">
        <f>F8*F10</f>
        <v>1043.8812381770379</v>
      </c>
      <c r="G12" s="24"/>
      <c r="H12" s="24"/>
      <c r="I12" s="24"/>
      <c r="J12" s="24">
        <f>J8*J10</f>
        <v>41.388629409557097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0.15865243820343983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103.72383185518729</v>
      </c>
      <c r="C26" s="246">
        <f>B26*'GWP N2O_CH4'!B5</f>
        <v>2178.200468958933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73.030768387503699</v>
      </c>
      <c r="C27" s="246">
        <f>B27*'GWP N2O_CH4'!B5</f>
        <v>1533.6461361375777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1.9100013002569272</v>
      </c>
      <c r="C28" s="246">
        <f>B28*'GWP N2O_CH4'!B4</f>
        <v>592.10040307964744</v>
      </c>
      <c r="D28" s="51"/>
    </row>
    <row r="29" spans="1:4">
      <c r="A29" s="42" t="s">
        <v>266</v>
      </c>
      <c r="B29" s="246">
        <f>B34*'ha_N2O bodem landbouw'!B4</f>
        <v>12.177925597942151</v>
      </c>
      <c r="C29" s="246">
        <f>B29*'GWP N2O_CH4'!B4</f>
        <v>3775.1569353620666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3.2876565470970199E-3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1.4748892405113946E-5</v>
      </c>
      <c r="C5" s="433" t="s">
        <v>204</v>
      </c>
      <c r="D5" s="418">
        <f>SUM(D6:D11)</f>
        <v>1.6777437316787657E-5</v>
      </c>
      <c r="E5" s="418">
        <f>SUM(E6:E11)</f>
        <v>1.1118870500552655E-3</v>
      </c>
      <c r="F5" s="431" t="s">
        <v>204</v>
      </c>
      <c r="G5" s="418">
        <f>SUM(G6:G11)</f>
        <v>0.29878552772914063</v>
      </c>
      <c r="H5" s="418">
        <f>SUM(H6:H11)</f>
        <v>4.3375683845679913E-2</v>
      </c>
      <c r="I5" s="433" t="s">
        <v>204</v>
      </c>
      <c r="J5" s="433" t="s">
        <v>204</v>
      </c>
      <c r="K5" s="433" t="s">
        <v>204</v>
      </c>
      <c r="L5" s="433" t="s">
        <v>204</v>
      </c>
      <c r="M5" s="418">
        <f>SUM(M6:M11)</f>
        <v>1.5281494349356791E-2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1.1212986426192565E-5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1.3005024375527201E-5</v>
      </c>
      <c r="E6" s="421">
        <f>vkm_GW_PW*SUMIFS(TableVerdeelsleutelVkm[LPG],TableVerdeelsleutelVkm[Voertuigtype],"Lichte voertuigen")*SUMIFS(TableECFTransport[EnergieConsumptieFactor (PJ per km)],TableECFTransport[Index],CONCATENATE($A6,"_LPG_LPG"))</f>
        <v>8.4176743343104734E-4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0.13272294006642177</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3.3560760127567153E-2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7.442869536436518E-3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5.3299061989058598E-7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8.8167802061913991E-2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2.7477466943252883E-6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3.9231970651553505E-3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9.0197009953127872E-7</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1.704965662357854E-6</v>
      </c>
      <c r="E8" s="421">
        <f>vkm_NGW_PW*SUMIFS(TableVerdeelsleutelVkm[LPG],TableVerdeelsleutelVkm[Voertuigtype],"Lichte voertuigen")*SUMIFS(TableECFTransport[EnergieConsumptieFactor (PJ per km)],TableECFTransport[Index],CONCATENATE($A8,"_LPG_LPG"))</f>
        <v>1.0429472633309721E-4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1.5548795248697029E-2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4.1876506099823817E-3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8.8367240373057811E-4</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5.0271435637027452E-9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1.0663917120398E-3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3.1282025248431957E-8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4.7451074582304766E-5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1.856264784266401E-6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2.0674472789026001E-6</v>
      </c>
      <c r="E10" s="421">
        <f>vkm_SW_PW*SUMIFS(TableVerdeelsleutelVkm[LPG],TableVerdeelsleutelVkm[Voertuigtype],"Lichte voertuigen")*SUMIFS(TableECFTransport[EnergieConsumptieFactor (PJ per km)],TableECFTransport[Index],CONCATENATE($A10,"_LPG_LPG"))</f>
        <v>1.6582489029112087E-4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2.414473231608175E-2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5.6232224193298944E-3</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1.3319112529349777E-3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2.3965333166941339E-7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3.713486632398625E-2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1.2716600809132151E-6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1.6523930165170623E-3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4.0969145569760963</v>
      </c>
      <c r="C14" s="22"/>
      <c r="D14" s="22">
        <f t="shared" ref="D14:M14" si="0">((D5)*10^9/3600)+D12</f>
        <v>4.660399254663238</v>
      </c>
      <c r="E14" s="22">
        <f t="shared" si="0"/>
        <v>308.85751390424042</v>
      </c>
      <c r="F14" s="22"/>
      <c r="G14" s="22">
        <f t="shared" si="0"/>
        <v>82995.979924761283</v>
      </c>
      <c r="H14" s="22">
        <f t="shared" si="0"/>
        <v>12048.801068244422</v>
      </c>
      <c r="I14" s="22"/>
      <c r="J14" s="22"/>
      <c r="K14" s="22"/>
      <c r="L14" s="22"/>
      <c r="M14" s="22">
        <f t="shared" si="0"/>
        <v>4244.8595414879974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0.21630001068743057</v>
      </c>
      <c r="C16" s="57">
        <f ca="1">'EF ele_warmte'!B22</f>
        <v>0.23764705882352949</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0.88616266245941955</v>
      </c>
      <c r="C18" s="24"/>
      <c r="D18" s="24">
        <f t="shared" ref="D18:M18" si="1">D14*D16</f>
        <v>0.9414006494419741</v>
      </c>
      <c r="E18" s="24">
        <f t="shared" si="1"/>
        <v>70.11065565626258</v>
      </c>
      <c r="F18" s="24"/>
      <c r="G18" s="24">
        <f t="shared" si="1"/>
        <v>22159.926639911264</v>
      </c>
      <c r="H18" s="24">
        <f t="shared" si="1"/>
        <v>3000.1514659928612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4.8571181050620213E-3</v>
      </c>
      <c r="C50" s="316">
        <f t="shared" ref="C50:P50" si="2">SUM(C51:C52)</f>
        <v>0</v>
      </c>
      <c r="D50" s="316">
        <f t="shared" si="2"/>
        <v>0</v>
      </c>
      <c r="E50" s="316">
        <f t="shared" si="2"/>
        <v>0</v>
      </c>
      <c r="F50" s="316">
        <f t="shared" si="2"/>
        <v>0</v>
      </c>
      <c r="G50" s="316">
        <f t="shared" si="2"/>
        <v>4.8569269390444187E-3</v>
      </c>
      <c r="H50" s="316">
        <f t="shared" si="2"/>
        <v>0</v>
      </c>
      <c r="I50" s="316">
        <f t="shared" si="2"/>
        <v>0</v>
      </c>
      <c r="J50" s="316">
        <f t="shared" si="2"/>
        <v>0</v>
      </c>
      <c r="K50" s="316">
        <f t="shared" si="2"/>
        <v>0</v>
      </c>
      <c r="L50" s="316">
        <f t="shared" si="2"/>
        <v>0</v>
      </c>
      <c r="M50" s="316">
        <f t="shared" si="2"/>
        <v>2.1467099787008713E-4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2.4351360211679984E-5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4.8569269390444187E-3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2.1467099787008713E-4</v>
      </c>
      <c r="N51" s="318"/>
      <c r="O51" s="318"/>
      <c r="P51" s="321"/>
    </row>
    <row r="52" spans="1:18">
      <c r="A52" s="4" t="s">
        <v>318</v>
      </c>
      <c r="B52" s="322">
        <f>vkm_tram*SUMIFS(TableECFTransport[EnergieConsumptieFactor (PJ per km)],TableECFTransport[Index],"Tram_gemiddeld_Electric_Electric")</f>
        <v>4.8327667448503416E-3</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1349.1994736283391</v>
      </c>
      <c r="C54" s="22">
        <f t="shared" ref="C54:P54" si="3">(C50)*10^9/3600</f>
        <v>0</v>
      </c>
      <c r="D54" s="22">
        <f t="shared" si="3"/>
        <v>0</v>
      </c>
      <c r="E54" s="22">
        <f t="shared" si="3"/>
        <v>0</v>
      </c>
      <c r="F54" s="22">
        <f t="shared" si="3"/>
        <v>0</v>
      </c>
      <c r="G54" s="22">
        <f t="shared" si="3"/>
        <v>1349.146371956783</v>
      </c>
      <c r="H54" s="22">
        <f t="shared" si="3"/>
        <v>0</v>
      </c>
      <c r="I54" s="22">
        <f t="shared" si="3"/>
        <v>0</v>
      </c>
      <c r="J54" s="22">
        <f t="shared" si="3"/>
        <v>0</v>
      </c>
      <c r="K54" s="22">
        <f t="shared" si="3"/>
        <v>0</v>
      </c>
      <c r="L54" s="22">
        <f t="shared" si="3"/>
        <v>0</v>
      </c>
      <c r="M54" s="22">
        <f t="shared" si="3"/>
        <v>59.630832741690867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0.21630001068743057</v>
      </c>
      <c r="C56" s="57">
        <f ca="1">'EF ele_warmte'!B22</f>
        <v>0.23764705882352949</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291.83186056528547</v>
      </c>
      <c r="C58" s="24">
        <f t="shared" ref="C58:P58" ca="1" si="4">C54*C56</f>
        <v>0</v>
      </c>
      <c r="D58" s="24">
        <f t="shared" si="4"/>
        <v>0</v>
      </c>
      <c r="E58" s="24">
        <f t="shared" si="4"/>
        <v>0</v>
      </c>
      <c r="F58" s="24">
        <f t="shared" si="4"/>
        <v>0</v>
      </c>
      <c r="G58" s="24">
        <f t="shared" si="4"/>
        <v>360.22208131246106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2732.1686953477242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2.4749999999999996</v>
      </c>
      <c r="C8" s="544">
        <f>B48</f>
        <v>2.9117647058823533</v>
      </c>
      <c r="D8" s="931"/>
      <c r="E8" s="931">
        <f>E48</f>
        <v>0</v>
      </c>
      <c r="F8" s="932"/>
      <c r="G8" s="545"/>
      <c r="H8" s="931">
        <f>I48</f>
        <v>0</v>
      </c>
      <c r="I8" s="931">
        <f>G48+F48</f>
        <v>0</v>
      </c>
      <c r="J8" s="931">
        <f>H48+D48+C48</f>
        <v>0</v>
      </c>
      <c r="K8" s="931"/>
      <c r="L8" s="931"/>
      <c r="M8" s="931"/>
      <c r="N8" s="546"/>
      <c r="O8" s="547">
        <f>C8*$C$12+D8*$D$12+E8*$E$12+F8*$F$12+G8*$G$12+H8*$H$12+I8*$I$12+J8*$J$12</f>
        <v>0.58817647058823541</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2734.6436953477241</v>
      </c>
      <c r="C10" s="556">
        <f t="shared" ref="C10:L10" si="0">SUM(C8:C9)</f>
        <v>2.9117647058823533</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0.58817647058823541</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3.5357142857142851</v>
      </c>
      <c r="C17" s="568">
        <f>B49</f>
        <v>4.1596638655462188</v>
      </c>
      <c r="D17" s="569"/>
      <c r="E17" s="569">
        <f>E49</f>
        <v>0</v>
      </c>
      <c r="F17" s="570"/>
      <c r="G17" s="571"/>
      <c r="H17" s="568">
        <f>I49</f>
        <v>0</v>
      </c>
      <c r="I17" s="569">
        <f>G49+F49</f>
        <v>0</v>
      </c>
      <c r="J17" s="569">
        <f>H49+D49+C49</f>
        <v>0</v>
      </c>
      <c r="K17" s="569"/>
      <c r="L17" s="569"/>
      <c r="M17" s="569"/>
      <c r="N17" s="938"/>
      <c r="O17" s="572">
        <f>C17*$C$22+E17*$E$22+H17*$H$22+I17*$I$22+J17*$J$22+D17*$D$22+F17*$F$22+G17*$G$22+K17*$K$22+L17*$L$22</f>
        <v>0.8402521008403363</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3.5357142857142851</v>
      </c>
      <c r="C20" s="555">
        <f>SUM(C17:C19)</f>
        <v>4.1596638655462188</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0.8402521008403363</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38014</v>
      </c>
      <c r="C28" s="740">
        <v>8670</v>
      </c>
      <c r="D28" s="628"/>
      <c r="E28" s="627"/>
      <c r="F28" s="627"/>
      <c r="G28" s="627" t="s">
        <v>942</v>
      </c>
      <c r="H28" s="627" t="s">
        <v>943</v>
      </c>
      <c r="I28" s="627"/>
      <c r="J28" s="739"/>
      <c r="K28" s="739"/>
      <c r="L28" s="627" t="s">
        <v>944</v>
      </c>
      <c r="M28" s="627">
        <v>5.5</v>
      </c>
      <c r="N28" s="627">
        <v>2.4749999999999996</v>
      </c>
      <c r="O28" s="627">
        <v>3.5357142857142851</v>
      </c>
      <c r="P28" s="627">
        <v>7.0714285714285712</v>
      </c>
      <c r="Q28" s="627">
        <v>0</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5.5</v>
      </c>
      <c r="N29" s="585">
        <f>SUM(N28:N28)</f>
        <v>2.4749999999999996</v>
      </c>
      <c r="O29" s="585">
        <f>SUM(O28:O28)</f>
        <v>3.5357142857142851</v>
      </c>
      <c r="P29" s="585">
        <f>SUM(P28:P28)</f>
        <v>7.0714285714285712</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5.5</v>
      </c>
      <c r="N32" s="590">
        <f>SUMIF($AA$28:$AA$28,"landbouw",N28:N28)</f>
        <v>2.4749999999999996</v>
      </c>
      <c r="O32" s="590">
        <f>SUMIF($AA$28:$AA$28,"landbouw",O28:O28)</f>
        <v>3.5357142857142851</v>
      </c>
      <c r="P32" s="590">
        <f>SUMIF($AA$28:$AA$28,"landbouw",P28:P28)</f>
        <v>7.0714285714285712</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0.41176470588235298</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2.9117647058823533</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4.1596638655462188</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54771.680074380289</v>
      </c>
      <c r="D10" s="639">
        <f ca="1">tertiair!C16</f>
        <v>0</v>
      </c>
      <c r="E10" s="639">
        <f ca="1">tertiair!D16</f>
        <v>71304.801117542534</v>
      </c>
      <c r="F10" s="639">
        <f>tertiair!E16</f>
        <v>849.38606839610497</v>
      </c>
      <c r="G10" s="639">
        <f ca="1">tertiair!F16</f>
        <v>10152.910255973322</v>
      </c>
      <c r="H10" s="639">
        <f>tertiair!G16</f>
        <v>0</v>
      </c>
      <c r="I10" s="639">
        <f>tertiair!H16</f>
        <v>0</v>
      </c>
      <c r="J10" s="639">
        <f>tertiair!I16</f>
        <v>0</v>
      </c>
      <c r="K10" s="639">
        <f>tertiair!J16</f>
        <v>0</v>
      </c>
      <c r="L10" s="639">
        <f>tertiair!K16</f>
        <v>0</v>
      </c>
      <c r="M10" s="639">
        <f ca="1">tertiair!L16</f>
        <v>0</v>
      </c>
      <c r="N10" s="639">
        <f>tertiair!M16</f>
        <v>0</v>
      </c>
      <c r="O10" s="639">
        <f ca="1">tertiair!N16</f>
        <v>3963.2002361130249</v>
      </c>
      <c r="P10" s="639">
        <f>tertiair!O16</f>
        <v>4.6900000000000004</v>
      </c>
      <c r="Q10" s="640">
        <f>tertiair!P16</f>
        <v>38.133333333333333</v>
      </c>
      <c r="R10" s="642">
        <f ca="1">SUM(C10:Q10)</f>
        <v>141084.80108573861</v>
      </c>
      <c r="S10" s="68"/>
    </row>
    <row r="11" spans="1:19" s="443" customFormat="1">
      <c r="A11" s="753" t="s">
        <v>214</v>
      </c>
      <c r="B11" s="758"/>
      <c r="C11" s="639">
        <f>huishoudens!B8</f>
        <v>61824.211308943173</v>
      </c>
      <c r="D11" s="639">
        <f>huishoudens!C8</f>
        <v>0</v>
      </c>
      <c r="E11" s="639">
        <f>huishoudens!D8</f>
        <v>139131.73155508563</v>
      </c>
      <c r="F11" s="639">
        <f>huishoudens!E8</f>
        <v>0</v>
      </c>
      <c r="G11" s="639">
        <f>huishoudens!F8</f>
        <v>0</v>
      </c>
      <c r="H11" s="639">
        <f>huishoudens!G8</f>
        <v>0</v>
      </c>
      <c r="I11" s="639">
        <f>huishoudens!H8</f>
        <v>0</v>
      </c>
      <c r="J11" s="639">
        <f>huishoudens!I8</f>
        <v>0</v>
      </c>
      <c r="K11" s="639">
        <f>huishoudens!J8</f>
        <v>0</v>
      </c>
      <c r="L11" s="639">
        <f>huishoudens!K8</f>
        <v>0</v>
      </c>
      <c r="M11" s="639">
        <f>huishoudens!L8</f>
        <v>0</v>
      </c>
      <c r="N11" s="639">
        <f>huishoudens!M8</f>
        <v>0</v>
      </c>
      <c r="O11" s="639">
        <f>huishoudens!N8</f>
        <v>13820.03836128255</v>
      </c>
      <c r="P11" s="639">
        <f>huishoudens!O8</f>
        <v>100.05333333333334</v>
      </c>
      <c r="Q11" s="640">
        <f>huishoudens!P8</f>
        <v>171.6</v>
      </c>
      <c r="R11" s="642">
        <f>SUM(C11:Q11)</f>
        <v>215047.6345586447</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3326.5043622117305</v>
      </c>
      <c r="D13" s="639">
        <f>industrie!C18</f>
        <v>0</v>
      </c>
      <c r="E13" s="639">
        <f>industrie!D18</f>
        <v>4362.5235225656443</v>
      </c>
      <c r="F13" s="639">
        <f>industrie!E18</f>
        <v>24.87087971354455</v>
      </c>
      <c r="G13" s="639">
        <f>industrie!F18</f>
        <v>1714.5203095800716</v>
      </c>
      <c r="H13" s="639">
        <f>industrie!G18</f>
        <v>0</v>
      </c>
      <c r="I13" s="639">
        <f>industrie!H18</f>
        <v>0</v>
      </c>
      <c r="J13" s="639">
        <f>industrie!I18</f>
        <v>0</v>
      </c>
      <c r="K13" s="639">
        <f>industrie!J18</f>
        <v>3.3442367489767246</v>
      </c>
      <c r="L13" s="639">
        <f>industrie!K18</f>
        <v>0</v>
      </c>
      <c r="M13" s="639">
        <f>industrie!L18</f>
        <v>0</v>
      </c>
      <c r="N13" s="639">
        <f>industrie!M18</f>
        <v>0</v>
      </c>
      <c r="O13" s="639">
        <f>industrie!N18</f>
        <v>173.69281593806761</v>
      </c>
      <c r="P13" s="639">
        <f>industrie!O18</f>
        <v>0</v>
      </c>
      <c r="Q13" s="640">
        <f>industrie!P18</f>
        <v>0</v>
      </c>
      <c r="R13" s="642">
        <f>SUM(C13:Q13)</f>
        <v>9605.4561267580357</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119922.39574553521</v>
      </c>
      <c r="D16" s="672">
        <f t="shared" ref="D16:R16" ca="1" si="0">SUM(D9:D15)</f>
        <v>0</v>
      </c>
      <c r="E16" s="672">
        <f t="shared" ca="1" si="0"/>
        <v>214799.05619519381</v>
      </c>
      <c r="F16" s="672">
        <f t="shared" si="0"/>
        <v>874.25694810964956</v>
      </c>
      <c r="G16" s="672">
        <f t="shared" ca="1" si="0"/>
        <v>11867.430565553394</v>
      </c>
      <c r="H16" s="672">
        <f t="shared" si="0"/>
        <v>0</v>
      </c>
      <c r="I16" s="672">
        <f t="shared" si="0"/>
        <v>0</v>
      </c>
      <c r="J16" s="672">
        <f t="shared" si="0"/>
        <v>0</v>
      </c>
      <c r="K16" s="672">
        <f t="shared" si="0"/>
        <v>3.3442367489767246</v>
      </c>
      <c r="L16" s="672">
        <f t="shared" si="0"/>
        <v>0</v>
      </c>
      <c r="M16" s="672">
        <f t="shared" ca="1" si="0"/>
        <v>0</v>
      </c>
      <c r="N16" s="672">
        <f t="shared" si="0"/>
        <v>0</v>
      </c>
      <c r="O16" s="672">
        <f t="shared" ca="1" si="0"/>
        <v>17956.931413333641</v>
      </c>
      <c r="P16" s="672">
        <f t="shared" si="0"/>
        <v>104.74333333333334</v>
      </c>
      <c r="Q16" s="672">
        <f t="shared" si="0"/>
        <v>209.73333333333332</v>
      </c>
      <c r="R16" s="672">
        <f t="shared" ca="1" si="0"/>
        <v>365737.89177114132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1349.1994736283391</v>
      </c>
      <c r="D19" s="639">
        <f>transport!C54</f>
        <v>0</v>
      </c>
      <c r="E19" s="639">
        <f>transport!D54</f>
        <v>0</v>
      </c>
      <c r="F19" s="639">
        <f>transport!E54</f>
        <v>0</v>
      </c>
      <c r="G19" s="639">
        <f>transport!F54</f>
        <v>0</v>
      </c>
      <c r="H19" s="639">
        <f>transport!G54</f>
        <v>1349.146371956783</v>
      </c>
      <c r="I19" s="639">
        <f>transport!H54</f>
        <v>0</v>
      </c>
      <c r="J19" s="639">
        <f>transport!I54</f>
        <v>0</v>
      </c>
      <c r="K19" s="639">
        <f>transport!J54</f>
        <v>0</v>
      </c>
      <c r="L19" s="639">
        <f>transport!K54</f>
        <v>0</v>
      </c>
      <c r="M19" s="639">
        <f>transport!L54</f>
        <v>0</v>
      </c>
      <c r="N19" s="639">
        <f>transport!M54</f>
        <v>59.630832741690867</v>
      </c>
      <c r="O19" s="639">
        <f>transport!N54</f>
        <v>0</v>
      </c>
      <c r="P19" s="639">
        <f>transport!O54</f>
        <v>0</v>
      </c>
      <c r="Q19" s="640">
        <f>transport!P54</f>
        <v>0</v>
      </c>
      <c r="R19" s="642">
        <f>SUM(C19:Q19)</f>
        <v>2757.9766783268133</v>
      </c>
      <c r="S19" s="68"/>
    </row>
    <row r="20" spans="1:19" s="443" customFormat="1">
      <c r="A20" s="753" t="s">
        <v>296</v>
      </c>
      <c r="B20" s="758"/>
      <c r="C20" s="639">
        <f>transport!B14</f>
        <v>4.0969145569760963</v>
      </c>
      <c r="D20" s="639">
        <f>transport!C14</f>
        <v>0</v>
      </c>
      <c r="E20" s="639">
        <f>transport!D14</f>
        <v>4.660399254663238</v>
      </c>
      <c r="F20" s="639">
        <f>transport!E14</f>
        <v>308.85751390424042</v>
      </c>
      <c r="G20" s="639">
        <f>transport!F14</f>
        <v>0</v>
      </c>
      <c r="H20" s="639">
        <f>transport!G14</f>
        <v>82995.979924761283</v>
      </c>
      <c r="I20" s="639">
        <f>transport!H14</f>
        <v>12048.801068244422</v>
      </c>
      <c r="J20" s="639">
        <f>transport!I14</f>
        <v>0</v>
      </c>
      <c r="K20" s="639">
        <f>transport!J14</f>
        <v>0</v>
      </c>
      <c r="L20" s="639">
        <f>transport!K14</f>
        <v>0</v>
      </c>
      <c r="M20" s="639">
        <f>transport!L14</f>
        <v>0</v>
      </c>
      <c r="N20" s="639">
        <f>transport!M14</f>
        <v>4244.8595414879974</v>
      </c>
      <c r="O20" s="639">
        <f>transport!N14</f>
        <v>0</v>
      </c>
      <c r="P20" s="639">
        <f>transport!O14</f>
        <v>0</v>
      </c>
      <c r="Q20" s="640">
        <f>transport!P14</f>
        <v>0</v>
      </c>
      <c r="R20" s="642">
        <f>SUM(C20:Q20)</f>
        <v>99607.255362209573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1353.2963881853152</v>
      </c>
      <c r="D22" s="756">
        <f t="shared" ref="D22:R22" si="1">SUM(D18:D21)</f>
        <v>0</v>
      </c>
      <c r="E22" s="756">
        <f t="shared" si="1"/>
        <v>4.660399254663238</v>
      </c>
      <c r="F22" s="756">
        <f t="shared" si="1"/>
        <v>308.85751390424042</v>
      </c>
      <c r="G22" s="756">
        <f t="shared" si="1"/>
        <v>0</v>
      </c>
      <c r="H22" s="756">
        <f t="shared" si="1"/>
        <v>84345.126296718066</v>
      </c>
      <c r="I22" s="756">
        <f t="shared" si="1"/>
        <v>12048.801068244422</v>
      </c>
      <c r="J22" s="756">
        <f t="shared" si="1"/>
        <v>0</v>
      </c>
      <c r="K22" s="756">
        <f t="shared" si="1"/>
        <v>0</v>
      </c>
      <c r="L22" s="756">
        <f t="shared" si="1"/>
        <v>0</v>
      </c>
      <c r="M22" s="756">
        <f t="shared" si="1"/>
        <v>0</v>
      </c>
      <c r="N22" s="756">
        <f t="shared" si="1"/>
        <v>4304.4903742296883</v>
      </c>
      <c r="O22" s="756">
        <f t="shared" si="1"/>
        <v>0</v>
      </c>
      <c r="P22" s="756">
        <f t="shared" si="1"/>
        <v>0</v>
      </c>
      <c r="Q22" s="756">
        <f t="shared" si="1"/>
        <v>0</v>
      </c>
      <c r="R22" s="756">
        <f t="shared" si="1"/>
        <v>102365.23204053639</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1171.8697495083259</v>
      </c>
      <c r="D24" s="639">
        <f>+landbouw!C8</f>
        <v>3.5357142857142851</v>
      </c>
      <c r="E24" s="639">
        <f>+landbouw!D8</f>
        <v>212.5264008511233</v>
      </c>
      <c r="F24" s="639">
        <f>+landbouw!E8</f>
        <v>11.572427066540207</v>
      </c>
      <c r="G24" s="639">
        <f>+landbouw!F8</f>
        <v>3909.6675587154973</v>
      </c>
      <c r="H24" s="639">
        <f>+landbouw!G8</f>
        <v>0</v>
      </c>
      <c r="I24" s="639">
        <f>+landbouw!H8</f>
        <v>0</v>
      </c>
      <c r="J24" s="639">
        <f>+landbouw!I8</f>
        <v>0</v>
      </c>
      <c r="K24" s="639">
        <f>+landbouw!J8</f>
        <v>116.91703223038729</v>
      </c>
      <c r="L24" s="639">
        <f>+landbouw!K8</f>
        <v>0</v>
      </c>
      <c r="M24" s="639">
        <f>+landbouw!L8</f>
        <v>0</v>
      </c>
      <c r="N24" s="639">
        <f>+landbouw!M8</f>
        <v>0</v>
      </c>
      <c r="O24" s="639">
        <f>+landbouw!N8</f>
        <v>0</v>
      </c>
      <c r="P24" s="639">
        <f>+landbouw!O8</f>
        <v>0</v>
      </c>
      <c r="Q24" s="640">
        <f>+landbouw!P8</f>
        <v>0</v>
      </c>
      <c r="R24" s="642">
        <f>SUM(C24:Q24)</f>
        <v>5426.0888826575883</v>
      </c>
      <c r="S24" s="68"/>
    </row>
    <row r="25" spans="1:19" s="443" customFormat="1" ht="15" thickBot="1">
      <c r="A25" s="775" t="s">
        <v>847</v>
      </c>
      <c r="B25" s="941"/>
      <c r="C25" s="942">
        <f>IF(Onbekend_ele_kWh="---",0,Onbekend_ele_kWh)/1000+IF(REST_rest_ele_kWh="---",0,REST_rest_ele_kWh)/1000</f>
        <v>6014.0238881620908</v>
      </c>
      <c r="D25" s="942"/>
      <c r="E25" s="942">
        <f>IF(onbekend_gas_kWh="---",0,onbekend_gas_kWh)/1000+IF(REST_rest_gas_kWh="---",0,REST_rest_gas_kWh)/1000</f>
        <v>7334.39590860315</v>
      </c>
      <c r="F25" s="942"/>
      <c r="G25" s="942"/>
      <c r="H25" s="942"/>
      <c r="I25" s="942"/>
      <c r="J25" s="942"/>
      <c r="K25" s="942"/>
      <c r="L25" s="942"/>
      <c r="M25" s="942"/>
      <c r="N25" s="942"/>
      <c r="O25" s="942"/>
      <c r="P25" s="942"/>
      <c r="Q25" s="943"/>
      <c r="R25" s="642">
        <f>SUM(C25:Q25)</f>
        <v>13348.41979676524</v>
      </c>
      <c r="S25" s="68"/>
    </row>
    <row r="26" spans="1:19" s="443" customFormat="1" ht="15.75" thickBot="1">
      <c r="A26" s="645" t="s">
        <v>848</v>
      </c>
      <c r="B26" s="761"/>
      <c r="C26" s="756">
        <f>SUM(C24:C25)</f>
        <v>7185.8936376704169</v>
      </c>
      <c r="D26" s="756">
        <f t="shared" ref="D26:R26" si="2">SUM(D24:D25)</f>
        <v>3.5357142857142851</v>
      </c>
      <c r="E26" s="756">
        <f t="shared" si="2"/>
        <v>7546.9223094542731</v>
      </c>
      <c r="F26" s="756">
        <f t="shared" si="2"/>
        <v>11.572427066540207</v>
      </c>
      <c r="G26" s="756">
        <f t="shared" si="2"/>
        <v>3909.6675587154973</v>
      </c>
      <c r="H26" s="756">
        <f t="shared" si="2"/>
        <v>0</v>
      </c>
      <c r="I26" s="756">
        <f t="shared" si="2"/>
        <v>0</v>
      </c>
      <c r="J26" s="756">
        <f t="shared" si="2"/>
        <v>0</v>
      </c>
      <c r="K26" s="756">
        <f t="shared" si="2"/>
        <v>116.91703223038729</v>
      </c>
      <c r="L26" s="756">
        <f t="shared" si="2"/>
        <v>0</v>
      </c>
      <c r="M26" s="756">
        <f t="shared" si="2"/>
        <v>0</v>
      </c>
      <c r="N26" s="756">
        <f t="shared" si="2"/>
        <v>0</v>
      </c>
      <c r="O26" s="756">
        <f t="shared" si="2"/>
        <v>0</v>
      </c>
      <c r="P26" s="756">
        <f t="shared" si="2"/>
        <v>0</v>
      </c>
      <c r="Q26" s="756">
        <f t="shared" si="2"/>
        <v>0</v>
      </c>
      <c r="R26" s="756">
        <f t="shared" si="2"/>
        <v>18774.508679422826</v>
      </c>
      <c r="S26" s="68"/>
    </row>
    <row r="27" spans="1:19" s="443" customFormat="1" ht="17.25" thickTop="1" thickBot="1">
      <c r="A27" s="646" t="s">
        <v>109</v>
      </c>
      <c r="B27" s="748"/>
      <c r="C27" s="647">
        <f ca="1">C22+C16+C26</f>
        <v>128461.58577139095</v>
      </c>
      <c r="D27" s="647">
        <f t="shared" ref="D27:R27" ca="1" si="3">D22+D16+D26</f>
        <v>3.5357142857142851</v>
      </c>
      <c r="E27" s="647">
        <f t="shared" ca="1" si="3"/>
        <v>222350.63890390276</v>
      </c>
      <c r="F27" s="647">
        <f t="shared" si="3"/>
        <v>1194.6868890804303</v>
      </c>
      <c r="G27" s="647">
        <f t="shared" ca="1" si="3"/>
        <v>15777.09812426889</v>
      </c>
      <c r="H27" s="647">
        <f t="shared" si="3"/>
        <v>84345.126296718066</v>
      </c>
      <c r="I27" s="647">
        <f t="shared" si="3"/>
        <v>12048.801068244422</v>
      </c>
      <c r="J27" s="647">
        <f t="shared" si="3"/>
        <v>0</v>
      </c>
      <c r="K27" s="647">
        <f t="shared" si="3"/>
        <v>120.26126897936402</v>
      </c>
      <c r="L27" s="647">
        <f t="shared" si="3"/>
        <v>0</v>
      </c>
      <c r="M27" s="647">
        <f t="shared" ca="1" si="3"/>
        <v>0</v>
      </c>
      <c r="N27" s="647">
        <f t="shared" si="3"/>
        <v>4304.4903742296883</v>
      </c>
      <c r="O27" s="647">
        <f t="shared" ca="1" si="3"/>
        <v>17956.931413333641</v>
      </c>
      <c r="P27" s="647">
        <f t="shared" si="3"/>
        <v>104.74333333333334</v>
      </c>
      <c r="Q27" s="647">
        <f t="shared" si="3"/>
        <v>209.73333333333332</v>
      </c>
      <c r="R27" s="647">
        <f t="shared" ca="1" si="3"/>
        <v>486877.63249110052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11847.114985456985</v>
      </c>
      <c r="D40" s="639">
        <f ca="1">tertiair!C20</f>
        <v>0</v>
      </c>
      <c r="E40" s="639">
        <f ca="1">tertiair!D20</f>
        <v>14403.569825743592</v>
      </c>
      <c r="F40" s="639">
        <f>tertiair!E20</f>
        <v>192.81063752591584</v>
      </c>
      <c r="G40" s="639">
        <f ca="1">tertiair!F20</f>
        <v>2710.8270383448771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29154.322487071368</v>
      </c>
    </row>
    <row r="41" spans="1:18">
      <c r="A41" s="766" t="s">
        <v>214</v>
      </c>
      <c r="B41" s="773"/>
      <c r="C41" s="639">
        <f ca="1">huishoudens!B12</f>
        <v>13372.577566866374</v>
      </c>
      <c r="D41" s="639">
        <f ca="1">huishoudens!C12</f>
        <v>0</v>
      </c>
      <c r="E41" s="639">
        <f>huishoudens!D12</f>
        <v>28104.609774127301</v>
      </c>
      <c r="F41" s="639">
        <f>huishoudens!E12</f>
        <v>0</v>
      </c>
      <c r="G41" s="639">
        <f>huishoudens!F12</f>
        <v>0</v>
      </c>
      <c r="H41" s="639">
        <f>huishoudens!G12</f>
        <v>0</v>
      </c>
      <c r="I41" s="639">
        <f>huishoudens!H12</f>
        <v>0</v>
      </c>
      <c r="J41" s="639">
        <f>huishoudens!I12</f>
        <v>0</v>
      </c>
      <c r="K41" s="639">
        <f>huishoudens!J12</f>
        <v>0</v>
      </c>
      <c r="L41" s="639">
        <f>huishoudens!K12</f>
        <v>0</v>
      </c>
      <c r="M41" s="639">
        <f>huishoudens!L12</f>
        <v>0</v>
      </c>
      <c r="N41" s="639">
        <f>huishoudens!M12</f>
        <v>0</v>
      </c>
      <c r="O41" s="639">
        <f>huishoudens!N12</f>
        <v>0</v>
      </c>
      <c r="P41" s="639">
        <f>huishoudens!O12</f>
        <v>0</v>
      </c>
      <c r="Q41" s="714">
        <f>huishoudens!P12</f>
        <v>0</v>
      </c>
      <c r="R41" s="794">
        <f t="shared" ca="1" si="4"/>
        <v>41477.187340993674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719.52292909818175</v>
      </c>
      <c r="D43" s="639">
        <f ca="1">industrie!C22</f>
        <v>0</v>
      </c>
      <c r="E43" s="639">
        <f>industrie!D22</f>
        <v>881.2297515582602</v>
      </c>
      <c r="F43" s="639">
        <f>industrie!E22</f>
        <v>5.6456896949746129</v>
      </c>
      <c r="G43" s="639">
        <f>industrie!F22</f>
        <v>457.77692265787914</v>
      </c>
      <c r="H43" s="639">
        <f>industrie!G22</f>
        <v>0</v>
      </c>
      <c r="I43" s="639">
        <f>industrie!H22</f>
        <v>0</v>
      </c>
      <c r="J43" s="639">
        <f>industrie!I22</f>
        <v>0</v>
      </c>
      <c r="K43" s="639">
        <f>industrie!J22</f>
        <v>1.1838598091377606</v>
      </c>
      <c r="L43" s="639">
        <f>industrie!K22</f>
        <v>0</v>
      </c>
      <c r="M43" s="639">
        <f>industrie!L22</f>
        <v>0</v>
      </c>
      <c r="N43" s="639">
        <f>industrie!M22</f>
        <v>0</v>
      </c>
      <c r="O43" s="639">
        <f>industrie!N22</f>
        <v>0</v>
      </c>
      <c r="P43" s="639">
        <f>industrie!O22</f>
        <v>0</v>
      </c>
      <c r="Q43" s="714">
        <f>industrie!P22</f>
        <v>0</v>
      </c>
      <c r="R43" s="793">
        <f t="shared" ca="1" si="4"/>
        <v>2065.3591528184334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25939.215481421539</v>
      </c>
      <c r="D46" s="672">
        <f t="shared" ref="D46:Q46" ca="1" si="5">SUM(D39:D45)</f>
        <v>0</v>
      </c>
      <c r="E46" s="672">
        <f t="shared" ca="1" si="5"/>
        <v>43389.409351429153</v>
      </c>
      <c r="F46" s="672">
        <f t="shared" si="5"/>
        <v>198.45632722089044</v>
      </c>
      <c r="G46" s="672">
        <f t="shared" ca="1" si="5"/>
        <v>3168.6039610027565</v>
      </c>
      <c r="H46" s="672">
        <f t="shared" si="5"/>
        <v>0</v>
      </c>
      <c r="I46" s="672">
        <f t="shared" si="5"/>
        <v>0</v>
      </c>
      <c r="J46" s="672">
        <f t="shared" si="5"/>
        <v>0</v>
      </c>
      <c r="K46" s="672">
        <f t="shared" si="5"/>
        <v>1.1838598091377606</v>
      </c>
      <c r="L46" s="672">
        <f t="shared" si="5"/>
        <v>0</v>
      </c>
      <c r="M46" s="672">
        <f t="shared" ca="1" si="5"/>
        <v>0</v>
      </c>
      <c r="N46" s="672">
        <f t="shared" si="5"/>
        <v>0</v>
      </c>
      <c r="O46" s="672">
        <f t="shared" ca="1" si="5"/>
        <v>0</v>
      </c>
      <c r="P46" s="672">
        <f t="shared" si="5"/>
        <v>0</v>
      </c>
      <c r="Q46" s="672">
        <f t="shared" si="5"/>
        <v>0</v>
      </c>
      <c r="R46" s="672">
        <f ca="1">SUM(R39:R45)</f>
        <v>72696.868980883475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291.83186056528547</v>
      </c>
      <c r="D49" s="639">
        <f ca="1">transport!C58</f>
        <v>0</v>
      </c>
      <c r="E49" s="639">
        <f>transport!D58</f>
        <v>0</v>
      </c>
      <c r="F49" s="639">
        <f>transport!E58</f>
        <v>0</v>
      </c>
      <c r="G49" s="639">
        <f>transport!F58</f>
        <v>0</v>
      </c>
      <c r="H49" s="639">
        <f>transport!G58</f>
        <v>360.22208131246106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652.05394187774652</v>
      </c>
    </row>
    <row r="50" spans="1:18">
      <c r="A50" s="769" t="s">
        <v>296</v>
      </c>
      <c r="B50" s="779"/>
      <c r="C50" s="948">
        <f ca="1">transport!B18</f>
        <v>0.88616266245941955</v>
      </c>
      <c r="D50" s="948">
        <f>transport!C18</f>
        <v>0</v>
      </c>
      <c r="E50" s="948">
        <f>transport!D18</f>
        <v>0.9414006494419741</v>
      </c>
      <c r="F50" s="948">
        <f>transport!E18</f>
        <v>70.11065565626258</v>
      </c>
      <c r="G50" s="948">
        <f>transport!F18</f>
        <v>0</v>
      </c>
      <c r="H50" s="948">
        <f>transport!G18</f>
        <v>22159.926639911264</v>
      </c>
      <c r="I50" s="948">
        <f>transport!H18</f>
        <v>3000.1514659928612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25232.016324872289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292.71802322774488</v>
      </c>
      <c r="D52" s="672">
        <f t="shared" ref="D52:Q52" ca="1" si="6">SUM(D48:D51)</f>
        <v>0</v>
      </c>
      <c r="E52" s="672">
        <f t="shared" si="6"/>
        <v>0.9414006494419741</v>
      </c>
      <c r="F52" s="672">
        <f t="shared" si="6"/>
        <v>70.11065565626258</v>
      </c>
      <c r="G52" s="672">
        <f t="shared" si="6"/>
        <v>0</v>
      </c>
      <c r="H52" s="672">
        <f t="shared" si="6"/>
        <v>22520.148721223726</v>
      </c>
      <c r="I52" s="672">
        <f t="shared" si="6"/>
        <v>3000.1514659928612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25884.070266750037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253.47543934292747</v>
      </c>
      <c r="D54" s="948">
        <f ca="1">+landbouw!C12</f>
        <v>0.8402521008403363</v>
      </c>
      <c r="E54" s="948">
        <f>+landbouw!D12</f>
        <v>42.930332971926909</v>
      </c>
      <c r="F54" s="948">
        <f>+landbouw!E12</f>
        <v>2.6269409441046272</v>
      </c>
      <c r="G54" s="948">
        <f>+landbouw!F12</f>
        <v>1043.8812381770379</v>
      </c>
      <c r="H54" s="948">
        <f>+landbouw!G12</f>
        <v>0</v>
      </c>
      <c r="I54" s="948">
        <f>+landbouw!H12</f>
        <v>0</v>
      </c>
      <c r="J54" s="948">
        <f>+landbouw!I12</f>
        <v>0</v>
      </c>
      <c r="K54" s="948">
        <f>+landbouw!J12</f>
        <v>41.388629409557097</v>
      </c>
      <c r="L54" s="948">
        <f>+landbouw!K12</f>
        <v>0</v>
      </c>
      <c r="M54" s="948">
        <f>+landbouw!L12</f>
        <v>0</v>
      </c>
      <c r="N54" s="948">
        <f>+landbouw!M12</f>
        <v>0</v>
      </c>
      <c r="O54" s="948">
        <f>+landbouw!N12</f>
        <v>0</v>
      </c>
      <c r="P54" s="948">
        <f>+landbouw!O12</f>
        <v>0</v>
      </c>
      <c r="Q54" s="949">
        <f>+landbouw!P12</f>
        <v>0</v>
      </c>
      <c r="R54" s="671">
        <f ca="1">SUM(C54:Q54)</f>
        <v>1385.1428329463943</v>
      </c>
    </row>
    <row r="55" spans="1:18" ht="15" thickBot="1">
      <c r="A55" s="769" t="s">
        <v>847</v>
      </c>
      <c r="B55" s="779"/>
      <c r="C55" s="948">
        <f ca="1">C25*'EF ele_warmte'!B12</f>
        <v>1300.8334312839229</v>
      </c>
      <c r="D55" s="948"/>
      <c r="E55" s="948">
        <f>E25*EF_CO2_aardgas</f>
        <v>1481.5479735378365</v>
      </c>
      <c r="F55" s="948"/>
      <c r="G55" s="948"/>
      <c r="H55" s="948"/>
      <c r="I55" s="948"/>
      <c r="J55" s="948"/>
      <c r="K55" s="948"/>
      <c r="L55" s="948"/>
      <c r="M55" s="948"/>
      <c r="N55" s="948"/>
      <c r="O55" s="948"/>
      <c r="P55" s="948"/>
      <c r="Q55" s="949"/>
      <c r="R55" s="671">
        <f ca="1">SUM(C55:Q55)</f>
        <v>2782.3814048217591</v>
      </c>
    </row>
    <row r="56" spans="1:18" ht="15.75" thickBot="1">
      <c r="A56" s="767" t="s">
        <v>848</v>
      </c>
      <c r="B56" s="780"/>
      <c r="C56" s="672">
        <f ca="1">SUM(C54:C55)</f>
        <v>1554.3088706268504</v>
      </c>
      <c r="D56" s="672">
        <f t="shared" ref="D56:Q56" ca="1" si="7">SUM(D54:D55)</f>
        <v>0.8402521008403363</v>
      </c>
      <c r="E56" s="672">
        <f t="shared" si="7"/>
        <v>1524.4783065097633</v>
      </c>
      <c r="F56" s="672">
        <f t="shared" si="7"/>
        <v>2.6269409441046272</v>
      </c>
      <c r="G56" s="672">
        <f t="shared" si="7"/>
        <v>1043.8812381770379</v>
      </c>
      <c r="H56" s="672">
        <f t="shared" si="7"/>
        <v>0</v>
      </c>
      <c r="I56" s="672">
        <f t="shared" si="7"/>
        <v>0</v>
      </c>
      <c r="J56" s="672">
        <f t="shared" si="7"/>
        <v>0</v>
      </c>
      <c r="K56" s="672">
        <f t="shared" si="7"/>
        <v>41.388629409557097</v>
      </c>
      <c r="L56" s="672">
        <f t="shared" si="7"/>
        <v>0</v>
      </c>
      <c r="M56" s="672">
        <f t="shared" si="7"/>
        <v>0</v>
      </c>
      <c r="N56" s="672">
        <f t="shared" si="7"/>
        <v>0</v>
      </c>
      <c r="O56" s="672">
        <f t="shared" si="7"/>
        <v>0</v>
      </c>
      <c r="P56" s="672">
        <f t="shared" si="7"/>
        <v>0</v>
      </c>
      <c r="Q56" s="673">
        <f t="shared" si="7"/>
        <v>0</v>
      </c>
      <c r="R56" s="674">
        <f ca="1">SUM(R54:R55)</f>
        <v>4167.5242377681534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27786.242375276135</v>
      </c>
      <c r="D61" s="680">
        <f t="shared" ref="D61:Q61" ca="1" si="8">D46+D52+D56</f>
        <v>0.8402521008403363</v>
      </c>
      <c r="E61" s="680">
        <f t="shared" ca="1" si="8"/>
        <v>44914.829058588359</v>
      </c>
      <c r="F61" s="680">
        <f t="shared" si="8"/>
        <v>271.19392382125761</v>
      </c>
      <c r="G61" s="680">
        <f t="shared" ca="1" si="8"/>
        <v>4212.4851991797941</v>
      </c>
      <c r="H61" s="680">
        <f t="shared" si="8"/>
        <v>22520.148721223726</v>
      </c>
      <c r="I61" s="680">
        <f t="shared" si="8"/>
        <v>3000.1514659928612</v>
      </c>
      <c r="J61" s="680">
        <f t="shared" si="8"/>
        <v>0</v>
      </c>
      <c r="K61" s="680">
        <f t="shared" si="8"/>
        <v>42.572489218694855</v>
      </c>
      <c r="L61" s="680">
        <f t="shared" si="8"/>
        <v>0</v>
      </c>
      <c r="M61" s="680">
        <f t="shared" ca="1" si="8"/>
        <v>0</v>
      </c>
      <c r="N61" s="680">
        <f t="shared" si="8"/>
        <v>0</v>
      </c>
      <c r="O61" s="680">
        <f t="shared" ca="1" si="8"/>
        <v>0</v>
      </c>
      <c r="P61" s="680">
        <f t="shared" si="8"/>
        <v>0</v>
      </c>
      <c r="Q61" s="680">
        <f t="shared" si="8"/>
        <v>0</v>
      </c>
      <c r="R61" s="680">
        <f ca="1">R46+R52+R56</f>
        <v>102748.46348540166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0.21630001068743052</v>
      </c>
      <c r="D63" s="724">
        <f t="shared" ca="1" si="9"/>
        <v>0.23764705882352949</v>
      </c>
      <c r="E63" s="950">
        <f t="shared" ca="1" si="9"/>
        <v>0.20200000000000001</v>
      </c>
      <c r="F63" s="724">
        <f t="shared" si="9"/>
        <v>0.22699999999999995</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2732.1686953477242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2.4749999999999996</v>
      </c>
      <c r="D76" s="960">
        <f>'lokale energieproductie'!C8</f>
        <v>2.9117647058823533</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0.58817647058823541</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2732.1686953477242</v>
      </c>
      <c r="C78" s="695">
        <f>SUM(C72:C77)</f>
        <v>2.4749999999999996</v>
      </c>
      <c r="D78" s="696">
        <f t="shared" ref="D78:H78" si="10">SUM(D76:D77)</f>
        <v>2.9117647058823533</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0.58817647058823541</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3.5357142857142851</v>
      </c>
      <c r="D87" s="717">
        <f>'lokale energieproductie'!C17</f>
        <v>4.1596638655462188</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0.8402521008403363</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3.5357142857142851</v>
      </c>
      <c r="D90" s="695">
        <f t="shared" ref="D90:H90" si="12">SUM(D87:D89)</f>
        <v>4.1596638655462188</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0.8402521008403363</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61824.211308943173</v>
      </c>
      <c r="C4" s="447">
        <f>huishoudens!C8</f>
        <v>0</v>
      </c>
      <c r="D4" s="447">
        <f>huishoudens!D8</f>
        <v>139131.73155508563</v>
      </c>
      <c r="E4" s="447">
        <f>huishoudens!E8</f>
        <v>0</v>
      </c>
      <c r="F4" s="447">
        <f>huishoudens!F8</f>
        <v>0</v>
      </c>
      <c r="G4" s="447">
        <f>huishoudens!G8</f>
        <v>0</v>
      </c>
      <c r="H4" s="447">
        <f>huishoudens!H8</f>
        <v>0</v>
      </c>
      <c r="I4" s="447">
        <f>huishoudens!I8</f>
        <v>0</v>
      </c>
      <c r="J4" s="447">
        <f>huishoudens!J8</f>
        <v>0</v>
      </c>
      <c r="K4" s="447">
        <f>huishoudens!K8</f>
        <v>0</v>
      </c>
      <c r="L4" s="447">
        <f>huishoudens!L8</f>
        <v>0</v>
      </c>
      <c r="M4" s="447">
        <f>huishoudens!M8</f>
        <v>0</v>
      </c>
      <c r="N4" s="447">
        <f>huishoudens!N8</f>
        <v>13820.03836128255</v>
      </c>
      <c r="O4" s="447">
        <f>huishoudens!O8</f>
        <v>100.05333333333334</v>
      </c>
      <c r="P4" s="448">
        <f>huishoudens!P8</f>
        <v>171.6</v>
      </c>
      <c r="Q4" s="449">
        <f>SUM(B4:P4)</f>
        <v>215047.6345586447</v>
      </c>
    </row>
    <row r="5" spans="1:17">
      <c r="A5" s="446" t="s">
        <v>149</v>
      </c>
      <c r="B5" s="447">
        <f ca="1">tertiair!B16</f>
        <v>51467.927074380292</v>
      </c>
      <c r="C5" s="447">
        <f ca="1">tertiair!C16</f>
        <v>0</v>
      </c>
      <c r="D5" s="447">
        <f ca="1">tertiair!D16</f>
        <v>71304.801117542534</v>
      </c>
      <c r="E5" s="447">
        <f>tertiair!E16</f>
        <v>849.38606839610497</v>
      </c>
      <c r="F5" s="447">
        <f ca="1">tertiair!F16</f>
        <v>10152.910255973322</v>
      </c>
      <c r="G5" s="447">
        <f>tertiair!G16</f>
        <v>0</v>
      </c>
      <c r="H5" s="447">
        <f>tertiair!H16</f>
        <v>0</v>
      </c>
      <c r="I5" s="447">
        <f>tertiair!I16</f>
        <v>0</v>
      </c>
      <c r="J5" s="447">
        <f>tertiair!J16</f>
        <v>0</v>
      </c>
      <c r="K5" s="447">
        <f>tertiair!K16</f>
        <v>0</v>
      </c>
      <c r="L5" s="447">
        <f ca="1">tertiair!L16</f>
        <v>0</v>
      </c>
      <c r="M5" s="447">
        <f>tertiair!M16</f>
        <v>0</v>
      </c>
      <c r="N5" s="447">
        <f ca="1">tertiair!N16</f>
        <v>3963.2002361130249</v>
      </c>
      <c r="O5" s="447">
        <f>tertiair!O16</f>
        <v>4.6900000000000004</v>
      </c>
      <c r="P5" s="448">
        <f>tertiair!P16</f>
        <v>38.133333333333333</v>
      </c>
      <c r="Q5" s="446">
        <f t="shared" ref="Q5:Q14" ca="1" si="0">SUM(B5:P5)</f>
        <v>137781.04808573861</v>
      </c>
    </row>
    <row r="6" spans="1:17">
      <c r="A6" s="446" t="s">
        <v>187</v>
      </c>
      <c r="B6" s="447">
        <f>'openbare verlichting'!B8</f>
        <v>3303.7530000000002</v>
      </c>
      <c r="C6" s="447"/>
      <c r="D6" s="447"/>
      <c r="E6" s="447"/>
      <c r="F6" s="447"/>
      <c r="G6" s="447"/>
      <c r="H6" s="447"/>
      <c r="I6" s="447"/>
      <c r="J6" s="447"/>
      <c r="K6" s="447"/>
      <c r="L6" s="447"/>
      <c r="M6" s="447"/>
      <c r="N6" s="447"/>
      <c r="O6" s="447"/>
      <c r="P6" s="448"/>
      <c r="Q6" s="446">
        <f t="shared" si="0"/>
        <v>3303.7530000000002</v>
      </c>
    </row>
    <row r="7" spans="1:17">
      <c r="A7" s="446" t="s">
        <v>105</v>
      </c>
      <c r="B7" s="447">
        <f>landbouw!B8</f>
        <v>1171.8697495083259</v>
      </c>
      <c r="C7" s="447">
        <f>landbouw!C8</f>
        <v>3.5357142857142851</v>
      </c>
      <c r="D7" s="447">
        <f>landbouw!D8</f>
        <v>212.5264008511233</v>
      </c>
      <c r="E7" s="447">
        <f>landbouw!E8</f>
        <v>11.572427066540207</v>
      </c>
      <c r="F7" s="447">
        <f>landbouw!F8</f>
        <v>3909.6675587154973</v>
      </c>
      <c r="G7" s="447">
        <f>landbouw!G8</f>
        <v>0</v>
      </c>
      <c r="H7" s="447">
        <f>landbouw!H8</f>
        <v>0</v>
      </c>
      <c r="I7" s="447">
        <f>landbouw!I8</f>
        <v>0</v>
      </c>
      <c r="J7" s="447">
        <f>landbouw!J8</f>
        <v>116.91703223038729</v>
      </c>
      <c r="K7" s="447">
        <f>landbouw!K8</f>
        <v>0</v>
      </c>
      <c r="L7" s="447">
        <f>landbouw!L8</f>
        <v>0</v>
      </c>
      <c r="M7" s="447">
        <f>landbouw!M8</f>
        <v>0</v>
      </c>
      <c r="N7" s="447">
        <f>landbouw!N8</f>
        <v>0</v>
      </c>
      <c r="O7" s="447">
        <f>landbouw!O8</f>
        <v>0</v>
      </c>
      <c r="P7" s="448">
        <f>landbouw!P8</f>
        <v>0</v>
      </c>
      <c r="Q7" s="446">
        <f t="shared" si="0"/>
        <v>5426.0888826575883</v>
      </c>
    </row>
    <row r="8" spans="1:17">
      <c r="A8" s="446" t="s">
        <v>640</v>
      </c>
      <c r="B8" s="447">
        <f>industrie!B18</f>
        <v>3326.5043622117305</v>
      </c>
      <c r="C8" s="447">
        <f>industrie!C18</f>
        <v>0</v>
      </c>
      <c r="D8" s="447">
        <f>industrie!D18</f>
        <v>4362.5235225656443</v>
      </c>
      <c r="E8" s="447">
        <f>industrie!E18</f>
        <v>24.87087971354455</v>
      </c>
      <c r="F8" s="447">
        <f>industrie!F18</f>
        <v>1714.5203095800716</v>
      </c>
      <c r="G8" s="447">
        <f>industrie!G18</f>
        <v>0</v>
      </c>
      <c r="H8" s="447">
        <f>industrie!H18</f>
        <v>0</v>
      </c>
      <c r="I8" s="447">
        <f>industrie!I18</f>
        <v>0</v>
      </c>
      <c r="J8" s="447">
        <f>industrie!J18</f>
        <v>3.3442367489767246</v>
      </c>
      <c r="K8" s="447">
        <f>industrie!K18</f>
        <v>0</v>
      </c>
      <c r="L8" s="447">
        <f>industrie!L18</f>
        <v>0</v>
      </c>
      <c r="M8" s="447">
        <f>industrie!M18</f>
        <v>0</v>
      </c>
      <c r="N8" s="447">
        <f>industrie!N18</f>
        <v>173.69281593806761</v>
      </c>
      <c r="O8" s="447">
        <f>industrie!O18</f>
        <v>0</v>
      </c>
      <c r="P8" s="448">
        <f>industrie!P18</f>
        <v>0</v>
      </c>
      <c r="Q8" s="446">
        <f t="shared" si="0"/>
        <v>9605.4561267580357</v>
      </c>
    </row>
    <row r="9" spans="1:17" s="452" customFormat="1">
      <c r="A9" s="450" t="s">
        <v>560</v>
      </c>
      <c r="B9" s="451">
        <f>transport!B14</f>
        <v>4.0969145569760963</v>
      </c>
      <c r="C9" s="451">
        <f>transport!C14</f>
        <v>0</v>
      </c>
      <c r="D9" s="451">
        <f>transport!D14</f>
        <v>4.660399254663238</v>
      </c>
      <c r="E9" s="451">
        <f>transport!E14</f>
        <v>308.85751390424042</v>
      </c>
      <c r="F9" s="451">
        <f>transport!F14</f>
        <v>0</v>
      </c>
      <c r="G9" s="451">
        <f>transport!G14</f>
        <v>82995.979924761283</v>
      </c>
      <c r="H9" s="451">
        <f>transport!H14</f>
        <v>12048.801068244422</v>
      </c>
      <c r="I9" s="451">
        <f>transport!I14</f>
        <v>0</v>
      </c>
      <c r="J9" s="451">
        <f>transport!J14</f>
        <v>0</v>
      </c>
      <c r="K9" s="451">
        <f>transport!K14</f>
        <v>0</v>
      </c>
      <c r="L9" s="451">
        <f>transport!L14</f>
        <v>0</v>
      </c>
      <c r="M9" s="451">
        <f>transport!M14</f>
        <v>4244.8595414879974</v>
      </c>
      <c r="N9" s="451">
        <f>transport!N14</f>
        <v>0</v>
      </c>
      <c r="O9" s="451">
        <f>transport!O14</f>
        <v>0</v>
      </c>
      <c r="P9" s="451">
        <f>transport!P14</f>
        <v>0</v>
      </c>
      <c r="Q9" s="450">
        <f>SUM(B9:P9)</f>
        <v>99607.255362209573</v>
      </c>
    </row>
    <row r="10" spans="1:17">
      <c r="A10" s="446" t="s">
        <v>550</v>
      </c>
      <c r="B10" s="447">
        <f>transport!B54</f>
        <v>1349.1994736283391</v>
      </c>
      <c r="C10" s="447">
        <f>transport!C54</f>
        <v>0</v>
      </c>
      <c r="D10" s="447">
        <f>transport!D54</f>
        <v>0</v>
      </c>
      <c r="E10" s="447">
        <f>transport!E54</f>
        <v>0</v>
      </c>
      <c r="F10" s="447">
        <f>transport!F54</f>
        <v>0</v>
      </c>
      <c r="G10" s="447">
        <f>transport!G54</f>
        <v>1349.146371956783</v>
      </c>
      <c r="H10" s="447">
        <f>transport!H54</f>
        <v>0</v>
      </c>
      <c r="I10" s="447">
        <f>transport!I54</f>
        <v>0</v>
      </c>
      <c r="J10" s="447">
        <f>transport!J54</f>
        <v>0</v>
      </c>
      <c r="K10" s="447">
        <f>transport!K54</f>
        <v>0</v>
      </c>
      <c r="L10" s="447">
        <f>transport!L54</f>
        <v>0</v>
      </c>
      <c r="M10" s="447">
        <f>transport!M54</f>
        <v>59.630832741690867</v>
      </c>
      <c r="N10" s="447">
        <f>transport!N54</f>
        <v>0</v>
      </c>
      <c r="O10" s="447">
        <f>transport!O54</f>
        <v>0</v>
      </c>
      <c r="P10" s="448">
        <f>transport!P54</f>
        <v>0</v>
      </c>
      <c r="Q10" s="446">
        <f t="shared" si="0"/>
        <v>2757.9766783268133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6014.0238881620908</v>
      </c>
      <c r="C14" s="454"/>
      <c r="D14" s="454">
        <f>'SEAP template'!E25</f>
        <v>7334.39590860315</v>
      </c>
      <c r="E14" s="454"/>
      <c r="F14" s="454"/>
      <c r="G14" s="454"/>
      <c r="H14" s="454"/>
      <c r="I14" s="454"/>
      <c r="J14" s="454"/>
      <c r="K14" s="454"/>
      <c r="L14" s="454"/>
      <c r="M14" s="454"/>
      <c r="N14" s="454"/>
      <c r="O14" s="454"/>
      <c r="P14" s="455"/>
      <c r="Q14" s="446">
        <f t="shared" si="0"/>
        <v>13348.41979676524</v>
      </c>
    </row>
    <row r="15" spans="1:17" s="459" customFormat="1">
      <c r="A15" s="456" t="s">
        <v>554</v>
      </c>
      <c r="B15" s="457">
        <f ca="1">SUM(B4:B14)</f>
        <v>128461.58577139094</v>
      </c>
      <c r="C15" s="457">
        <f t="shared" ref="C15:Q15" ca="1" si="1">SUM(C4:C14)</f>
        <v>3.5357142857142851</v>
      </c>
      <c r="D15" s="457">
        <f t="shared" ca="1" si="1"/>
        <v>222350.63890390276</v>
      </c>
      <c r="E15" s="457">
        <f t="shared" si="1"/>
        <v>1194.6868890804301</v>
      </c>
      <c r="F15" s="457">
        <f t="shared" ca="1" si="1"/>
        <v>15777.09812426889</v>
      </c>
      <c r="G15" s="457">
        <f t="shared" si="1"/>
        <v>84345.126296718066</v>
      </c>
      <c r="H15" s="457">
        <f t="shared" si="1"/>
        <v>12048.801068244422</v>
      </c>
      <c r="I15" s="457">
        <f t="shared" si="1"/>
        <v>0</v>
      </c>
      <c r="J15" s="457">
        <f t="shared" si="1"/>
        <v>120.26126897936402</v>
      </c>
      <c r="K15" s="457">
        <f t="shared" si="1"/>
        <v>0</v>
      </c>
      <c r="L15" s="457">
        <f t="shared" ca="1" si="1"/>
        <v>0</v>
      </c>
      <c r="M15" s="457">
        <f t="shared" si="1"/>
        <v>4304.4903742296883</v>
      </c>
      <c r="N15" s="457">
        <f t="shared" ca="1" si="1"/>
        <v>17956.931413333641</v>
      </c>
      <c r="O15" s="457">
        <f t="shared" si="1"/>
        <v>104.74333333333334</v>
      </c>
      <c r="P15" s="457">
        <f t="shared" si="1"/>
        <v>209.73333333333332</v>
      </c>
      <c r="Q15" s="457">
        <f t="shared" ca="1" si="1"/>
        <v>486877.63249110052</v>
      </c>
    </row>
    <row r="17" spans="1:17">
      <c r="A17" s="460" t="s">
        <v>555</v>
      </c>
      <c r="B17" s="729">
        <f ca="1">huishoudens!B10</f>
        <v>0.21630001068743057</v>
      </c>
      <c r="C17" s="729">
        <f ca="1">huishoudens!C10</f>
        <v>0.23764705882352949</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13372.577566866374</v>
      </c>
      <c r="C22" s="447">
        <f t="shared" ref="C22:C32" ca="1" si="3">C4*$C$17</f>
        <v>0</v>
      </c>
      <c r="D22" s="447">
        <f t="shared" ref="D22:D32" si="4">D4*$D$17</f>
        <v>28104.609774127301</v>
      </c>
      <c r="E22" s="447">
        <f t="shared" ref="E22:E32" si="5">E4*$E$17</f>
        <v>0</v>
      </c>
      <c r="F22" s="447">
        <f t="shared" ref="F22:F32" si="6">F4*$F$17</f>
        <v>0</v>
      </c>
      <c r="G22" s="447">
        <f t="shared" ref="G22:G32" si="7">G4*$G$17</f>
        <v>0</v>
      </c>
      <c r="H22" s="447">
        <f t="shared" ref="H22:H32" si="8">H4*$H$17</f>
        <v>0</v>
      </c>
      <c r="I22" s="447">
        <f t="shared" ref="I22:I32" si="9">I4*$I$17</f>
        <v>0</v>
      </c>
      <c r="J22" s="447">
        <f t="shared" ref="J22:J32" si="10">J4*$J$17</f>
        <v>0</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41477.187340993674</v>
      </c>
    </row>
    <row r="23" spans="1:17">
      <c r="A23" s="446" t="s">
        <v>149</v>
      </c>
      <c r="B23" s="447">
        <f t="shared" ca="1" si="2"/>
        <v>11132.513176248354</v>
      </c>
      <c r="C23" s="447">
        <f t="shared" ca="1" si="3"/>
        <v>0</v>
      </c>
      <c r="D23" s="447">
        <f t="shared" ca="1" si="4"/>
        <v>14403.569825743592</v>
      </c>
      <c r="E23" s="447">
        <f t="shared" si="5"/>
        <v>192.81063752591584</v>
      </c>
      <c r="F23" s="447">
        <f t="shared" ca="1" si="6"/>
        <v>2710.8270383448771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28439.720677862737</v>
      </c>
    </row>
    <row r="24" spans="1:17">
      <c r="A24" s="446" t="s">
        <v>187</v>
      </c>
      <c r="B24" s="447">
        <f t="shared" ca="1" si="2"/>
        <v>714.60180920863081</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714.60180920863081</v>
      </c>
    </row>
    <row r="25" spans="1:17">
      <c r="A25" s="446" t="s">
        <v>105</v>
      </c>
      <c r="B25" s="447">
        <f t="shared" ca="1" si="2"/>
        <v>253.47543934292747</v>
      </c>
      <c r="C25" s="447">
        <f t="shared" ca="1" si="3"/>
        <v>0.8402521008403363</v>
      </c>
      <c r="D25" s="447">
        <f t="shared" si="4"/>
        <v>42.930332971926909</v>
      </c>
      <c r="E25" s="447">
        <f t="shared" si="5"/>
        <v>2.6269409441046272</v>
      </c>
      <c r="F25" s="447">
        <f t="shared" si="6"/>
        <v>1043.8812381770379</v>
      </c>
      <c r="G25" s="447">
        <f t="shared" si="7"/>
        <v>0</v>
      </c>
      <c r="H25" s="447">
        <f t="shared" si="8"/>
        <v>0</v>
      </c>
      <c r="I25" s="447">
        <f t="shared" si="9"/>
        <v>0</v>
      </c>
      <c r="J25" s="447">
        <f t="shared" si="10"/>
        <v>41.388629409557097</v>
      </c>
      <c r="K25" s="447">
        <f t="shared" si="11"/>
        <v>0</v>
      </c>
      <c r="L25" s="447">
        <f t="shared" si="12"/>
        <v>0</v>
      </c>
      <c r="M25" s="447">
        <f t="shared" si="13"/>
        <v>0</v>
      </c>
      <c r="N25" s="447">
        <f t="shared" si="14"/>
        <v>0</v>
      </c>
      <c r="O25" s="447">
        <f t="shared" si="15"/>
        <v>0</v>
      </c>
      <c r="P25" s="448">
        <f t="shared" si="16"/>
        <v>0</v>
      </c>
      <c r="Q25" s="446">
        <f t="shared" ca="1" si="17"/>
        <v>1385.1428329463943</v>
      </c>
    </row>
    <row r="26" spans="1:17">
      <c r="A26" s="446" t="s">
        <v>640</v>
      </c>
      <c r="B26" s="447">
        <f t="shared" ca="1" si="2"/>
        <v>719.52292909818175</v>
      </c>
      <c r="C26" s="447">
        <f t="shared" ca="1" si="3"/>
        <v>0</v>
      </c>
      <c r="D26" s="447">
        <f t="shared" si="4"/>
        <v>881.2297515582602</v>
      </c>
      <c r="E26" s="447">
        <f t="shared" si="5"/>
        <v>5.6456896949746129</v>
      </c>
      <c r="F26" s="447">
        <f t="shared" si="6"/>
        <v>457.77692265787914</v>
      </c>
      <c r="G26" s="447">
        <f t="shared" si="7"/>
        <v>0</v>
      </c>
      <c r="H26" s="447">
        <f t="shared" si="8"/>
        <v>0</v>
      </c>
      <c r="I26" s="447">
        <f t="shared" si="9"/>
        <v>0</v>
      </c>
      <c r="J26" s="447">
        <f t="shared" si="10"/>
        <v>1.1838598091377606</v>
      </c>
      <c r="K26" s="447">
        <f t="shared" si="11"/>
        <v>0</v>
      </c>
      <c r="L26" s="447">
        <f t="shared" si="12"/>
        <v>0</v>
      </c>
      <c r="M26" s="447">
        <f t="shared" si="13"/>
        <v>0</v>
      </c>
      <c r="N26" s="447">
        <f t="shared" si="14"/>
        <v>0</v>
      </c>
      <c r="O26" s="447">
        <f t="shared" si="15"/>
        <v>0</v>
      </c>
      <c r="P26" s="448">
        <f t="shared" si="16"/>
        <v>0</v>
      </c>
      <c r="Q26" s="446">
        <f t="shared" ca="1" si="17"/>
        <v>2065.3591528184334</v>
      </c>
    </row>
    <row r="27" spans="1:17" s="452" customFormat="1">
      <c r="A27" s="450" t="s">
        <v>560</v>
      </c>
      <c r="B27" s="723">
        <f t="shared" ca="1" si="2"/>
        <v>0.88616266245941955</v>
      </c>
      <c r="C27" s="451">
        <f t="shared" ca="1" si="3"/>
        <v>0</v>
      </c>
      <c r="D27" s="451">
        <f t="shared" si="4"/>
        <v>0.9414006494419741</v>
      </c>
      <c r="E27" s="451">
        <f t="shared" si="5"/>
        <v>70.11065565626258</v>
      </c>
      <c r="F27" s="451">
        <f t="shared" si="6"/>
        <v>0</v>
      </c>
      <c r="G27" s="451">
        <f t="shared" si="7"/>
        <v>22159.926639911264</v>
      </c>
      <c r="H27" s="451">
        <f t="shared" si="8"/>
        <v>3000.1514659928612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25232.016324872289</v>
      </c>
    </row>
    <row r="28" spans="1:17">
      <c r="A28" s="446" t="s">
        <v>550</v>
      </c>
      <c r="B28" s="447">
        <f t="shared" ca="1" si="2"/>
        <v>291.83186056528547</v>
      </c>
      <c r="C28" s="447">
        <f t="shared" ca="1" si="3"/>
        <v>0</v>
      </c>
      <c r="D28" s="447">
        <f t="shared" si="4"/>
        <v>0</v>
      </c>
      <c r="E28" s="447">
        <f t="shared" si="5"/>
        <v>0</v>
      </c>
      <c r="F28" s="447">
        <f t="shared" si="6"/>
        <v>0</v>
      </c>
      <c r="G28" s="447">
        <f t="shared" si="7"/>
        <v>360.22208131246106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652.05394187774652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1300.8334312839229</v>
      </c>
      <c r="C32" s="447">
        <f t="shared" ca="1" si="3"/>
        <v>0</v>
      </c>
      <c r="D32" s="447">
        <f t="shared" si="4"/>
        <v>1481.5479735378365</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2782.3814048217591</v>
      </c>
    </row>
    <row r="33" spans="1:17" s="459" customFormat="1">
      <c r="A33" s="456" t="s">
        <v>554</v>
      </c>
      <c r="B33" s="457">
        <f ca="1">SUM(B22:B32)</f>
        <v>27786.242375276135</v>
      </c>
      <c r="C33" s="457">
        <f t="shared" ref="C33:Q33" ca="1" si="18">SUM(C22:C32)</f>
        <v>0.8402521008403363</v>
      </c>
      <c r="D33" s="457">
        <f t="shared" ca="1" si="18"/>
        <v>44914.829058588359</v>
      </c>
      <c r="E33" s="457">
        <f t="shared" si="18"/>
        <v>271.19392382125767</v>
      </c>
      <c r="F33" s="457">
        <f t="shared" ca="1" si="18"/>
        <v>4212.4851991797941</v>
      </c>
      <c r="G33" s="457">
        <f t="shared" si="18"/>
        <v>22520.148721223726</v>
      </c>
      <c r="H33" s="457">
        <f t="shared" si="18"/>
        <v>3000.1514659928612</v>
      </c>
      <c r="I33" s="457">
        <f t="shared" si="18"/>
        <v>0</v>
      </c>
      <c r="J33" s="457">
        <f t="shared" si="18"/>
        <v>42.572489218694855</v>
      </c>
      <c r="K33" s="457">
        <f t="shared" si="18"/>
        <v>0</v>
      </c>
      <c r="L33" s="457">
        <f t="shared" ca="1" si="18"/>
        <v>0</v>
      </c>
      <c r="M33" s="457">
        <f t="shared" si="18"/>
        <v>0</v>
      </c>
      <c r="N33" s="457">
        <f t="shared" ca="1" si="18"/>
        <v>0</v>
      </c>
      <c r="O33" s="457">
        <f t="shared" si="18"/>
        <v>0</v>
      </c>
      <c r="P33" s="457">
        <f t="shared" si="18"/>
        <v>0</v>
      </c>
      <c r="Q33" s="457">
        <f t="shared" ca="1" si="18"/>
        <v>102748.46348540166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2732.1686953477242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2.4749999999999996</v>
      </c>
      <c r="D8" s="977">
        <f>'SEAP template'!D76</f>
        <v>2.9117647058823533</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0.58817647058823541</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2732.1686953477242</v>
      </c>
      <c r="C10" s="981">
        <f>SUM(C4:C9)</f>
        <v>2.4749999999999996</v>
      </c>
      <c r="D10" s="981">
        <f t="shared" ref="D10:H10" si="0">SUM(D8:D9)</f>
        <v>2.9117647058823533</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0.58817647058823541</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0.21630001068743057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3.5357142857142851</v>
      </c>
      <c r="D17" s="978">
        <f>'SEAP template'!D87</f>
        <v>4.1596638655462188</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0.8402521008403363</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3.5357142857142851</v>
      </c>
      <c r="D20" s="981">
        <f t="shared" ref="D20:H20" si="2">SUM(D17:D19)</f>
        <v>4.1596638655462188</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0.8402521008403363</v>
      </c>
    </row>
    <row r="22" spans="1:16">
      <c r="A22" s="460" t="s">
        <v>867</v>
      </c>
      <c r="B22" s="729" t="s">
        <v>861</v>
      </c>
      <c r="C22" s="729">
        <f ca="1">'EF ele_warmte'!B22</f>
        <v>0.23764705882352949</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0.21630001068743057</v>
      </c>
      <c r="C17" s="496">
        <f ca="1">'EF ele_warmte'!B22</f>
        <v>0.23764705882352949</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2022-07-26T12:32:36Z</dcterms:modified>
</cp:coreProperties>
</file>