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0F57056C-115F-4769-B530-58F55FE12EF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8" i="18"/>
  <c r="E9"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Q38" i="18"/>
  <c r="R38" i="18"/>
  <c r="J9" i="18"/>
  <c r="U38" i="18"/>
  <c r="T38" i="18"/>
  <c r="I9" i="18"/>
  <c r="P38" i="18"/>
  <c r="C9" i="18"/>
  <c r="O38" i="18"/>
  <c r="N38" i="18"/>
  <c r="B9" i="18"/>
  <c r="M38"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7" i="18"/>
  <c r="F51" i="18"/>
  <c r="F20" i="18"/>
  <c r="B17" i="18"/>
  <c r="C47" i="18"/>
  <c r="B50" i="18"/>
  <c r="C8" i="18"/>
  <c r="G20" i="18"/>
  <c r="K20" i="18"/>
  <c r="B10" i="18"/>
  <c r="O9" i="18"/>
  <c r="O19" i="18"/>
  <c r="O18" i="18"/>
  <c r="B20" i="18"/>
  <c r="I50" i="18"/>
  <c r="H8" i="18"/>
  <c r="H10" i="18"/>
  <c r="E50" i="18"/>
  <c r="E8" i="18"/>
  <c r="E10" i="18"/>
  <c r="D50" i="18"/>
  <c r="F50" i="18"/>
  <c r="N6" i="17"/>
  <c r="L6" i="17"/>
  <c r="F6" i="17"/>
  <c r="D6" i="17"/>
  <c r="C6" i="17"/>
  <c r="N16" i="16"/>
  <c r="L16" i="16"/>
  <c r="F16" i="16"/>
  <c r="D16" i="16"/>
  <c r="C16" i="16"/>
  <c r="B16" i="16"/>
  <c r="B13" i="15"/>
  <c r="H50" i="18"/>
  <c r="C50" i="18"/>
  <c r="J8" i="18"/>
  <c r="C51" i="18"/>
  <c r="H51" i="18"/>
  <c r="G51" i="18"/>
  <c r="I17" i="18"/>
  <c r="I51" i="18"/>
  <c r="H17" i="18"/>
  <c r="H20" i="18"/>
  <c r="D51" i="18"/>
  <c r="E51" i="18"/>
  <c r="E17" i="18"/>
  <c r="E20" i="18"/>
  <c r="B51" i="18"/>
  <c r="C17" i="18"/>
  <c r="C20" i="18"/>
  <c r="G50"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<sst xmlns="http://schemas.openxmlformats.org/spreadsheetml/2006/main" count="2512" uniqueCount="951">
  <si>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</si>
  <si>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</si>
  <si>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</si>
  <si>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</si>
  <si>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</si>
  <si>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</si>
  <si>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</si>
  <si>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</si>
  <si>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</si>
  <si>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</si>
  <si>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</si>
  <si>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</si>
  <si>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</si>
  <si>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</si>
  <si>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</si>
  <si>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</si>
  <si>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</si>
  <si>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</si>
  <si>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</si>
  <si>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</si>
  <si>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</si>
  <si>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</si>
  <si>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</si>
  <si>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</si>
  <si>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</si>
  <si>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</si>
  <si>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</si>
  <si>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</si>
  <si>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</si>
  <si>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</si>
  <si>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</si>
  <si>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</si>
  <si>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</si>
  <si>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</si>
  <si>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</si>
  <si>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</si>
  <si>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</si>
  <si>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</si>
  <si>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</si>
  <si>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</si>
  <si>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</si>
  <si>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</si>
  <si>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</si>
  <si>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</si>
  <si>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</si>
  <si>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</si>
  <si>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</si>
  <si>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</si>
  <si>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</si>
  <si>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</si>
  <si>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</si>
  <si>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</si>
  <si>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</si>
  <si>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</si>
  <si>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</si>
  <si>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</si>
  <si>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</si>
  <si>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</si>
  <si>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</si>
  <si>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</si>
  <si>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</si>
  <si>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</si>
  <si>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</si>
  <si>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</si>
  <si>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</si>
  <si>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</si>
  <si>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</si>
  <si>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</si>
  <si>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</si>
  <si>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</si>
  <si>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</si>
  <si>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</si>
  <si>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</si>
  <si>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</si>
  <si>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</si>
  <si>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</si>
  <si>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</si>
  <si>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</si>
  <si>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</si>
  <si>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</si>
  <si>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</si>
  <si>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</si>
  <si>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</si>
  <si>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</si>
  <si>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</si>
  <si>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</si>
  <si>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</si>
  <si>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</si>
  <si>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</si>
  <si>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</si>
  <si>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</si>
  <si>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</si>
  <si>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</si>
  <si>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</si>
  <si>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</si>
  <si>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</si>
  <si>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</si>
  <si>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</si>
  <si>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</si>
  <si>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</si>
  <si>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</si>
  <si>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</si>
  <si>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</si>
  <si>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</si>
  <si>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</si>
  <si>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</si>
  <si>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</si>
  <si>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</si>
  <si>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</si>
  <si>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</si>
  <si>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</si>
  <si>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</si>
  <si>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</si>
  <si>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</si>
  <si>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</si>
  <si>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</si>
  <si>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</si>
  <si>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</si>
  <si>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</si>
  <si>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</si>
  <si>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</si>
  <si>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</si>
  <si>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</si>
  <si>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</si>
  <si>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</si>
  <si>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</si>
  <si>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</si>
  <si>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</si>
  <si>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</si>
  <si>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</si>
  <si>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</si>
  <si>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</si>
  <si>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</si>
  <si>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</si>
  <si>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</si>
  <si>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</si>
  <si>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</si>
  <si>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</si>
  <si>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</si>
  <si>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</si>
  <si>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</si>
  <si>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</si>
  <si>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</si>
  <si>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</si>
  <si>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</si>
  <si>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</si>
  <si>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</si>
  <si>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</si>
  <si>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</si>
  <si>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</si>
  <si>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</si>
  <si>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</si>
  <si>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</si>
  <si>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</si>
  <si>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</si>
  <si>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</si>
  <si>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</si>
  <si>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</si>
  <si>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</si>
  <si>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</si>
  <si>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</si>
  <si>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</si>
  <si>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</si>
  <si>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</si>
  <si>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</si>
  <si>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</si>
  <si>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</si>
  <si>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</si>
  <si>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</si>
  <si>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</si>
  <si>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</si>
  <si>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</si>
  <si>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</si>
  <si>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</si>
  <si>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</si>
  <si>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</si>
  <si>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</si>
  <si>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</si>
  <si>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</si>
  <si>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</si>
  <si>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</si>
  <si>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</si>
  <si>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</si>
  <si>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</si>
  <si>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</si>
  <si>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</si>
  <si>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</si>
  <si>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</si>
  <si>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</si>
  <si>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</si>
  <si>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</si>
  <si>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</si>
  <si>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</si>
  <si>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</si>
  <si>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</si>
  <si>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</si>
  <si>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</si>
  <si>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</si>
  <si>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</si>
  <si>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</si>
  <si>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</si>
  <si>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</si>
  <si>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</si>
  <si>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</si>
  <si>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</si>
  <si>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</si>
  <si>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</si>
  <si>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</si>
  <si>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</si>
  <si>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</si>
  <si>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</si>
  <si>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</si>
  <si>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</si>
  <si>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</si>
  <si>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</si>
  <si>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</si>
  <si>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</si>
  <si>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</si>
  <si>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</si>
  <si>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</si>
  <si>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</si>
  <si>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</si>
  <si>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</si>
  <si>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</si>
  <si>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</si>
  <si>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</si>
  <si>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</si>
  <si>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</si>
  <si>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</si>
  <si>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</si>
  <si>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</si>
  <si>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</si>
  <si>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</si>
  <si>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</si>
  <si>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</si>
  <si>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</si>
  <si>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</si>
  <si>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</si>
  <si>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</si>
  <si>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</si>
  <si>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</si>
  <si>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</si>
  <si>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</si>
  <si>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</si>
  <si>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</si>
  <si>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</si>
  <si>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</si>
  <si>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</si>
  <si>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</si>
  <si>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</si>
  <si>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</si>
  <si>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</si>
  <si>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</si>
  <si>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</si>
  <si>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</si>
  <si>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</si>
  <si>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</si>
  <si>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</si>
  <si>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</si>
  <si>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</si>
  <si>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</si>
  <si>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</si>
  <si>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</si>
  <si>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</si>
  <si>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</si>
  <si>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</si>
  <si>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</si>
  <si>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</si>
  <si>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</si>
  <si>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</si>
  <si>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</si>
  <si>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</si>
  <si>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</si>
  <si>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</si>
  <si>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</si>
  <si>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</si>
  <si>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</si>
  <si>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</si>
  <si>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</si>
  <si>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</si>
  <si>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</si>
  <si>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</si>
  <si>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</si>
  <si>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</si>
  <si>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</si>
  <si>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</si>
  <si>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</si>
  <si>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</si>
  <si>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</si>
  <si>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</si>
  <si>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</si>
  <si>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</si>
  <si>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</si>
  <si>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</si>
  <si>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</si>
  <si>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</si>
  <si>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</si>
  <si>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</si>
  <si>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</si>
  <si>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</si>
  <si>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</si>
  <si>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</si>
  <si>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</si>
  <si>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</si>
  <si>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</si>
  <si>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</si>
  <si>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</si>
  <si>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</si>
  <si>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</si>
  <si>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</si>
  <si>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</si>
  <si>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</si>
  <si>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</si>
  <si>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</si>
  <si>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</si>
  <si>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</si>
  <si>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</si>
  <si>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</si>
  <si>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</si>
  <si>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</si>
  <si>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</si>
  <si>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</si>
  <si>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</si>
  <si>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</si>
  <si>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</si>
  <si>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</si>
  <si>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</si>
  <si>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</si>
  <si>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</si>
  <si>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</si>
  <si>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</si>
  <si>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</si>
  <si>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</si>
  <si>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</si>
  <si>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</si>
  <si>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</si>
  <si>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</si>
  <si>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</si>
  <si>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</si>
  <si>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</si>
  <si>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</si>
  <si>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</si>
  <si>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</si>
  <si>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</si>
  <si>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</si>
  <si>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</si>
  <si>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</si>
  <si>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</si>
  <si>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</si>
  <si>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</si>
  <si>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</si>
  <si>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</si>
  <si>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</si>
  <si>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</si>
  <si>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</si>
  <si>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</si>
  <si>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</si>
  <si>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</si>
  <si>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</si>
  <si>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</si>
  <si>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</si>
  <si>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</si>
  <si>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</si>
  <si>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</si>
  <si>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</si>
  <si>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</si>
  <si>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</si>
  <si>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</si>
  <si>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</si>
  <si>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</si>
  <si>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</si>
  <si>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</si>
  <si>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</si>
  <si>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</si>
  <si>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</si>
  <si>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</si>
  <si>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</si>
  <si>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</si>
  <si>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</si>
  <si>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</si>
  <si>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</si>
  <si>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</si>
  <si>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</si>
  <si>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</si>
  <si>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</si>
  <si>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</si>
  <si>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</si>
  <si>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</si>
  <si>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</si>
  <si>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</si>
  <si>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</si>
  <si>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</si>
  <si>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</si>
  <si>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</si>
  <si>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</si>
  <si>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</si>
  <si>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</si>
  <si>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</si>
  <si>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</si>
  <si>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</si>
  <si>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</si>
  <si>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</si>
  <si>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</si>
  <si>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</si>
  <si>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</si>
  <si>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</si>
  <si>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</si>
  <si>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</si>
  <si>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</si>
  <si>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</si>
  <si>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</si>
  <si>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</si>
  <si>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</si>
  <si>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</si>
  <si>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</si>
  <si>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</si>
  <si>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</si>
  <si>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</si>
  <si>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</si>
  <si>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</si>
  <si>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</si>
  <si>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</si>
  <si>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</si>
  <si>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</si>
  <si>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</si>
  <si>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</si>
  <si>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</si>
  <si>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</si>
  <si>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</si>
  <si>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</si>
  <si>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</si>
  <si>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</si>
  <si>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</si>
  <si>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</si>
  <si>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</si>
  <si>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</si>
  <si>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</si>
  <si>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</si>
  <si>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</si>
  <si>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</si>
  <si>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</si>
  <si>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</si>
  <si>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</si>
  <si>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</si>
  <si>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</si>
  <si>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</si>
  <si>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</si>
  <si>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</si>
  <si>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</si>
  <si>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</si>
  <si>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</si>
  <si>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</si>
  <si>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</si>
  <si>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</si>
  <si>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</si>
  <si>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</si>
  <si>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</si>
  <si>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</si>
  <si>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</si>
  <si>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</si>
  <si>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</si>
  <si>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</si>
  <si>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</si>
  <si>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</si>
  <si>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</si>
  <si>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</si>
  <si>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</si>
  <si>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</si>
  <si>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</si>
  <si>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</si>
  <si>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</si>
  <si>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</si>
  <si>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</si>
  <si>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</si>
  <si>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</si>
  <si>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</si>
  <si>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</si>
  <si>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</si>
  <si>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</si>
  <si>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</si>
  <si>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</si>
  <si>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</si>
  <si>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</si>
  <si>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</si>
  <si>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</si>
  <si>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</si>
  <si>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</si>
  <si>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</si>
  <si>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</si>
  <si>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</si>
  <si>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</si>
  <si>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</si>
  <si>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</si>
  <si>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</si>
  <si>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</si>
  <si>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</si>
  <si>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</si>
  <si>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</si>
  <si>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</si>
  <si>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</si>
  <si>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</si>
  <si>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</si>
  <si>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</si>
  <si>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</si>
  <si>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</si>
  <si>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</si>
  <si>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</si>
  <si>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</si>
  <si>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</si>
  <si>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</si>
  <si>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</si>
  <si>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</si>
  <si>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</si>
  <si>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</si>
  <si>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</si>
  <si>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</si>
  <si>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</si>
  <si>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</si>
  <si>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</si>
  <si>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</si>
  <si>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</si>
  <si>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</si>
  <si>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</si>
  <si>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</si>
  <si>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</si>
  <si>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</si>
  <si>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</si>
  <si>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</si>
  <si>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</si>
  <si>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</si>
  <si>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</si>
  <si>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</si>
  <si>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</si>
  <si>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</si>
  <si>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</si>
  <si>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</si>
  <si>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</si>
  <si>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</si>
  <si>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</si>
  <si>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</si>
  <si>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</si>
  <si>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</si>
  <si>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</si>
  <si>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</si>
  <si>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</si>
  <si>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</si>
  <si>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</si>
  <si>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</si>
  <si>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</si>
  <si>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</si>
  <si>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</si>
  <si>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</si>
  <si>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</si>
  <si>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</si>
  <si>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</si>
  <si>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</si>
  <si>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</si>
  <si>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</si>
  <si>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</si>
  <si>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</si>
  <si>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</si>
  <si>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</si>
  <si>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</si>
  <si>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</si>
  <si>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</si>
  <si>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</si>
  <si>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</si>
  <si>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</si>
  <si>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</si>
  <si>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</si>
  <si>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</si>
  <si>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</si>
  <si>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</si>
  <si>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</si>
  <si>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</si>
  <si>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</si>
  <si>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</si>
  <si>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</si>
  <si>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</si>
  <si>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</si>
  <si>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</si>
  <si>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</si>
  <si>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</si>
  <si>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</si>
  <si>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</si>
  <si>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</si>
  <si>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</si>
  <si>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</si>
  <si>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</si>
  <si>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</si>
  <si>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</si>
  <si>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</si>
  <si>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</si>
  <si>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</si>
  <si>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</si>
  <si>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</si>
  <si>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</si>
  <si>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</si>
  <si>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</si>
  <si>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</si>
  <si>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</si>
  <si>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</si>
  <si>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</si>
  <si>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</si>
  <si>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</si>
  <si>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</si>
  <si>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</si>
  <si>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</si>
  <si>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</si>
  <si>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</si>
  <si>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</si>
  <si>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</si>
  <si>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</si>
  <si>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</si>
  <si>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</si>
  <si>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</si>
  <si>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</si>
  <si>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</si>
  <si>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</si>
  <si>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</si>
  <si>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</si>
  <si>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</si>
  <si>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</si>
  <si>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</si>
  <si>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</si>
  <si>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</si>
  <si>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</si>
  <si>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</si>
  <si>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</si>
  <si>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</si>
  <si>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</si>
  <si>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</si>
  <si>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</si>
  <si>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</si>
  <si>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</si>
  <si>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</si>
  <si>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</si>
  <si>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</si>
  <si>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</si>
  <si>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</si>
  <si>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</si>
  <si>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</si>
  <si>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</si>
  <si>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</si>
  <si>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</si>
  <si>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</si>
  <si>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</si>
  <si>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</si>
  <si>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</si>
  <si>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</si>
  <si>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</si>
  <si>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</si>
  <si>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</si>
  <si>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</si>
  <si>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</si>
  <si>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</si>
  <si>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</si>
  <si>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</si>
  <si>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</si>
  <si>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</si>
  <si>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</si>
  <si>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</si>
  <si>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</si>
  <si>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</si>
  <si>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</si>
  <si>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</si>
  <si>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</si>
  <si>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</si>
  <si>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</si>
  <si>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</si>
  <si>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</si>
  <si>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</si>
  <si>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</si>
  <si>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</si>
  <si>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</si>
  <si>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</si>
  <si>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</si>
  <si>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</si>
  <si>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</si>
  <si>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</si>
  <si>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</si>
  <si>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</si>
  <si>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</si>
  <si>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</si>
  <si>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</si>
  <si>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</si>
  <si>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</si>
  <si>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</si>
  <si>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</si>
  <si>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</si>
  <si>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</si>
  <si>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</si>
  <si>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</si>
  <si>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</si>
  <si>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</si>
  <si>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</si>
  <si>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</si>
  <si>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</si>
  <si>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</si>
  <si>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</si>
  <si>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</si>
  <si>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</si>
  <si>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</si>
  <si>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</si>
  <si>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</si>
  <si>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</si>
  <si>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</si>
  <si>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</si>
  <si>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</si>
  <si>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</si>
  <si>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</si>
  <si>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</si>
  <si>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</si>
  <si>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</si>
  <si>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</si>
  <si>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</si>
  <si>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</si>
  <si>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</si>
  <si>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</si>
  <si>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</si>
  <si>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</si>
  <si>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</si>
  <si>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</si>
  <si>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</si>
  <si>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</si>
  <si>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</si>
  <si>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</si>
  <si>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</si>
  <si>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</si>
  <si>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</si>
  <si>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</si>
  <si>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</si>
  <si>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</si>
  <si>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</si>
  <si>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</si>
  <si>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</si>
  <si>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</si>
  <si>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</si>
  <si>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</si>
  <si>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</si>
  <si>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</si>
  <si>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</si>
  <si>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</si>
  <si>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</si>
  <si>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</si>
  <si>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</si>
  <si>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</si>
  <si>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</si>
  <si>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</si>
  <si>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</si>
  <si>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</si>
  <si>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</si>
  <si>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</si>
  <si>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</si>
  <si>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</si>
  <si>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</si>
  <si>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</si>
  <si>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</si>
  <si>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</si>
  <si>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</si>
  <si>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</si>
  <si>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</si>
  <si>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</si>
  <si>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</si>
  <si>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</si>
  <si>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</si>
  <si>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</si>
  <si>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</si>
  <si>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</si>
  <si>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</si>
  <si>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</si>
  <si>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</si>
  <si>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</si>
  <si>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</si>
  <si>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</si>
  <si>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</si>
  <si>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</si>
  <si>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</si>
  <si>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</si>
  <si>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</si>
  <si>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</si>
  <si>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</si>
  <si>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</si>
  <si>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</si>
  <si>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</si>
  <si>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</si>
  <si>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</si>
  <si>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</si>
  <si>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</si>
  <si>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</si>
  <si>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</si>
  <si>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</si>
  <si>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</si>
  <si>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</si>
  <si>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</si>
  <si>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</si>
  <si>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</si>
  <si>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</si>
  <si>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</si>
  <si>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</si>
  <si>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</si>
  <si>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</si>
  <si>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</si>
  <si>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</si>
  <si>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</si>
  <si>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</si>
  <si>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</si>
  <si>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</si>
  <si>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</si>
  <si>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</si>
  <si>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</si>
  <si>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</si>
  <si>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</si>
  <si>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</si>
  <si>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</si>
  <si>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</si>
  <si>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</si>
  <si>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</si>
  <si>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</si>
  <si>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</si>
  <si>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</si>
  <si>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</si>
  <si>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</si>
  <si>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</si>
  <si>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</si>
  <si>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</si>
  <si>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</si>
  <si>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</si>
  <si>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</si>
  <si>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</si>
  <si>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</si>
  <si>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</si>
  <si>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</si>
  <si>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</si>
  <si>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</si>
  <si>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</si>
  <si>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</si>
  <si>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</si>
  <si>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</si>
  <si>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</si>
  <si>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</si>
  <si>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</si>
  <si>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</si>
  <si>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</si>
  <si>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</si>
  <si>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</si>
  <si>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</si>
  <si>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</si>
  <si>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</si>
  <si>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</si>
  <si>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</si>
  <si>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</si>
  <si>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</si>
  <si>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</si>
  <si>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</si>
  <si>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</si>
  <si>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</si>
  <si>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</si>
  <si>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</si>
  <si>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</si>
  <si>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</si>
  <si>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</si>
  <si>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</si>
  <si>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</si>
  <si>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</si>
  <si>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</si>
  <si>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</si>
  <si>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</si>
  <si>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</si>
  <si>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</si>
  <si>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</si>
  <si>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</si>
  <si>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</si>
  <si>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</si>
  <si>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</si>
  <si>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</si>
  <si>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</si>
  <si>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</si>
  <si>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</si>
  <si>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</si>
  <si>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</si>
  <si>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</si>
  <si>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</si>
  <si>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</si>
  <si>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</si>
  <si>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</si>
  <si>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</si>
  <si>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</si>
  <si>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</si>
  <si>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</si>
  <si>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</si>
  <si>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</si>
  <si>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</si>
  <si>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</si>
  <si>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</si>
  <si>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</si>
  <si>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</si>
  <si>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</si>
  <si>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</si>
  <si>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</si>
  <si>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</si>
  <si>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</si>
  <si>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</si>
  <si>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</si>
  <si>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</si>
  <si>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</si>
  <si>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</si>
  <si>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</si>
  <si>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</si>
  <si>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</si>
  <si>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</si>
  <si>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</si>
  <si>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</si>
  <si>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</si>
  <si>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</si>
  <si>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</si>
  <si>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</si>
  <si>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</si>
  <si>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</si>
  <si>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</si>
  <si>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</si>
  <si>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</si>
  <si>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</si>
  <si>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</si>
  <si>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</si>
  <si>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</si>
  <si>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</si>
  <si>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</si>
  <si>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</si>
  <si>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</si>
  <si>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</si>
  <si>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</si>
  <si>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</si>
  <si>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</si>
  <si>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</si>
  <si>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</si>
  <si>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</si>
  <si>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32003</t>
  </si>
  <si>
    <t>DIKSMUIDE</t>
  </si>
  <si>
    <t>Paarden&amp;pony's 200 - 600 kg</t>
  </si>
  <si>
    <t>Paarden&amp;pony's &lt; 200 kg</t>
  </si>
  <si>
    <t>vloeibaar gas (MWh)</t>
  </si>
  <si>
    <t>interne verbrandingsmotor</t>
  </si>
  <si>
    <t>WKK interne verbrandinsgmotor (gas)</t>
  </si>
  <si>
    <t>Infrax West</t>
  </si>
  <si>
    <t>IMEWO</t>
  </si>
  <si>
    <t>biogas - hoofdzakelijk agrarische stromen</t>
  </si>
  <si>
    <t>niet WKK interne verbrandingsmotor (gas)</t>
  </si>
  <si>
    <t>biomassa uit land- of bosbouw</t>
  </si>
  <si>
    <t>niet WKK interne verbrandingsmotor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</si>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</sst>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A7B6A0D-DC01-46CB-A928-AA05AE345BE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32003</v>
      </c>
      <c r="B6" s="384"/>
      <c r="C6" s="385"/>
    </row>
    <row r="7" spans="1:7" s="382" customFormat="1" ht="15.75" customHeight="1">
      <c r="A7" s="386" t="str">
        <f>txtMunicipality</f>
        <v>DIKSMUIDE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0.19351922548209996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0.19351922548209996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6858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12366</v>
      </c>
      <c r="C14" s="327"/>
      <c r="D14" s="327"/>
      <c r="E14" s="327"/>
      <c r="F14" s="327"/>
    </row>
    <row r="15" spans="1:6">
      <c r="A15" s="1258" t="s">
        <v>177</v>
      </c>
      <c r="B15" s="1259">
        <v>173</v>
      </c>
      <c r="C15" s="327"/>
      <c r="D15" s="327"/>
      <c r="E15" s="327"/>
      <c r="F15" s="327"/>
    </row>
    <row r="16" spans="1:6">
      <c r="A16" s="1258" t="s">
        <v>6</v>
      </c>
      <c r="B16" s="1259">
        <v>6283</v>
      </c>
      <c r="C16" s="327"/>
      <c r="D16" s="327"/>
      <c r="E16" s="327"/>
      <c r="F16" s="327"/>
    </row>
    <row r="17" spans="1:6">
      <c r="A17" s="1258" t="s">
        <v>7</v>
      </c>
      <c r="B17" s="1259">
        <v>3458</v>
      </c>
      <c r="C17" s="327"/>
      <c r="D17" s="327"/>
      <c r="E17" s="327"/>
      <c r="F17" s="327"/>
    </row>
    <row r="18" spans="1:6">
      <c r="A18" s="1258" t="s">
        <v>8</v>
      </c>
      <c r="B18" s="1259">
        <v>5872</v>
      </c>
      <c r="C18" s="327"/>
      <c r="D18" s="327"/>
      <c r="E18" s="327"/>
      <c r="F18" s="327"/>
    </row>
    <row r="19" spans="1:6">
      <c r="A19" s="1258" t="s">
        <v>9</v>
      </c>
      <c r="B19" s="1259">
        <v>5807</v>
      </c>
      <c r="C19" s="327"/>
      <c r="D19" s="327"/>
      <c r="E19" s="327"/>
      <c r="F19" s="327"/>
    </row>
    <row r="20" spans="1:6">
      <c r="A20" s="1258" t="s">
        <v>10</v>
      </c>
      <c r="B20" s="1259">
        <v>4143</v>
      </c>
      <c r="C20" s="327"/>
      <c r="D20" s="327"/>
      <c r="E20" s="327"/>
      <c r="F20" s="327"/>
    </row>
    <row r="21" spans="1:6">
      <c r="A21" s="1258" t="s">
        <v>11</v>
      </c>
      <c r="B21" s="1259">
        <v>55032</v>
      </c>
      <c r="C21" s="327"/>
      <c r="D21" s="327"/>
      <c r="E21" s="327"/>
      <c r="F21" s="327"/>
    </row>
    <row r="22" spans="1:6">
      <c r="A22" s="1258" t="s">
        <v>12</v>
      </c>
      <c r="B22" s="1259">
        <v>106848</v>
      </c>
      <c r="C22" s="327"/>
      <c r="D22" s="327"/>
      <c r="E22" s="327"/>
      <c r="F22" s="327"/>
    </row>
    <row r="23" spans="1:6">
      <c r="A23" s="1258" t="s">
        <v>13</v>
      </c>
      <c r="B23" s="1259">
        <v>1736</v>
      </c>
      <c r="C23" s="327"/>
      <c r="D23" s="327"/>
      <c r="E23" s="327"/>
      <c r="F23" s="327"/>
    </row>
    <row r="24" spans="1:6">
      <c r="A24" s="1258" t="s">
        <v>14</v>
      </c>
      <c r="B24" s="1259">
        <v>107</v>
      </c>
      <c r="C24" s="327"/>
      <c r="D24" s="327"/>
      <c r="E24" s="327"/>
      <c r="F24" s="327"/>
    </row>
    <row r="25" spans="1:6">
      <c r="A25" s="1258" t="s">
        <v>15</v>
      </c>
      <c r="B25" s="1259">
        <v>12764</v>
      </c>
      <c r="C25" s="327"/>
      <c r="D25" s="327"/>
      <c r="E25" s="327"/>
      <c r="F25" s="327"/>
    </row>
    <row r="26" spans="1:6">
      <c r="A26" s="1258" t="s">
        <v>16</v>
      </c>
      <c r="B26" s="1259">
        <v>1523</v>
      </c>
      <c r="C26" s="327"/>
      <c r="D26" s="327"/>
      <c r="E26" s="327"/>
      <c r="F26" s="327"/>
    </row>
    <row r="27" spans="1:6">
      <c r="A27" s="1258" t="s">
        <v>17</v>
      </c>
      <c r="B27" s="1259">
        <v>7</v>
      </c>
      <c r="C27" s="327"/>
      <c r="D27" s="327"/>
      <c r="E27" s="327"/>
      <c r="F27" s="327"/>
    </row>
    <row r="28" spans="1:6">
      <c r="A28" s="1258" t="s">
        <v>18</v>
      </c>
      <c r="B28" s="1260">
        <v>287442</v>
      </c>
      <c r="C28" s="327"/>
      <c r="D28" s="327"/>
      <c r="E28" s="327"/>
      <c r="F28" s="327"/>
    </row>
    <row r="29" spans="1:6">
      <c r="A29" s="1258" t="s">
        <v>939</v>
      </c>
      <c r="B29" s="1260">
        <v>150</v>
      </c>
      <c r="C29" s="327"/>
      <c r="D29" s="327"/>
      <c r="E29" s="327"/>
      <c r="F29" s="327"/>
    </row>
    <row r="30" spans="1:6">
      <c r="A30" s="1253" t="s">
        <v>940</v>
      </c>
      <c r="B30" s="1261">
        <v>40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11</v>
      </c>
      <c r="F36" s="1259">
        <v>98015</v>
      </c>
    </row>
    <row r="37" spans="1:6">
      <c r="A37" s="1258" t="s">
        <v>24</v>
      </c>
      <c r="B37" s="1258" t="s">
        <v>27</v>
      </c>
      <c r="C37" s="1259">
        <v>0</v>
      </c>
      <c r="D37" s="1259">
        <v>0</v>
      </c>
      <c r="E37" s="1259">
        <v>0</v>
      </c>
      <c r="F37" s="1259">
        <v>0</v>
      </c>
    </row>
    <row r="38" spans="1:6">
      <c r="A38" s="1258" t="s">
        <v>24</v>
      </c>
      <c r="B38" s="1258" t="s">
        <v>28</v>
      </c>
      <c r="C38" s="1259">
        <v>1</v>
      </c>
      <c r="D38" s="1259">
        <v>1489</v>
      </c>
      <c r="E38" s="1259">
        <v>0</v>
      </c>
      <c r="F38" s="1259">
        <v>0</v>
      </c>
    </row>
    <row r="39" spans="1:6">
      <c r="A39" s="1258" t="s">
        <v>29</v>
      </c>
      <c r="B39" s="1258" t="s">
        <v>30</v>
      </c>
      <c r="C39" s="1259">
        <v>4139</v>
      </c>
      <c r="D39" s="1259">
        <v>65574476</v>
      </c>
      <c r="E39" s="1259">
        <v>6524</v>
      </c>
      <c r="F39" s="1259">
        <v>26625214.408852082</v>
      </c>
    </row>
    <row r="40" spans="1:6">
      <c r="A40" s="1258" t="s">
        <v>29</v>
      </c>
      <c r="B40" s="1258" t="s">
        <v>28</v>
      </c>
      <c r="C40" s="1259">
        <v>0</v>
      </c>
      <c r="D40" s="1259">
        <v>0</v>
      </c>
      <c r="E40" s="1259">
        <v>0</v>
      </c>
      <c r="F40" s="1259">
        <v>0</v>
      </c>
    </row>
    <row r="41" spans="1:6">
      <c r="A41" s="1258" t="s">
        <v>31</v>
      </c>
      <c r="B41" s="1258" t="s">
        <v>32</v>
      </c>
      <c r="C41" s="1259">
        <v>94</v>
      </c>
      <c r="D41" s="1259">
        <v>8983752</v>
      </c>
      <c r="E41" s="1259">
        <v>195</v>
      </c>
      <c r="F41" s="1259">
        <v>9990363</v>
      </c>
    </row>
    <row r="42" spans="1:6">
      <c r="A42" s="1258" t="s">
        <v>31</v>
      </c>
      <c r="B42" s="1258" t="s">
        <v>33</v>
      </c>
      <c r="C42" s="1259">
        <v>0</v>
      </c>
      <c r="D42" s="1259">
        <v>0</v>
      </c>
      <c r="E42" s="1259">
        <v>3</v>
      </c>
      <c r="F42" s="1259">
        <v>42396</v>
      </c>
    </row>
    <row r="43" spans="1:6">
      <c r="A43" s="1258" t="s">
        <v>31</v>
      </c>
      <c r="B43" s="1258" t="s">
        <v>34</v>
      </c>
      <c r="C43" s="1259">
        <v>0</v>
      </c>
      <c r="D43" s="1259">
        <v>0</v>
      </c>
      <c r="E43" s="1259">
        <v>0</v>
      </c>
      <c r="F43" s="1259">
        <v>0</v>
      </c>
    </row>
    <row r="44" spans="1:6">
      <c r="A44" s="1258" t="s">
        <v>31</v>
      </c>
      <c r="B44" s="1258" t="s">
        <v>35</v>
      </c>
      <c r="C44" s="1259">
        <v>15</v>
      </c>
      <c r="D44" s="1259">
        <v>1387689</v>
      </c>
      <c r="E44" s="1259">
        <v>54</v>
      </c>
      <c r="F44" s="1259">
        <v>4032330</v>
      </c>
    </row>
    <row r="45" spans="1:6">
      <c r="A45" s="1258" t="s">
        <v>31</v>
      </c>
      <c r="B45" s="1258" t="s">
        <v>36</v>
      </c>
      <c r="C45" s="1259">
        <v>0</v>
      </c>
      <c r="D45" s="1259">
        <v>0</v>
      </c>
      <c r="E45" s="1259">
        <v>3</v>
      </c>
      <c r="F45" s="1259">
        <v>306982</v>
      </c>
    </row>
    <row r="46" spans="1:6">
      <c r="A46" s="1258" t="s">
        <v>31</v>
      </c>
      <c r="B46" s="1258" t="s">
        <v>37</v>
      </c>
      <c r="C46" s="1259">
        <v>0</v>
      </c>
      <c r="D46" s="1259">
        <v>0</v>
      </c>
      <c r="E46" s="1259">
        <v>0</v>
      </c>
      <c r="F46" s="1259">
        <v>0</v>
      </c>
    </row>
    <row r="47" spans="1:6">
      <c r="A47" s="1258" t="s">
        <v>31</v>
      </c>
      <c r="B47" s="1258" t="s">
        <v>38</v>
      </c>
      <c r="C47" s="1259">
        <v>4</v>
      </c>
      <c r="D47" s="1259">
        <v>116967</v>
      </c>
      <c r="E47" s="1259">
        <v>5</v>
      </c>
      <c r="F47" s="1259">
        <v>145815</v>
      </c>
    </row>
    <row r="48" spans="1:6">
      <c r="A48" s="1258" t="s">
        <v>31</v>
      </c>
      <c r="B48" s="1258" t="s">
        <v>28</v>
      </c>
      <c r="C48" s="1259">
        <v>1</v>
      </c>
      <c r="D48" s="1259">
        <v>246985</v>
      </c>
      <c r="E48" s="1259">
        <v>0</v>
      </c>
      <c r="F48" s="1259">
        <v>0</v>
      </c>
    </row>
    <row r="49" spans="1:6">
      <c r="A49" s="1258" t="s">
        <v>31</v>
      </c>
      <c r="B49" s="1258" t="s">
        <v>39</v>
      </c>
      <c r="C49" s="1259">
        <v>0</v>
      </c>
      <c r="D49" s="1259">
        <v>0</v>
      </c>
      <c r="E49" s="1259">
        <v>0</v>
      </c>
      <c r="F49" s="1259">
        <v>0</v>
      </c>
    </row>
    <row r="50" spans="1:6">
      <c r="A50" s="1258" t="s">
        <v>31</v>
      </c>
      <c r="B50" s="1258" t="s">
        <v>40</v>
      </c>
      <c r="C50" s="1259">
        <v>20</v>
      </c>
      <c r="D50" s="1259">
        <v>1307322</v>
      </c>
      <c r="E50" s="1259">
        <v>43</v>
      </c>
      <c r="F50" s="1259">
        <v>6279074</v>
      </c>
    </row>
    <row r="51" spans="1:6">
      <c r="A51" s="1258" t="s">
        <v>41</v>
      </c>
      <c r="B51" s="1258" t="s">
        <v>42</v>
      </c>
      <c r="C51" s="1259">
        <v>36</v>
      </c>
      <c r="D51" s="1259">
        <v>1954202</v>
      </c>
      <c r="E51" s="1259">
        <v>380</v>
      </c>
      <c r="F51" s="1259">
        <v>9752807</v>
      </c>
    </row>
    <row r="52" spans="1:6">
      <c r="A52" s="1258" t="s">
        <v>41</v>
      </c>
      <c r="B52" s="1258" t="s">
        <v>28</v>
      </c>
      <c r="C52" s="1259">
        <v>0</v>
      </c>
      <c r="D52" s="1259">
        <v>0</v>
      </c>
      <c r="E52" s="1259">
        <v>1</v>
      </c>
      <c r="F52" s="1259">
        <v>40524.273988988003</v>
      </c>
    </row>
    <row r="53" spans="1:6">
      <c r="A53" s="1258" t="s">
        <v>43</v>
      </c>
      <c r="B53" s="1258" t="s">
        <v>44</v>
      </c>
      <c r="C53" s="1259">
        <v>0</v>
      </c>
      <c r="D53" s="1259">
        <v>0</v>
      </c>
      <c r="E53" s="1259">
        <v>0</v>
      </c>
      <c r="F53" s="1259">
        <v>0</v>
      </c>
    </row>
    <row r="54" spans="1:6">
      <c r="A54" s="1258" t="s">
        <v>45</v>
      </c>
      <c r="B54" s="1258" t="s">
        <v>46</v>
      </c>
      <c r="C54" s="1259">
        <v>0</v>
      </c>
      <c r="D54" s="1259">
        <v>0</v>
      </c>
      <c r="E54" s="1259">
        <v>77</v>
      </c>
      <c r="F54" s="1259">
        <v>1366240</v>
      </c>
    </row>
    <row r="55" spans="1:6">
      <c r="A55" s="1258" t="s">
        <v>45</v>
      </c>
      <c r="B55" s="1258" t="s">
        <v>28</v>
      </c>
      <c r="C55" s="1259">
        <v>0</v>
      </c>
      <c r="D55" s="1259">
        <v>0</v>
      </c>
      <c r="E55" s="1259">
        <v>0</v>
      </c>
      <c r="F55" s="1259">
        <v>0</v>
      </c>
    </row>
    <row r="56" spans="1:6">
      <c r="A56" s="1258" t="s">
        <v>47</v>
      </c>
      <c r="B56" s="1258" t="s">
        <v>28</v>
      </c>
      <c r="C56" s="1259">
        <v>61</v>
      </c>
      <c r="D56" s="1259">
        <v>3304615</v>
      </c>
      <c r="E56" s="1259">
        <v>116</v>
      </c>
      <c r="F56" s="1259">
        <v>590765</v>
      </c>
    </row>
    <row r="57" spans="1:6">
      <c r="A57" s="1258" t="s">
        <v>48</v>
      </c>
      <c r="B57" s="1258" t="s">
        <v>49</v>
      </c>
      <c r="C57" s="1259">
        <v>33</v>
      </c>
      <c r="D57" s="1259">
        <v>1515497</v>
      </c>
      <c r="E57" s="1259">
        <v>108</v>
      </c>
      <c r="F57" s="1259">
        <v>9175225</v>
      </c>
    </row>
    <row r="58" spans="1:6">
      <c r="A58" s="1258" t="s">
        <v>48</v>
      </c>
      <c r="B58" s="1258" t="s">
        <v>50</v>
      </c>
      <c r="C58" s="1259">
        <v>20</v>
      </c>
      <c r="D58" s="1259">
        <v>1374115</v>
      </c>
      <c r="E58" s="1259">
        <v>36</v>
      </c>
      <c r="F58" s="1259">
        <v>928810</v>
      </c>
    </row>
    <row r="59" spans="1:6">
      <c r="A59" s="1258" t="s">
        <v>48</v>
      </c>
      <c r="B59" s="1258" t="s">
        <v>51</v>
      </c>
      <c r="C59" s="1259">
        <v>150</v>
      </c>
      <c r="D59" s="1259">
        <v>5120635</v>
      </c>
      <c r="E59" s="1259">
        <v>325</v>
      </c>
      <c r="F59" s="1259">
        <v>9243044</v>
      </c>
    </row>
    <row r="60" spans="1:6">
      <c r="A60" s="1258" t="s">
        <v>48</v>
      </c>
      <c r="B60" s="1258" t="s">
        <v>52</v>
      </c>
      <c r="C60" s="1259">
        <v>61</v>
      </c>
      <c r="D60" s="1259">
        <v>2928720</v>
      </c>
      <c r="E60" s="1259">
        <v>96</v>
      </c>
      <c r="F60" s="1259">
        <v>2371566</v>
      </c>
    </row>
    <row r="61" spans="1:6">
      <c r="A61" s="1258" t="s">
        <v>48</v>
      </c>
      <c r="B61" s="1258" t="s">
        <v>53</v>
      </c>
      <c r="C61" s="1259">
        <v>108</v>
      </c>
      <c r="D61" s="1259">
        <v>3637485</v>
      </c>
      <c r="E61" s="1259">
        <v>359</v>
      </c>
      <c r="F61" s="1259">
        <v>4681461</v>
      </c>
    </row>
    <row r="62" spans="1:6">
      <c r="A62" s="1258" t="s">
        <v>48</v>
      </c>
      <c r="B62" s="1258" t="s">
        <v>54</v>
      </c>
      <c r="C62" s="1259">
        <v>12</v>
      </c>
      <c r="D62" s="1259">
        <v>1443536</v>
      </c>
      <c r="E62" s="1259">
        <v>25</v>
      </c>
      <c r="F62" s="1259">
        <v>1125362</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115299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15</v>
      </c>
      <c r="F68" s="1261">
        <v>402155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127312443</v>
      </c>
      <c r="E73" s="445"/>
      <c r="F73" s="327"/>
    </row>
    <row r="74" spans="1:6">
      <c r="A74" s="1258" t="s">
        <v>63</v>
      </c>
      <c r="B74" s="1258" t="s">
        <v>724</v>
      </c>
      <c r="C74" s="1271" t="s">
        <v>718</v>
      </c>
      <c r="D74" s="1259">
        <v>12291441.82387704</v>
      </c>
      <c r="E74" s="445"/>
      <c r="F74" s="327"/>
    </row>
    <row r="75" spans="1:6">
      <c r="A75" s="1258" t="s">
        <v>64</v>
      </c>
      <c r="B75" s="1258" t="s">
        <v>723</v>
      </c>
      <c r="C75" s="1271" t="s">
        <v>719</v>
      </c>
      <c r="D75" s="1259">
        <v>22841366</v>
      </c>
      <c r="E75" s="445"/>
      <c r="F75" s="327"/>
    </row>
    <row r="76" spans="1:6">
      <c r="A76" s="1258" t="s">
        <v>64</v>
      </c>
      <c r="B76" s="1258" t="s">
        <v>724</v>
      </c>
      <c r="C76" s="1271" t="s">
        <v>720</v>
      </c>
      <c r="D76" s="1259">
        <v>656789.82387703983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565762.35224592022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2648.7481688010957</v>
      </c>
      <c r="C90" s="327"/>
      <c r="D90" s="327"/>
      <c r="E90" s="327"/>
      <c r="F90" s="327"/>
    </row>
    <row r="91" spans="1:6">
      <c r="A91" s="1258" t="s">
        <v>67</v>
      </c>
      <c r="B91" s="1259">
        <v>3169.7739242158891</v>
      </c>
      <c r="C91" s="327"/>
      <c r="D91" s="327"/>
      <c r="E91" s="327"/>
      <c r="F91" s="327"/>
    </row>
    <row r="92" spans="1:6">
      <c r="A92" s="1253" t="s">
        <v>68</v>
      </c>
      <c r="B92" s="1254">
        <v>3506.0601389990238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2561</v>
      </c>
      <c r="C97" s="327"/>
      <c r="D97" s="327"/>
      <c r="E97" s="327"/>
      <c r="F97" s="327"/>
    </row>
    <row r="98" spans="1:6">
      <c r="A98" s="1258" t="s">
        <v>71</v>
      </c>
      <c r="B98" s="1259">
        <v>4</v>
      </c>
      <c r="C98" s="327"/>
      <c r="D98" s="327"/>
      <c r="E98" s="327"/>
      <c r="F98" s="327"/>
    </row>
    <row r="99" spans="1:6">
      <c r="A99" s="1258" t="s">
        <v>72</v>
      </c>
      <c r="B99" s="1259">
        <v>213</v>
      </c>
      <c r="C99" s="327"/>
      <c r="D99" s="327"/>
      <c r="E99" s="327"/>
      <c r="F99" s="327"/>
    </row>
    <row r="100" spans="1:6">
      <c r="A100" s="1258" t="s">
        <v>73</v>
      </c>
      <c r="B100" s="1259">
        <v>556</v>
      </c>
      <c r="C100" s="327"/>
      <c r="D100" s="327"/>
      <c r="E100" s="327"/>
      <c r="F100" s="327"/>
    </row>
    <row r="101" spans="1:6">
      <c r="A101" s="1258" t="s">
        <v>74</v>
      </c>
      <c r="B101" s="1259">
        <v>182</v>
      </c>
      <c r="C101" s="327"/>
      <c r="D101" s="327"/>
      <c r="E101" s="327"/>
      <c r="F101" s="327"/>
    </row>
    <row r="102" spans="1:6">
      <c r="A102" s="1258" t="s">
        <v>75</v>
      </c>
      <c r="B102" s="1259">
        <v>108</v>
      </c>
      <c r="C102" s="327"/>
      <c r="D102" s="327"/>
      <c r="E102" s="327"/>
      <c r="F102" s="327"/>
    </row>
    <row r="103" spans="1:6">
      <c r="A103" s="1258" t="s">
        <v>76</v>
      </c>
      <c r="B103" s="1259">
        <v>282</v>
      </c>
      <c r="C103" s="327"/>
      <c r="D103" s="327"/>
      <c r="E103" s="327"/>
      <c r="F103" s="327"/>
    </row>
    <row r="104" spans="1:6">
      <c r="A104" s="1258" t="s">
        <v>77</v>
      </c>
      <c r="B104" s="1259">
        <v>2006</v>
      </c>
      <c r="C104" s="327"/>
      <c r="D104" s="327"/>
      <c r="E104" s="327"/>
      <c r="F104" s="327"/>
    </row>
    <row r="105" spans="1:6">
      <c r="A105" s="1253" t="s">
        <v>78</v>
      </c>
      <c r="B105" s="1261">
        <v>12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4</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42</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89884.127780554642</v>
      </c>
      <c r="C3" s="44" t="s">
        <v>163</v>
      </c>
      <c r="D3" s="44"/>
      <c r="E3" s="157"/>
      <c r="F3" s="44"/>
      <c r="G3" s="44"/>
      <c r="H3" s="44"/>
      <c r="I3" s="44"/>
      <c r="J3" s="44"/>
      <c r="K3" s="97"/>
    </row>
    <row r="4" spans="1:11">
      <c r="A4" s="352" t="s">
        <v>164</v>
      </c>
      <c r="B4" s="50">
        <f>IF(ISERROR('SEAP template'!B78+'SEAP template'!C78),0,'SEAP template'!B78+'SEAP template'!C78)</f>
        <v>11176.857232016007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0.19351922548209996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10.392857142857141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1366.24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1366.24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0.19351922548209996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264.39370662266424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26625.21440885208</v>
      </c>
      <c r="C5" s="18">
        <f>IF(ISERROR('Eigen informatie GS &amp; warmtenet'!B57),0,'Eigen informatie GS &amp; warmtenet'!B57)</f>
        <v>0</v>
      </c>
      <c r="D5" s="31">
        <f>(SUM(HH_hh_gas_kWh,HH_rest_gas_kWh)/1000)*0.902</f>
        <v>59148.177351999999</v>
      </c>
      <c r="E5" s="18">
        <f>B32*B41</f>
        <v>1517.6879460214873</v>
      </c>
      <c r="F5" s="18">
        <f>B36*B45</f>
        <v>46269.899177062194</v>
      </c>
      <c r="G5" s="19"/>
      <c r="H5" s="18"/>
      <c r="I5" s="18"/>
      <c r="J5" s="18">
        <f>B35*B44+C35*C44</f>
        <v>839.55119801418778</v>
      </c>
      <c r="K5" s="18"/>
      <c r="L5" s="18"/>
      <c r="M5" s="18"/>
      <c r="N5" s="18">
        <f>B34*B43+C34*C43</f>
        <v>9902.8085099366581</v>
      </c>
      <c r="O5" s="18">
        <f>B52*B53*B54</f>
        <v>73.476666666666674</v>
      </c>
      <c r="P5" s="18">
        <f>B60*B61*B62/1000-B60*B61*B62/1000/B63</f>
        <v>152.53333333333333</v>
      </c>
    </row>
    <row r="6" spans="1:16">
      <c r="A6" s="17" t="s">
        <v>597</v>
      </c>
      <c r="B6" s="731">
        <f>kWh_PV_kleiner_dan_10kW</f>
        <v>3169.7739242158891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29794.98833306797</v>
      </c>
      <c r="C8" s="22">
        <f>C5</f>
        <v>0</v>
      </c>
      <c r="D8" s="22">
        <f>D5</f>
        <v>59148.177351999999</v>
      </c>
      <c r="E8" s="22">
        <f>E5</f>
        <v>1517.6879460214873</v>
      </c>
      <c r="F8" s="22">
        <f>F5</f>
        <v>46269.899177062194</v>
      </c>
      <c r="G8" s="22"/>
      <c r="H8" s="22"/>
      <c r="I8" s="22"/>
      <c r="J8" s="22">
        <f>J5</f>
        <v>839.55119801418778</v>
      </c>
      <c r="K8" s="22"/>
      <c r="L8" s="22">
        <f>L5</f>
        <v>0</v>
      </c>
      <c r="M8" s="22">
        <f>M5</f>
        <v>0</v>
      </c>
      <c r="N8" s="22">
        <f>N5</f>
        <v>9902.8085099366581</v>
      </c>
      <c r="O8" s="22">
        <f>O5</f>
        <v>73.476666666666674</v>
      </c>
      <c r="P8" s="22">
        <f>P5</f>
        <v>152.53333333333333</v>
      </c>
    </row>
    <row r="9" spans="1:16">
      <c r="B9" s="20"/>
      <c r="C9" s="20"/>
      <c r="D9" s="258"/>
      <c r="E9" s="20"/>
      <c r="F9" s="20"/>
      <c r="G9" s="20"/>
      <c r="H9" s="20"/>
      <c r="I9" s="20"/>
      <c r="J9" s="20"/>
      <c r="K9" s="20"/>
      <c r="L9" s="20"/>
      <c r="M9" s="20"/>
      <c r="N9" s="20"/>
      <c r="O9" s="20"/>
      <c r="P9" s="20"/>
    </row>
    <row r="10" spans="1:16">
      <c r="A10" s="25" t="s">
        <v>207</v>
      </c>
      <c r="B10" s="26">
        <f ca="1">'EF ele_warmte'!B12</f>
        <v>0.19351922548209996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5765.903065463518</v>
      </c>
      <c r="C12" s="24">
        <f ca="1">C10*C8</f>
        <v>0</v>
      </c>
      <c r="D12" s="24">
        <f>D8*D10</f>
        <v>11947.931825104</v>
      </c>
      <c r="E12" s="24">
        <f>E10*E8</f>
        <v>344.51516374687765</v>
      </c>
      <c r="F12" s="24">
        <f>F10*F8</f>
        <v>12354.063080275606</v>
      </c>
      <c r="G12" s="24"/>
      <c r="H12" s="24"/>
      <c r="I12" s="24"/>
      <c r="J12" s="24">
        <f>J10*J8</f>
        <v>297.20112409702244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6858</v>
      </c>
      <c r="C26" s="37"/>
      <c r="D26" s="228"/>
    </row>
    <row r="27" spans="1:5" s="16" customFormat="1">
      <c r="A27" s="230" t="s">
        <v>623</v>
      </c>
      <c r="B27" s="38">
        <f>SUM(HH_hh_gas_aantal,HH_rest_gas_aantal)</f>
        <v>4139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3932.05</v>
      </c>
      <c r="C31" s="35" t="s">
        <v>104</v>
      </c>
      <c r="D31" s="174"/>
    </row>
    <row r="32" spans="1:5">
      <c r="A32" s="171" t="s">
        <v>72</v>
      </c>
      <c r="B32" s="34">
        <f>IF((B21*($B$26-($B$27-0.05*$B$27)-$B$60))&lt;0,0,B21*($B$26-($B$27-0.05*$B$27)-$B$60))</f>
        <v>71.709585831971594</v>
      </c>
      <c r="C32" s="35" t="s">
        <v>104</v>
      </c>
      <c r="D32" s="174"/>
    </row>
    <row r="33" spans="1:6">
      <c r="A33" s="171" t="s">
        <v>73</v>
      </c>
      <c r="B33" s="34">
        <f>IF((B22*($B$26-($B$27-0.05*$B$27)-$B$60))&lt;0,0,B22*($B$26-($B$27-0.05*$B$27)-$B$60))</f>
        <v>482.68961648440393</v>
      </c>
      <c r="C33" s="35" t="s">
        <v>104</v>
      </c>
      <c r="D33" s="174"/>
    </row>
    <row r="34" spans="1:6">
      <c r="A34" s="171" t="s">
        <v>74</v>
      </c>
      <c r="B34" s="34">
        <f>IF((B24*($B$26-($B$27-0.05*$B$27)-$B$60))&lt;0,0,B24*($B$26-($B$27-0.05*$B$27)-$B$60))</f>
        <v>122.42026091567435</v>
      </c>
      <c r="C34" s="34">
        <f>B26*C24</f>
        <v>1402.4769631544975</v>
      </c>
      <c r="D34" s="233"/>
    </row>
    <row r="35" spans="1:6">
      <c r="A35" s="171" t="s">
        <v>76</v>
      </c>
      <c r="B35" s="34">
        <f>IF((B19*($B$26-($B$27-0.05*$B$27)-$B$60))&lt;0,0,B19*($B$26-($B$27-0.05*$B$27)-$B$60))</f>
        <v>45.511978909200906</v>
      </c>
      <c r="C35" s="34">
        <f>B35/2</f>
        <v>22.755989454600453</v>
      </c>
      <c r="D35" s="233"/>
    </row>
    <row r="36" spans="1:6">
      <c r="A36" s="171" t="s">
        <v>77</v>
      </c>
      <c r="B36" s="34">
        <f>IF((B18*($B$26-($B$27-0.05*$B$27)-$B$60))&lt;0,0,B18*($B$26-($B$27-0.05*$B$27)-$B$60))</f>
        <v>2195.6185578587483</v>
      </c>
      <c r="C36" s="35" t="s">
        <v>104</v>
      </c>
      <c r="D36" s="174"/>
    </row>
    <row r="37" spans="1:6">
      <c r="A37" s="171" t="s">
        <v>78</v>
      </c>
      <c r="B37" s="34">
        <f>B60</f>
        <v>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27525.468000000001</v>
      </c>
      <c r="C5" s="18">
        <f>IF(ISERROR('Eigen informatie GS &amp; warmtenet'!B58),0,'Eigen informatie GS &amp; warmtenet'!B58)</f>
        <v>0</v>
      </c>
      <c r="D5" s="31">
        <f>SUM(D6:D12)</f>
        <v>14450.029176</v>
      </c>
      <c r="E5" s="18">
        <f>SUM(E6:E12)</f>
        <v>255.49677492588367</v>
      </c>
      <c r="F5" s="18">
        <f>SUM(F6:F12)</f>
        <v>6384.1784197233592</v>
      </c>
      <c r="G5" s="19"/>
      <c r="H5" s="18"/>
      <c r="I5" s="18"/>
      <c r="J5" s="18">
        <f>SUM(J6:J12)</f>
        <v>0</v>
      </c>
      <c r="K5" s="18"/>
      <c r="L5" s="18"/>
      <c r="M5" s="18"/>
      <c r="N5" s="18">
        <f>SUM(N6:N12)</f>
        <v>4450.1065840453466</v>
      </c>
      <c r="O5" s="18">
        <f>B38*B39*B40</f>
        <v>1.5633333333333335</v>
      </c>
      <c r="P5" s="18">
        <f>B46*B47*B48/1000-B46*B47*B48/1000/B49</f>
        <v>19.066666666666666</v>
      </c>
      <c r="R5" s="33"/>
    </row>
    <row r="6" spans="1:18">
      <c r="A6" s="33" t="s">
        <v>53</v>
      </c>
      <c r="B6" s="38">
        <f>B26</f>
        <v>4681.4610000000002</v>
      </c>
      <c r="C6" s="34"/>
      <c r="D6" s="38">
        <f>IF(ISERROR(TER_kantoor_gas_kWh/1000),0,TER_kantoor_gas_kWh/1000)*0.902</f>
        <v>3281.0114700000004</v>
      </c>
      <c r="E6" s="34">
        <f>$C$26*'E Balans VL '!I12/100/3.6*1000000</f>
        <v>7.6473073204004285</v>
      </c>
      <c r="F6" s="34">
        <f>$C$26*('E Balans VL '!L12+'E Balans VL '!N12)/100/3.6*1000000</f>
        <v>549.98753969366953</v>
      </c>
      <c r="G6" s="35"/>
      <c r="H6" s="34"/>
      <c r="I6" s="34"/>
      <c r="J6" s="34">
        <f>$C$26*('E Balans VL '!D12+'E Balans VL '!E12)/100/3.6*1000000</f>
        <v>0</v>
      </c>
      <c r="K6" s="34"/>
      <c r="L6" s="34"/>
      <c r="M6" s="34"/>
      <c r="N6" s="34">
        <f>$C$26*'E Balans VL '!Y12/100/3.6*1000000</f>
        <v>34.087023711162686</v>
      </c>
      <c r="O6" s="34"/>
      <c r="P6" s="34"/>
      <c r="R6" s="33"/>
    </row>
    <row r="7" spans="1:18">
      <c r="A7" s="33" t="s">
        <v>52</v>
      </c>
      <c r="B7" s="38">
        <f t="shared" ref="B7:B12" si="0">B27</f>
        <v>2371.5659999999998</v>
      </c>
      <c r="C7" s="34"/>
      <c r="D7" s="38">
        <f>IF(ISERROR(TER_horeca_gas_kWh/1000),0,TER_horeca_gas_kWh/1000)*0.902</f>
        <v>2641.7054399999997</v>
      </c>
      <c r="E7" s="34">
        <f>$C$27*'E Balans VL '!I9/100/3.6*1000000</f>
        <v>122.69758308837065</v>
      </c>
      <c r="F7" s="34">
        <f>$C$27*('E Balans VL '!L9+'E Balans VL '!N9)/100/3.6*1000000</f>
        <v>539.56805180245783</v>
      </c>
      <c r="G7" s="35"/>
      <c r="H7" s="34"/>
      <c r="I7" s="34"/>
      <c r="J7" s="34">
        <f>$C$27*('E Balans VL '!D9+'E Balans VL '!E9)/100/3.6*1000000</f>
        <v>0</v>
      </c>
      <c r="K7" s="34"/>
      <c r="L7" s="34"/>
      <c r="M7" s="34"/>
      <c r="N7" s="34">
        <f>$C$27*'E Balans VL '!Y9/100/3.6*1000000</f>
        <v>0.24968444924956787</v>
      </c>
      <c r="O7" s="34"/>
      <c r="P7" s="34"/>
      <c r="R7" s="33"/>
    </row>
    <row r="8" spans="1:18">
      <c r="A8" s="6" t="s">
        <v>51</v>
      </c>
      <c r="B8" s="38">
        <f t="shared" si="0"/>
        <v>9243.0439999999999</v>
      </c>
      <c r="C8" s="34"/>
      <c r="D8" s="38">
        <f>IF(ISERROR(TER_handel_gas_kWh/1000),0,TER_handel_gas_kWh/1000)*0.902</f>
        <v>4618.8127700000005</v>
      </c>
      <c r="E8" s="34">
        <f>$C$28*'E Balans VL '!I13/100/3.6*1000000</f>
        <v>48.551362490000542</v>
      </c>
      <c r="F8" s="34">
        <f>$C$28*('E Balans VL '!L13+'E Balans VL '!N13)/100/3.6*1000000</f>
        <v>1742.6233470783966</v>
      </c>
      <c r="G8" s="35"/>
      <c r="H8" s="34"/>
      <c r="I8" s="34"/>
      <c r="J8" s="34">
        <f>$C$28*('E Balans VL '!D13+'E Balans VL '!E13)/100/3.6*1000000</f>
        <v>0</v>
      </c>
      <c r="K8" s="34"/>
      <c r="L8" s="34"/>
      <c r="M8" s="34"/>
      <c r="N8" s="34">
        <f>$C$28*'E Balans VL '!Y13/100/3.6*1000000</f>
        <v>45.822798078613026</v>
      </c>
      <c r="O8" s="34"/>
      <c r="P8" s="34"/>
      <c r="R8" s="33"/>
    </row>
    <row r="9" spans="1:18">
      <c r="A9" s="33" t="s">
        <v>50</v>
      </c>
      <c r="B9" s="38">
        <f t="shared" si="0"/>
        <v>928.81</v>
      </c>
      <c r="C9" s="34"/>
      <c r="D9" s="38">
        <f>IF(ISERROR(TER_gezond_gas_kWh/1000),0,TER_gezond_gas_kWh/1000)*0.902</f>
        <v>1239.45173</v>
      </c>
      <c r="E9" s="34">
        <f>$C$29*'E Balans VL '!I10/100/3.6*1000000</f>
        <v>0.82454503212830044</v>
      </c>
      <c r="F9" s="34">
        <f>$C$29*('E Balans VL '!L10+'E Balans VL '!N10)/100/3.6*1000000</f>
        <v>288.68827103968522</v>
      </c>
      <c r="G9" s="35"/>
      <c r="H9" s="34"/>
      <c r="I9" s="34"/>
      <c r="J9" s="34">
        <f>$C$29*('E Balans VL '!D10+'E Balans VL '!E10)/100/3.6*1000000</f>
        <v>0</v>
      </c>
      <c r="K9" s="34"/>
      <c r="L9" s="34"/>
      <c r="M9" s="34"/>
      <c r="N9" s="34">
        <f>$C$29*'E Balans VL '!Y10/100/3.6*1000000</f>
        <v>7.1694768727571319</v>
      </c>
      <c r="O9" s="34"/>
      <c r="P9" s="34"/>
      <c r="R9" s="33"/>
    </row>
    <row r="10" spans="1:18">
      <c r="A10" s="33" t="s">
        <v>49</v>
      </c>
      <c r="B10" s="38">
        <f t="shared" si="0"/>
        <v>9175.2250000000004</v>
      </c>
      <c r="C10" s="34"/>
      <c r="D10" s="38">
        <f>IF(ISERROR(TER_ander_gas_kWh/1000),0,TER_ander_gas_kWh/1000)*0.902</f>
        <v>1366.978294</v>
      </c>
      <c r="E10" s="34">
        <f>$C$30*'E Balans VL '!I14/100/3.6*1000000</f>
        <v>74.837125347716977</v>
      </c>
      <c r="F10" s="34">
        <f>$C$30*('E Balans VL '!L14+'E Balans VL '!N14)/100/3.6*1000000</f>
        <v>2674.407739100508</v>
      </c>
      <c r="G10" s="35"/>
      <c r="H10" s="34"/>
      <c r="I10" s="34"/>
      <c r="J10" s="34">
        <f>$C$30*('E Balans VL '!D14+'E Balans VL '!E14)/100/3.6*1000000</f>
        <v>0</v>
      </c>
      <c r="K10" s="34"/>
      <c r="L10" s="34"/>
      <c r="M10" s="34"/>
      <c r="N10" s="34">
        <f>$C$30*'E Balans VL '!Y14/100/3.6*1000000</f>
        <v>4357.8228762782501</v>
      </c>
      <c r="O10" s="34"/>
      <c r="P10" s="34"/>
      <c r="R10" s="33"/>
    </row>
    <row r="11" spans="1:18">
      <c r="A11" s="33" t="s">
        <v>54</v>
      </c>
      <c r="B11" s="38">
        <f t="shared" si="0"/>
        <v>1125.3620000000001</v>
      </c>
      <c r="C11" s="34"/>
      <c r="D11" s="38">
        <f>IF(ISERROR(TER_onderwijs_gas_kWh/1000),0,TER_onderwijs_gas_kWh/1000)*0.902</f>
        <v>1302.0694720000001</v>
      </c>
      <c r="E11" s="34">
        <f>$C$31*'E Balans VL '!I11/100/3.6*1000000</f>
        <v>0.93885164726677839</v>
      </c>
      <c r="F11" s="34">
        <f>$C$31*('E Balans VL '!L11+'E Balans VL '!N11)/100/3.6*1000000</f>
        <v>588.90347100864119</v>
      </c>
      <c r="G11" s="35"/>
      <c r="H11" s="34"/>
      <c r="I11" s="34"/>
      <c r="J11" s="34">
        <f>$C$31*('E Balans VL '!D11+'E Balans VL '!E11)/100/3.6*1000000</f>
        <v>0</v>
      </c>
      <c r="K11" s="34"/>
      <c r="L11" s="34"/>
      <c r="M11" s="34"/>
      <c r="N11" s="34">
        <f>$C$31*'E Balans VL '!Y11/100/3.6*1000000</f>
        <v>4.9547246553142035</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energieproductie'!N40+'lokale energieproductie'!N32</f>
        <v>0</v>
      </c>
      <c r="C13" s="246">
        <f ca="1">'lokale energieproductie'!O40+'lokale energieproductie'!O32</f>
        <v>0</v>
      </c>
      <c r="D13" s="305">
        <f ca="1">('lokale energieproductie'!P32+'lokale energieproductie'!P40)*(-1)</f>
        <v>0</v>
      </c>
      <c r="E13" s="247"/>
      <c r="F13" s="305">
        <f ca="1">('lokale energieproductie'!S32+'lokale energieproductie'!S40)*(-1)</f>
        <v>0</v>
      </c>
      <c r="G13" s="248"/>
      <c r="H13" s="247"/>
      <c r="I13" s="247"/>
      <c r="J13" s="247"/>
      <c r="K13" s="247"/>
      <c r="L13" s="305">
        <f ca="1">('lokale energieproductie'!U32+'lokale energieproductie'!T32+'lokale energieproductie'!U40+'lokale energieproductie'!T40)*(-1)</f>
        <v>0</v>
      </c>
      <c r="M13" s="247"/>
      <c r="N13" s="305">
        <f ca="1">('lokale energieproductie'!Q32+'lokale energieproductie'!R32+'lokale energieproductie'!V32+'lokale energieproductie'!Q40+'lokale energieproductie'!R40+'lokale energieproductie'!V40)*(-1)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27525.468000000001</v>
      </c>
      <c r="C16" s="22">
        <f t="shared" ca="1" si="1"/>
        <v>0</v>
      </c>
      <c r="D16" s="22">
        <f t="shared" ca="1" si="1"/>
        <v>14450.029176</v>
      </c>
      <c r="E16" s="22">
        <f t="shared" si="1"/>
        <v>255.49677492588367</v>
      </c>
      <c r="F16" s="22">
        <f t="shared" ca="1" si="1"/>
        <v>6384.1784197233592</v>
      </c>
      <c r="G16" s="22">
        <f t="shared" si="1"/>
        <v>0</v>
      </c>
      <c r="H16" s="22">
        <f t="shared" si="1"/>
        <v>0</v>
      </c>
      <c r="I16" s="22">
        <f t="shared" si="1"/>
        <v>0</v>
      </c>
      <c r="J16" s="22">
        <f t="shared" si="1"/>
        <v>0</v>
      </c>
      <c r="K16" s="22">
        <f t="shared" si="1"/>
        <v>0</v>
      </c>
      <c r="L16" s="22">
        <f t="shared" ca="1" si="1"/>
        <v>0</v>
      </c>
      <c r="M16" s="22">
        <f t="shared" si="1"/>
        <v>0</v>
      </c>
      <c r="N16" s="22">
        <f t="shared" ca="1" si="1"/>
        <v>4450.1065840453466</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0.19351922548209996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5326.7072483923275</v>
      </c>
      <c r="C20" s="24">
        <f t="shared" ref="C20:P20" ca="1" si="2">C16*C18</f>
        <v>0</v>
      </c>
      <c r="D20" s="24">
        <f t="shared" ca="1" si="2"/>
        <v>2918.9058935520002</v>
      </c>
      <c r="E20" s="24">
        <f t="shared" si="2"/>
        <v>57.997767908175597</v>
      </c>
      <c r="F20" s="24">
        <f t="shared" ca="1" si="2"/>
        <v>1704.5756380661369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4681.4610000000002</v>
      </c>
      <c r="C26" s="40">
        <f>IF(ISERROR(B26*3.6/1000000/'E Balans VL '!Z12*100),0,B26*3.6/1000000/'E Balans VL '!Z12*100)</f>
        <v>9.9223829706181835E-2</v>
      </c>
      <c r="D26" s="236" t="s">
        <v>660</v>
      </c>
      <c r="F26" s="6"/>
    </row>
    <row r="27" spans="1:18">
      <c r="A27" s="231" t="s">
        <v>52</v>
      </c>
      <c r="B27" s="34">
        <f>IF(ISERROR(TER_horeca_ele_kWh/1000),0,TER_horeca_ele_kWh/1000)</f>
        <v>2371.5659999999998</v>
      </c>
      <c r="C27" s="40">
        <f>IF(ISERROR(B27*3.6/1000000/'E Balans VL '!Z9*100),0,B27*3.6/1000000/'E Balans VL '!Z9*100)</f>
        <v>0.18610021062079596</v>
      </c>
      <c r="D27" s="236" t="s">
        <v>660</v>
      </c>
      <c r="F27" s="6"/>
    </row>
    <row r="28" spans="1:18">
      <c r="A28" s="171" t="s">
        <v>51</v>
      </c>
      <c r="B28" s="34">
        <f>IF(ISERROR(TER_handel_ele_kWh/1000),0,TER_handel_ele_kWh/1000)</f>
        <v>9243.0439999999999</v>
      </c>
      <c r="C28" s="40">
        <f>IF(ISERROR(B28*3.6/1000000/'E Balans VL '!Z13*100),0,B28*3.6/1000000/'E Balans VL '!Z13*100)</f>
        <v>0.25812535887229154</v>
      </c>
      <c r="D28" s="236" t="s">
        <v>660</v>
      </c>
      <c r="F28" s="6"/>
    </row>
    <row r="29" spans="1:18">
      <c r="A29" s="231" t="s">
        <v>50</v>
      </c>
      <c r="B29" s="34">
        <f>IF(ISERROR(TER_gezond_ele_kWh/1000),0,TER_gezond_ele_kWh/1000)</f>
        <v>928.81</v>
      </c>
      <c r="C29" s="40">
        <f>IF(ISERROR(B29*3.6/1000000/'E Balans VL '!Z10*100),0,B29*3.6/1000000/'E Balans VL '!Z10*100)</f>
        <v>0.10644100141750923</v>
      </c>
      <c r="D29" s="236" t="s">
        <v>660</v>
      </c>
      <c r="F29" s="6"/>
    </row>
    <row r="30" spans="1:18">
      <c r="A30" s="231" t="s">
        <v>49</v>
      </c>
      <c r="B30" s="34">
        <f>IF(ISERROR(TER_ander_ele_kWh/1000),0,TER_ander_ele_kWh/1000)</f>
        <v>9175.2250000000004</v>
      </c>
      <c r="C30" s="40">
        <f>IF(ISERROR(B30*3.6/1000000/'E Balans VL '!Z14*100),0,B30*3.6/1000000/'E Balans VL '!Z14*100)</f>
        <v>0.68416939194187021</v>
      </c>
      <c r="D30" s="236" t="s">
        <v>660</v>
      </c>
      <c r="F30" s="6"/>
    </row>
    <row r="31" spans="1:18">
      <c r="A31" s="231" t="s">
        <v>54</v>
      </c>
      <c r="B31" s="34">
        <f>IF(ISERROR(TER_onderwijs_ele_kWh/1000),0,TER_onderwijs_ele_kWh/1000)</f>
        <v>1125.3620000000001</v>
      </c>
      <c r="C31" s="40">
        <f>IF(ISERROR(B31*3.6/1000000/'E Balans VL '!Z11*100),0,B31*3.6/1000000/'E Balans VL '!Z11*100)</f>
        <v>0.32163094159780614</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20796.96</v>
      </c>
      <c r="C5" s="18">
        <f>IF(ISERROR('Eigen informatie GS &amp; warmtenet'!B59),0,'Eigen informatie GS &amp; warmtenet'!B59)</f>
        <v>0</v>
      </c>
      <c r="D5" s="31">
        <f>SUM(D6:D15)</f>
        <v>10862.528929999999</v>
      </c>
      <c r="E5" s="18">
        <f>SUM(E6:E15)</f>
        <v>169.27696485875302</v>
      </c>
      <c r="F5" s="18">
        <f>SUM(F6:F15)</f>
        <v>9286.8339633510714</v>
      </c>
      <c r="G5" s="19"/>
      <c r="H5" s="18"/>
      <c r="I5" s="18"/>
      <c r="J5" s="18">
        <f>SUM(J6:J15)</f>
        <v>69.121454135133291</v>
      </c>
      <c r="K5" s="18"/>
      <c r="L5" s="18"/>
      <c r="M5" s="18"/>
      <c r="N5" s="18">
        <f>SUM(N6:N15)</f>
        <v>917.425320146535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4032.33</v>
      </c>
      <c r="C8" s="34"/>
      <c r="D8" s="38">
        <f>IF( ISERROR(IND_metaal_Gas_kWH/1000),0,IND_metaal_Gas_kWH/1000)*0.902</f>
        <v>1251.6954780000001</v>
      </c>
      <c r="E8" s="34">
        <f>C30*'E Balans VL '!I18/100/3.6*1000000</f>
        <v>36.721702634316848</v>
      </c>
      <c r="F8" s="34">
        <f>C30*'E Balans VL '!L18/100/3.6*1000000+C30*'E Balans VL '!N18/100/3.6*1000000</f>
        <v>531.83370496002999</v>
      </c>
      <c r="G8" s="35"/>
      <c r="H8" s="34"/>
      <c r="I8" s="34"/>
      <c r="J8" s="41">
        <f>C30*'E Balans VL '!D18/100/3.6*1000000+C30*'E Balans VL '!E18/100/3.6*1000000</f>
        <v>66.124357267662617</v>
      </c>
      <c r="K8" s="34"/>
      <c r="L8" s="34"/>
      <c r="M8" s="34"/>
      <c r="N8" s="34">
        <f>C30*'E Balans VL '!Y18/100/3.6*1000000</f>
        <v>13.857516371016528</v>
      </c>
      <c r="O8" s="34"/>
      <c r="P8" s="34"/>
      <c r="R8" s="33"/>
    </row>
    <row r="9" spans="1:18">
      <c r="A9" s="6" t="s">
        <v>32</v>
      </c>
      <c r="B9" s="38">
        <f t="shared" si="0"/>
        <v>9990.3629999999994</v>
      </c>
      <c r="C9" s="34"/>
      <c r="D9" s="38">
        <f>IF( ISERROR(IND_andere_gas_kWh/1000),0,IND_andere_gas_kWh/1000)*0.902</f>
        <v>8103.3443040000002</v>
      </c>
      <c r="E9" s="34">
        <f>C31*'E Balans VL '!I19/100/3.6*1000000</f>
        <v>57.745791076265142</v>
      </c>
      <c r="F9" s="34">
        <f>C31*'E Balans VL '!L19/100/3.6*1000000+C31*'E Balans VL '!N19/100/3.6*1000000</f>
        <v>7947.814483744879</v>
      </c>
      <c r="G9" s="35"/>
      <c r="H9" s="34"/>
      <c r="I9" s="34"/>
      <c r="J9" s="41">
        <f>C31*'E Balans VL '!D19/100/3.6*1000000+C31*'E Balans VL '!E19/100/3.6*1000000</f>
        <v>0.94497736999088233</v>
      </c>
      <c r="K9" s="34"/>
      <c r="L9" s="34"/>
      <c r="M9" s="34"/>
      <c r="N9" s="34">
        <f>C31*'E Balans VL '!Y19/100/3.6*1000000</f>
        <v>756.9211844828227</v>
      </c>
      <c r="O9" s="34"/>
      <c r="P9" s="34"/>
      <c r="R9" s="33"/>
    </row>
    <row r="10" spans="1:18">
      <c r="A10" s="6" t="s">
        <v>40</v>
      </c>
      <c r="B10" s="38">
        <f t="shared" si="0"/>
        <v>6279.0739999999996</v>
      </c>
      <c r="C10" s="34"/>
      <c r="D10" s="38">
        <f>IF( ISERROR(IND_voed_gas_kWh/1000),0,IND_voed_gas_kWh/1000)*0.902</f>
        <v>1179.204444</v>
      </c>
      <c r="E10" s="34">
        <f>C32*'E Balans VL '!I20/100/3.6*1000000</f>
        <v>61.739724427700239</v>
      </c>
      <c r="F10" s="34">
        <f>C32*'E Balans VL '!L20/100/3.6*1000000+C32*'E Balans VL '!N20/100/3.6*1000000</f>
        <v>697.37312622003014</v>
      </c>
      <c r="G10" s="35"/>
      <c r="H10" s="34"/>
      <c r="I10" s="34"/>
      <c r="J10" s="41">
        <f>C32*'E Balans VL '!D20/100/3.6*1000000+C32*'E Balans VL '!E20/100/3.6*1000000</f>
        <v>2.4748681162073152E-2</v>
      </c>
      <c r="K10" s="34"/>
      <c r="L10" s="34"/>
      <c r="M10" s="34"/>
      <c r="N10" s="34">
        <f>C32*'E Balans VL '!Y20/100/3.6*1000000</f>
        <v>92.978316001086284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306.98200000000003</v>
      </c>
      <c r="C12" s="34"/>
      <c r="D12" s="38">
        <f>IF( ISERROR(IND_min_gas_kWh/1000),0,IND_min_gas_kWh/1000)*0.902</f>
        <v>0</v>
      </c>
      <c r="E12" s="34">
        <f>C34*'E Balans VL '!I22/100/3.6*1000000</f>
        <v>7.7825399729579967</v>
      </c>
      <c r="F12" s="34">
        <f>C34*'E Balans VL '!L22/100/3.6*1000000+C34*'E Balans VL '!N22/100/3.6*1000000</f>
        <v>84.942989413474322</v>
      </c>
      <c r="G12" s="35"/>
      <c r="H12" s="34"/>
      <c r="I12" s="34"/>
      <c r="J12" s="41">
        <f>C34*'E Balans VL '!D22/100/3.6*1000000+C34*'E Balans VL '!E22/100/3.6*1000000</f>
        <v>2.027370816317728</v>
      </c>
      <c r="K12" s="34"/>
      <c r="L12" s="34"/>
      <c r="M12" s="34"/>
      <c r="N12" s="34">
        <f>C34*'E Balans VL '!Y22/100/3.6*1000000</f>
        <v>0</v>
      </c>
      <c r="O12" s="34"/>
      <c r="P12" s="34"/>
      <c r="R12" s="33"/>
    </row>
    <row r="13" spans="1:18">
      <c r="A13" s="6" t="s">
        <v>38</v>
      </c>
      <c r="B13" s="38">
        <f t="shared" si="0"/>
        <v>145.815</v>
      </c>
      <c r="C13" s="34"/>
      <c r="D13" s="38">
        <f>IF( ISERROR(IND_papier_gas_kWh/1000),0,IND_papier_gas_kWh/1000)*0.902</f>
        <v>105.504234</v>
      </c>
      <c r="E13" s="34">
        <f>C35*'E Balans VL '!I23/100/3.6*1000000</f>
        <v>4.9666703180812917</v>
      </c>
      <c r="F13" s="34">
        <f>C35*'E Balans VL '!L23/100/3.6*1000000+C35*'E Balans VL '!N23/100/3.6*1000000</f>
        <v>24.085215795614893</v>
      </c>
      <c r="G13" s="35"/>
      <c r="H13" s="34"/>
      <c r="I13" s="34"/>
      <c r="J13" s="41">
        <f>C35*'E Balans VL '!D23/100/3.6*1000000+C35*'E Balans VL '!E23/100/3.6*1000000</f>
        <v>0</v>
      </c>
      <c r="K13" s="34"/>
      <c r="L13" s="34"/>
      <c r="M13" s="34"/>
      <c r="N13" s="34">
        <f>C35*'E Balans VL '!Y23/100/3.6*1000000</f>
        <v>53.656009544838689</v>
      </c>
      <c r="O13" s="34"/>
      <c r="P13" s="34"/>
      <c r="R13" s="33"/>
    </row>
    <row r="14" spans="1:18">
      <c r="A14" s="6" t="s">
        <v>33</v>
      </c>
      <c r="B14" s="38">
        <f t="shared" si="0"/>
        <v>42.396000000000001</v>
      </c>
      <c r="C14" s="34"/>
      <c r="D14" s="38">
        <f>IF( ISERROR(IND_chemie_gas_kWh/1000),0,IND_chemie_gas_kWh/1000)*0.902</f>
        <v>0</v>
      </c>
      <c r="E14" s="34">
        <f>C36*'E Balans VL '!I24/100/3.6*1000000</f>
        <v>0.3205364294314979</v>
      </c>
      <c r="F14" s="34">
        <f>C36*'E Balans VL '!L24/100/3.6*1000000+C36*'E Balans VL '!N24/100/3.6*1000000</f>
        <v>0.78444321704381448</v>
      </c>
      <c r="G14" s="35"/>
      <c r="H14" s="34"/>
      <c r="I14" s="34"/>
      <c r="J14" s="41">
        <f>C36*'E Balans VL '!D24/100/3.6*1000000+C36*'E Balans VL '!E24/100/3.6*1000000</f>
        <v>0</v>
      </c>
      <c r="K14" s="34"/>
      <c r="L14" s="34"/>
      <c r="M14" s="34"/>
      <c r="N14" s="34">
        <f>C36*'E Balans VL '!Y24/100/3.6*1000000</f>
        <v>1.2293746770873569E-2</v>
      </c>
      <c r="O14" s="34"/>
      <c r="P14" s="34"/>
      <c r="R14" s="33"/>
    </row>
    <row r="15" spans="1:18">
      <c r="A15" s="6" t="s">
        <v>259</v>
      </c>
      <c r="B15" s="38">
        <f t="shared" si="0"/>
        <v>0</v>
      </c>
      <c r="C15" s="34"/>
      <c r="D15" s="38">
        <f>IF( ISERROR(IND_rest_gas_kWh/1000),0,IND_rest_gas_kWh/1000)*0.902</f>
        <v>222.78047000000001</v>
      </c>
      <c r="E15" s="34">
        <f>C37*'E Balans VL '!I15/100/3.6*1000000</f>
        <v>0</v>
      </c>
      <c r="F15" s="34">
        <f>C37*'E Balans VL '!L15/100/3.6*1000000+C37*'E Balans VL '!N15/100/3.6*1000000</f>
        <v>0</v>
      </c>
      <c r="G15" s="35"/>
      <c r="H15" s="34"/>
      <c r="I15" s="34"/>
      <c r="J15" s="41">
        <f>C37*'E Balans VL '!D15/100/3.6*1000000+C37*'E Balans VL '!E15/100/3.6*1000000</f>
        <v>0</v>
      </c>
      <c r="K15" s="34"/>
      <c r="L15" s="34"/>
      <c r="M15" s="34"/>
      <c r="N15" s="34">
        <f>C37*'E Balans VL '!Y15/100/3.6*1000000</f>
        <v>0</v>
      </c>
      <c r="O15" s="34"/>
      <c r="P15" s="34"/>
      <c r="R15" s="33"/>
    </row>
    <row r="16" spans="1:18">
      <c r="A16" s="17" t="s">
        <v>488</v>
      </c>
      <c r="B16" s="246">
        <f>'lokale energieproductie'!N39+'lokale energieproductie'!N31</f>
        <v>0</v>
      </c>
      <c r="C16" s="246">
        <f>'lokale energieproductie'!O39+'lokale energieproductie'!O31</f>
        <v>0</v>
      </c>
      <c r="D16" s="305">
        <f>('lokale energieproductie'!P31+'lokale energieproductie'!P39)*(-1)</f>
        <v>0</v>
      </c>
      <c r="E16" s="247"/>
      <c r="F16" s="305">
        <f>('lokale energieproductie'!S31+'lokale energieproductie'!S39)*(-1)</f>
        <v>0</v>
      </c>
      <c r="G16" s="248"/>
      <c r="H16" s="247"/>
      <c r="I16" s="247"/>
      <c r="J16" s="247"/>
      <c r="K16" s="247"/>
      <c r="L16" s="305">
        <f>('lokale energieproductie'!T31+'lokale energieproductie'!U31+'lokale energieproductie'!T39+'lokale energieproductie'!U39)*(-1)</f>
        <v>0</v>
      </c>
      <c r="M16" s="247"/>
      <c r="N16" s="305">
        <f>('lokale energieproductie'!Q31+'lokale energieproductie'!R31+'lokale energieproductie'!V31+'lokale energieproductie'!Q39+'lokale energieproductie'!R39+'lokale energieproductie'!V39)*(-1)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20796.96</v>
      </c>
      <c r="C18" s="22">
        <f>C5+C16</f>
        <v>0</v>
      </c>
      <c r="D18" s="22">
        <f>MAX((D5+D16),0)</f>
        <v>10862.528929999999</v>
      </c>
      <c r="E18" s="22">
        <f>MAX((E5+E16),0)</f>
        <v>169.27696485875302</v>
      </c>
      <c r="F18" s="22">
        <f>MAX((F5+F16),0)</f>
        <v>9286.8339633510714</v>
      </c>
      <c r="G18" s="22"/>
      <c r="H18" s="22"/>
      <c r="I18" s="22"/>
      <c r="J18" s="22">
        <f>MAX((J5+J16),0)</f>
        <v>69.121454135133291</v>
      </c>
      <c r="K18" s="22"/>
      <c r="L18" s="22">
        <f>MAX((L5+L16),0)</f>
        <v>0</v>
      </c>
      <c r="M18" s="22"/>
      <c r="N18" s="22">
        <f>MAX((N5+N16),0)</f>
        <v>917.425320146535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0.19351922548209996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4024.6115915822134</v>
      </c>
      <c r="C22" s="24">
        <f ca="1">C18*C20</f>
        <v>0</v>
      </c>
      <c r="D22" s="24">
        <f>D18*D20</f>
        <v>2194.2308438599998</v>
      </c>
      <c r="E22" s="24">
        <f>E18*E20</f>
        <v>38.425871022936938</v>
      </c>
      <c r="F22" s="24">
        <f>F18*F20</f>
        <v>2479.5846682147362</v>
      </c>
      <c r="G22" s="24"/>
      <c r="H22" s="24"/>
      <c r="I22" s="24"/>
      <c r="J22" s="24">
        <f>J18*J20</f>
        <v>24.468994763837184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4032.33</v>
      </c>
      <c r="C30" s="40">
        <f>IF(ISERROR(B30*3.6/1000000/'E Balans VL '!Z18*100),0,B30*3.6/1000000/'E Balans VL '!Z18*100)</f>
        <v>0.22437220054063378</v>
      </c>
      <c r="D30" s="236" t="s">
        <v>660</v>
      </c>
    </row>
    <row r="31" spans="1:18">
      <c r="A31" s="6" t="s">
        <v>32</v>
      </c>
      <c r="B31" s="38">
        <f>IF( ISERROR(IND_ander_ele_kWh/1000),0,IND_ander_ele_kWh/1000)</f>
        <v>9990.3629999999994</v>
      </c>
      <c r="C31" s="40">
        <f>IF(ISERROR(B31*3.6/1000000/'E Balans VL '!Z19*100),0,B31*3.6/1000000/'E Balans VL '!Z19*100)</f>
        <v>0.46442573815251559</v>
      </c>
      <c r="D31" s="236" t="s">
        <v>660</v>
      </c>
    </row>
    <row r="32" spans="1:18">
      <c r="A32" s="171" t="s">
        <v>40</v>
      </c>
      <c r="B32" s="38">
        <f>IF( ISERROR(IND_voed_ele_kWh/1000),0,IND_voed_ele_kWh/1000)</f>
        <v>6279.0739999999996</v>
      </c>
      <c r="C32" s="40">
        <f>IF(ISERROR(B32*3.6/1000000/'E Balans VL '!Z20*100),0,B32*3.6/1000000/'E Balans VL '!Z20*100)</f>
        <v>0.22195258477300567</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306.98200000000003</v>
      </c>
      <c r="C34" s="40">
        <f>IF(ISERROR(B34*3.6/1000000/'E Balans VL '!Z22*100),0,B34*3.6/1000000/'E Balans VL '!Z22*100)</f>
        <v>6.1694725400055446E-2</v>
      </c>
      <c r="D34" s="236" t="s">
        <v>660</v>
      </c>
    </row>
    <row r="35" spans="1:5">
      <c r="A35" s="171" t="s">
        <v>38</v>
      </c>
      <c r="B35" s="38">
        <f>IF( ISERROR(IND_papier_ele_kWh/1000),0,IND_papier_ele_kWh/1000)</f>
        <v>145.815</v>
      </c>
      <c r="C35" s="40">
        <f>IF(ISERROR(B35*3.6/1000000/'E Balans VL '!Z22*100),0,B35*3.6/1000000/'E Balans VL '!Z22*100)</f>
        <v>2.9304703155914956E-2</v>
      </c>
      <c r="D35" s="236" t="s">
        <v>660</v>
      </c>
    </row>
    <row r="36" spans="1:5">
      <c r="A36" s="171" t="s">
        <v>33</v>
      </c>
      <c r="B36" s="38">
        <f>IF( ISERROR(IND_chemie_ele_kWh/1000),0,IND_chemie_ele_kWh/1000)</f>
        <v>42.396000000000001</v>
      </c>
      <c r="C36" s="40">
        <f>IF(ISERROR(B36*3.6/1000000/'E Balans VL '!Z24*100),0,B36*3.6/1000000/'E Balans VL '!Z24*100)</f>
        <v>1.0440109898452218E-3</v>
      </c>
      <c r="D36" s="236" t="s">
        <v>660</v>
      </c>
    </row>
    <row r="37" spans="1:5">
      <c r="A37" s="171" t="s">
        <v>259</v>
      </c>
      <c r="B37" s="38">
        <f>IF( ISERROR(IND_rest_ele_kWh/1000),0,IND_rest_ele_kWh/1000)</f>
        <v>0</v>
      </c>
      <c r="C37" s="40">
        <f>IF(ISERROR(B37*3.6/1000000/'E Balans VL '!Z15*100),0,B37*3.6/1000000/'E Balans VL '!Z15*100)</f>
        <v>0</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9793.331273988988</v>
      </c>
      <c r="C5" s="18">
        <f>'Eigen informatie GS &amp; warmtenet'!B60</f>
        <v>0</v>
      </c>
      <c r="D5" s="31">
        <f>IF(ISERROR(SUM(LB_lb_gas_kWh,LB_rest_gas_kWh)/1000),0,SUM(LB_lb_gas_kWh,LB_rest_gas_kWh)/1000)*0.902</f>
        <v>1762.690204</v>
      </c>
      <c r="E5" s="18">
        <f>B17*'E Balans VL '!I25/3.6*1000000/100</f>
        <v>96.710928799258724</v>
      </c>
      <c r="F5" s="18">
        <f>B17*('E Balans VL '!L25/3.6*1000000+'E Balans VL '!N25/3.6*1000000)/100</f>
        <v>32673.14442559268</v>
      </c>
      <c r="G5" s="19"/>
      <c r="H5" s="18"/>
      <c r="I5" s="18"/>
      <c r="J5" s="18">
        <f>('E Balans VL '!D25+'E Balans VL '!E25)/3.6*1000000*landbouw!B17/100</f>
        <v>977.07721244979109</v>
      </c>
      <c r="K5" s="18"/>
      <c r="L5" s="18">
        <f>L6*(-1)</f>
        <v>0</v>
      </c>
      <c r="M5" s="18"/>
      <c r="N5" s="18">
        <f>N6*(-1)</f>
        <v>5240.7857142857147</v>
      </c>
      <c r="O5" s="18"/>
      <c r="P5" s="18"/>
      <c r="R5" s="33"/>
    </row>
    <row r="6" spans="1:18">
      <c r="A6" s="17" t="s">
        <v>488</v>
      </c>
      <c r="B6" s="18" t="s">
        <v>204</v>
      </c>
      <c r="C6" s="18">
        <f>'lokale energieproductie'!O41+'lokale energieproductie'!O33</f>
        <v>10.392857142857141</v>
      </c>
      <c r="D6" s="305">
        <f>('lokale energieproductie'!P33+'lokale energieproductie'!P41)*(-1)</f>
        <v>0</v>
      </c>
      <c r="E6" s="247"/>
      <c r="F6" s="305">
        <f>('lokale energieproductie'!S33+'lokale energieproductie'!S41)*(-1)</f>
        <v>0</v>
      </c>
      <c r="G6" s="248"/>
      <c r="H6" s="247"/>
      <c r="I6" s="247"/>
      <c r="J6" s="247"/>
      <c r="K6" s="247"/>
      <c r="L6" s="305">
        <f>('lokale energieproductie'!T33+'lokale energieproductie'!U33+'lokale energieproductie'!T41+'lokale energieproductie'!U41)*(-1)</f>
        <v>0</v>
      </c>
      <c r="M6" s="247"/>
      <c r="N6" s="305">
        <f>('lokale energieproductie'!V33+'lokale energieproductie'!R33+'lokale energieproductie'!Q33+'lokale energieproductie'!Q41+'lokale energieproductie'!R41+'lokale energieproductie'!V41)*(-1)</f>
        <v>-5240.7857142857147</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9793.331273988988</v>
      </c>
      <c r="C8" s="22">
        <f>C5+C6</f>
        <v>10.392857142857141</v>
      </c>
      <c r="D8" s="22">
        <f>MAX((D5+D6),0)</f>
        <v>1762.690204</v>
      </c>
      <c r="E8" s="22">
        <f>MAX((E5+E6),0)</f>
        <v>96.710928799258724</v>
      </c>
      <c r="F8" s="22">
        <f>MAX((F5+F6),0)</f>
        <v>32673.14442559268</v>
      </c>
      <c r="G8" s="22"/>
      <c r="H8" s="22"/>
      <c r="I8" s="22"/>
      <c r="J8" s="22">
        <f>MAX((J5+J6),0)</f>
        <v>977.07721244979109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0.19351922548209996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1895.1978830319763</v>
      </c>
      <c r="C12" s="24">
        <f ca="1">C8*C10</f>
        <v>0</v>
      </c>
      <c r="D12" s="24">
        <f>D8*D10</f>
        <v>356.06342120800002</v>
      </c>
      <c r="E12" s="24">
        <f>E8*E10</f>
        <v>21.95338083743173</v>
      </c>
      <c r="F12" s="24">
        <f>F8*F10</f>
        <v>8723.7295616332467</v>
      </c>
      <c r="G12" s="24"/>
      <c r="H12" s="24"/>
      <c r="I12" s="24"/>
      <c r="J12" s="24">
        <f>J8*J10</f>
        <v>345.88533320722604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1.3258605620669393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1927.2248978273533</v>
      </c>
      <c r="C26" s="246">
        <f>B26*'GWP N2O_CH4'!B5</f>
        <v>40471.72285437442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1027.7346363654544</v>
      </c>
      <c r="C27" s="246">
        <f>B27*'GWP N2O_CH4'!B5</f>
        <v>21582.427363674542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29.760341470855842</v>
      </c>
      <c r="C28" s="246">
        <f>B28*'GWP N2O_CH4'!B4</f>
        <v>9225.7058559653105</v>
      </c>
      <c r="D28" s="51"/>
    </row>
    <row r="29" spans="1:4">
      <c r="A29" s="42" t="s">
        <v>266</v>
      </c>
      <c r="B29" s="246">
        <f>B34*'ha_N2O bodem landbouw'!B4</f>
        <v>68.203001786301016</v>
      </c>
      <c r="C29" s="246">
        <f>B29*'GWP N2O_CH4'!B4</f>
        <v>21142.930553753315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1.8412663433605866E-2</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2.1981423556584634E-5</v>
      </c>
      <c r="C5" s="433" t="s">
        <v>204</v>
      </c>
      <c r="D5" s="418">
        <f>SUM(D6:D11)</f>
        <v>2.7061253019672194E-5</v>
      </c>
      <c r="E5" s="418">
        <f>SUM(E6:E11)</f>
        <v>1.7290733783270696E-3</v>
      </c>
      <c r="F5" s="431" t="s">
        <v>204</v>
      </c>
      <c r="G5" s="418">
        <f>SUM(G6:G11)</f>
        <v>0.39647311216390607</v>
      </c>
      <c r="H5" s="418">
        <f>SUM(H6:H11)</f>
        <v>6.9050511445196222E-2</v>
      </c>
      <c r="I5" s="433" t="s">
        <v>204</v>
      </c>
      <c r="J5" s="433" t="s">
        <v>204</v>
      </c>
      <c r="K5" s="433" t="s">
        <v>204</v>
      </c>
      <c r="L5" s="433" t="s">
        <v>204</v>
      </c>
      <c r="M5" s="418">
        <f>SUM(M6:M11)</f>
        <v>2.0804222392933142E-2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1.7875087255935361E-5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2.0731849361299028E-5</v>
      </c>
      <c r="E6" s="421">
        <f>vkm_GW_PW*SUMIFS(TableVerdeelsleutelVkm[LPG],TableVerdeelsleutelVkm[Voertuigtype],"Lichte voertuigen")*SUMIFS(TableECFTransport[EnergieConsumptieFactor (PJ per km)],TableECFTransport[Index],CONCATENATE($A6,"_LPG_LPG"))</f>
        <v>1.3418964181243481E-3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0.2115791497802734</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5.3500601254137019E-2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1.1864987376384539E-2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7.1947614388739006E-7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0.1190164101866457</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3.7091425669335678E-6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5.2958656134093679E-3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3.3484151462742122E-6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6.3294036583731666E-6</v>
      </c>
      <c r="E8" s="421">
        <f>vkm_NGW_PW*SUMIFS(TableVerdeelsleutelVkm[LPG],TableVerdeelsleutelVkm[Voertuigtype],"Lichte voertuigen")*SUMIFS(TableECFTransport[EnergieConsumptieFactor (PJ per km)],TableECFTransport[Index],CONCATENATE($A8,"_LPG_LPG"))</f>
        <v>3.8717696020272157E-4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5.7722336410164082E-2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1.5545961819639234E-2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3.2804879702039388E-3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3.844501048766936E-8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8.1552157868229076E-3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2.3922885302796101E-7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3.628814329352931E-4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6.1059509879401759</v>
      </c>
      <c r="C14" s="22"/>
      <c r="D14" s="22">
        <f t="shared" ref="D14:M14" si="0">((D5)*10^9/3600)+D12</f>
        <v>7.5170147276867203</v>
      </c>
      <c r="E14" s="22">
        <f t="shared" si="0"/>
        <v>480.29816064640823</v>
      </c>
      <c r="F14" s="22"/>
      <c r="G14" s="22">
        <f t="shared" si="0"/>
        <v>110131.42004552948</v>
      </c>
      <c r="H14" s="22">
        <f t="shared" si="0"/>
        <v>19180.697623665619</v>
      </c>
      <c r="I14" s="22"/>
      <c r="J14" s="22"/>
      <c r="K14" s="22"/>
      <c r="L14" s="22"/>
      <c r="M14" s="22">
        <f t="shared" si="0"/>
        <v>5778.9506647036505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0.19351922548209996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1.1816189060178459</v>
      </c>
      <c r="C18" s="24"/>
      <c r="D18" s="24">
        <f t="shared" ref="D18:M18" si="1">D14*D16</f>
        <v>1.5184369749927176</v>
      </c>
      <c r="E18" s="24">
        <f t="shared" si="1"/>
        <v>109.02768246673467</v>
      </c>
      <c r="F18" s="24"/>
      <c r="G18" s="24">
        <f t="shared" si="1"/>
        <v>29405.089152156372</v>
      </c>
      <c r="H18" s="24">
        <f t="shared" si="1"/>
        <v>4775.993708292739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3.6969201035008408E-5</v>
      </c>
      <c r="C50" s="316">
        <f t="shared" ref="C50:P50" si="2">SUM(C51:C52)</f>
        <v>0</v>
      </c>
      <c r="D50" s="316">
        <f t="shared" si="2"/>
        <v>0</v>
      </c>
      <c r="E50" s="316">
        <f t="shared" si="2"/>
        <v>0</v>
      </c>
      <c r="F50" s="316">
        <f t="shared" si="2"/>
        <v>0</v>
      </c>
      <c r="G50" s="316">
        <f t="shared" si="2"/>
        <v>7.3735802378611208E-3</v>
      </c>
      <c r="H50" s="316">
        <f t="shared" si="2"/>
        <v>0</v>
      </c>
      <c r="I50" s="316">
        <f t="shared" si="2"/>
        <v>0</v>
      </c>
      <c r="J50" s="316">
        <f t="shared" si="2"/>
        <v>0</v>
      </c>
      <c r="K50" s="316">
        <f t="shared" si="2"/>
        <v>0</v>
      </c>
      <c r="L50" s="316">
        <f t="shared" si="2"/>
        <v>0</v>
      </c>
      <c r="M50" s="316">
        <f t="shared" si="2"/>
        <v>3.2590439333399348E-4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3.6969201035008408E-5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7.3735802378611208E-3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3.2590439333399348E-4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10.269222509724559</v>
      </c>
      <c r="C54" s="22">
        <f t="shared" ref="C54:P54" si="3">(C50)*10^9/3600</f>
        <v>0</v>
      </c>
      <c r="D54" s="22">
        <f t="shared" si="3"/>
        <v>0</v>
      </c>
      <c r="E54" s="22">
        <f t="shared" si="3"/>
        <v>0</v>
      </c>
      <c r="F54" s="22">
        <f t="shared" si="3"/>
        <v>0</v>
      </c>
      <c r="G54" s="22">
        <f t="shared" si="3"/>
        <v>2048.2167327392003</v>
      </c>
      <c r="H54" s="22">
        <f t="shared" si="3"/>
        <v>0</v>
      </c>
      <c r="I54" s="22">
        <f t="shared" si="3"/>
        <v>0</v>
      </c>
      <c r="J54" s="22">
        <f t="shared" si="3"/>
        <v>0</v>
      </c>
      <c r="K54" s="22">
        <f t="shared" si="3"/>
        <v>0</v>
      </c>
      <c r="L54" s="22">
        <f t="shared" si="3"/>
        <v>0</v>
      </c>
      <c r="M54" s="22">
        <f t="shared" si="3"/>
        <v>90.528998148331524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0.19351922548209996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1.9872919863852434</v>
      </c>
      <c r="C58" s="24">
        <f t="shared" ref="C58:P58" ca="1" si="4">C54*C56</f>
        <v>0</v>
      </c>
      <c r="D58" s="24">
        <f t="shared" si="4"/>
        <v>0</v>
      </c>
      <c r="E58" s="24">
        <f t="shared" si="4"/>
        <v>0</v>
      </c>
      <c r="F58" s="24">
        <f t="shared" si="4"/>
        <v>0</v>
      </c>
      <c r="G58" s="24">
        <f t="shared" si="4"/>
        <v>546.87386764136647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2648.7481688010957</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6675.8340632149129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7.2749999999999986</v>
      </c>
      <c r="C8" s="544">
        <f>B50</f>
        <v>0</v>
      </c>
      <c r="D8" s="931"/>
      <c r="E8" s="931">
        <f>E50</f>
        <v>0</v>
      </c>
      <c r="F8" s="932"/>
      <c r="G8" s="545"/>
      <c r="H8" s="931">
        <f>I50</f>
        <v>0</v>
      </c>
      <c r="I8" s="931">
        <f>G50+F50</f>
        <v>0</v>
      </c>
      <c r="J8" s="931">
        <f>H50+D50+C50</f>
        <v>8.5588235294117645</v>
      </c>
      <c r="K8" s="931"/>
      <c r="L8" s="931"/>
      <c r="M8" s="931"/>
      <c r="N8" s="546"/>
      <c r="O8" s="547">
        <f>C8*$C$12+D8*$D$12+E8*$E$12+F8*$F$12+G8*$G$12+H8*$H$12+I8*$I$12+J8*$J$12</f>
        <v>0</v>
      </c>
      <c r="P8" s="1206"/>
      <c r="Q8" s="1207"/>
      <c r="S8" s="968"/>
      <c r="T8" s="1227"/>
      <c r="U8" s="1227"/>
    </row>
    <row r="9" spans="1:21" s="532" customFormat="1" ht="17.45" customHeight="1" thickBot="1">
      <c r="A9" s="548" t="s">
        <v>237</v>
      </c>
      <c r="B9" s="933">
        <f>N38+'Eigen informatie GS &amp; warmtenet'!B12</f>
        <v>1845</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5220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11176.857232016007</v>
      </c>
      <c r="C10" s="556">
        <f t="shared" ref="C10:L10" si="0">SUM(C8:C9)</f>
        <v>0</v>
      </c>
      <c r="D10" s="556">
        <f t="shared" si="0"/>
        <v>0</v>
      </c>
      <c r="E10" s="556">
        <f t="shared" si="0"/>
        <v>0</v>
      </c>
      <c r="F10" s="556">
        <f t="shared" si="0"/>
        <v>0</v>
      </c>
      <c r="G10" s="556">
        <f t="shared" si="0"/>
        <v>0</v>
      </c>
      <c r="H10" s="556">
        <f t="shared" si="0"/>
        <v>0</v>
      </c>
      <c r="I10" s="556">
        <f t="shared" si="0"/>
        <v>0</v>
      </c>
      <c r="J10" s="556">
        <f t="shared" si="0"/>
        <v>5228.5588235294117</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10.392857142857141</v>
      </c>
      <c r="C17" s="568">
        <f>B51</f>
        <v>0</v>
      </c>
      <c r="D17" s="569"/>
      <c r="E17" s="569">
        <f>E51</f>
        <v>0</v>
      </c>
      <c r="F17" s="570"/>
      <c r="G17" s="571"/>
      <c r="H17" s="568">
        <f>I51</f>
        <v>0</v>
      </c>
      <c r="I17" s="569">
        <f>G51+F51</f>
        <v>0</v>
      </c>
      <c r="J17" s="569">
        <f>H51+D51+C51</f>
        <v>12.22689075630252</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10.392857142857141</v>
      </c>
      <c r="C20" s="555">
        <f>SUM(C17:C19)</f>
        <v>0</v>
      </c>
      <c r="D20" s="555">
        <f t="shared" ref="D20:L20" si="1">SUM(D17:D19)</f>
        <v>0</v>
      </c>
      <c r="E20" s="555">
        <f t="shared" si="1"/>
        <v>0</v>
      </c>
      <c r="F20" s="555">
        <f t="shared" si="1"/>
        <v>0</v>
      </c>
      <c r="G20" s="555">
        <f t="shared" si="1"/>
        <v>0</v>
      </c>
      <c r="H20" s="555">
        <f t="shared" si="1"/>
        <v>0</v>
      </c>
      <c r="I20" s="555">
        <f t="shared" si="1"/>
        <v>0</v>
      </c>
      <c r="J20" s="555">
        <f t="shared" si="1"/>
        <v>12.22689075630252</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32003</v>
      </c>
      <c r="C28" s="740">
        <v>8600</v>
      </c>
      <c r="D28" s="628"/>
      <c r="E28" s="627"/>
      <c r="F28" s="627"/>
      <c r="G28" s="627" t="s">
        <v>942</v>
      </c>
      <c r="H28" s="627" t="s">
        <v>943</v>
      </c>
      <c r="I28" s="627"/>
      <c r="J28" s="739"/>
      <c r="K28" s="739"/>
      <c r="L28" s="627" t="s">
        <v>944</v>
      </c>
      <c r="M28" s="627">
        <v>9.6999999999999993</v>
      </c>
      <c r="N28" s="627">
        <v>3.6374999999999993</v>
      </c>
      <c r="O28" s="627">
        <v>5.1964285714285703</v>
      </c>
      <c r="P28" s="627">
        <v>0</v>
      </c>
      <c r="Q28" s="627">
        <v>10.392857142857142</v>
      </c>
      <c r="R28" s="627">
        <v>0</v>
      </c>
      <c r="S28" s="627">
        <v>0</v>
      </c>
      <c r="T28" s="627">
        <v>0</v>
      </c>
      <c r="U28" s="627">
        <v>0</v>
      </c>
      <c r="V28" s="627">
        <v>0</v>
      </c>
      <c r="W28" s="627"/>
      <c r="X28" s="627"/>
      <c r="Y28" s="627">
        <v>10</v>
      </c>
      <c r="Z28" s="627" t="s">
        <v>105</v>
      </c>
      <c r="AA28" s="629" t="s">
        <v>105</v>
      </c>
    </row>
    <row r="29" spans="1:27" s="581" customFormat="1" ht="25.5" hidden="1">
      <c r="A29" s="580"/>
      <c r="B29" s="740">
        <v>32003</v>
      </c>
      <c r="C29" s="740">
        <v>8600</v>
      </c>
      <c r="D29" s="628"/>
      <c r="E29" s="627"/>
      <c r="F29" s="627"/>
      <c r="G29" s="627" t="s">
        <v>942</v>
      </c>
      <c r="H29" s="627" t="s">
        <v>943</v>
      </c>
      <c r="I29" s="627"/>
      <c r="J29" s="739"/>
      <c r="K29" s="739"/>
      <c r="L29" s="627" t="s">
        <v>945</v>
      </c>
      <c r="M29" s="627">
        <v>9.6999999999999993</v>
      </c>
      <c r="N29" s="627">
        <v>3.6374999999999993</v>
      </c>
      <c r="O29" s="627">
        <v>5.1964285714285703</v>
      </c>
      <c r="P29" s="627">
        <v>0</v>
      </c>
      <c r="Q29" s="627">
        <v>10.392857142857142</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19.399999999999999</v>
      </c>
      <c r="N30" s="585">
        <f>SUM(N28:N29)</f>
        <v>7.2749999999999986</v>
      </c>
      <c r="O30" s="585">
        <f>SUM(O28:O29)</f>
        <v>10.392857142857141</v>
      </c>
      <c r="P30" s="585">
        <f>SUM(P28:P29)</f>
        <v>0</v>
      </c>
      <c r="Q30" s="585">
        <f>SUM(Q28:Q29)</f>
        <v>20.785714285714285</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19.399999999999999</v>
      </c>
      <c r="N33" s="590">
        <f>SUMIF($AA$28:$AA$29,"landbouw",N28:N29)</f>
        <v>7.2749999999999986</v>
      </c>
      <c r="O33" s="590">
        <f>SUMIF($AA$28:$AA$29,"landbouw",O28:O29)</f>
        <v>10.392857142857141</v>
      </c>
      <c r="P33" s="590">
        <f>SUMIF($AA$28:$AA$29,"landbouw",P28:P29)</f>
        <v>0</v>
      </c>
      <c r="Q33" s="590">
        <f>SUMIF($AA$28:$AA$29,"landbouw",Q28:Q29)</f>
        <v>20.785714285714285</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38.25" hidden="1">
      <c r="A36" s="582"/>
      <c r="B36" s="740">
        <v>32003</v>
      </c>
      <c r="C36" s="740">
        <v>8600</v>
      </c>
      <c r="D36" s="630"/>
      <c r="E36" s="630"/>
      <c r="F36" s="630"/>
      <c r="G36" s="630" t="s">
        <v>946</v>
      </c>
      <c r="H36" s="630" t="s">
        <v>947</v>
      </c>
      <c r="I36" s="630"/>
      <c r="J36" s="739"/>
      <c r="K36" s="739"/>
      <c r="L36" s="630" t="s">
        <v>944</v>
      </c>
      <c r="M36" s="630">
        <v>378</v>
      </c>
      <c r="N36" s="630">
        <v>1701</v>
      </c>
      <c r="O36" s="630">
        <v>0</v>
      </c>
      <c r="P36" s="630">
        <v>0</v>
      </c>
      <c r="Q36" s="630">
        <v>0</v>
      </c>
      <c r="R36" s="630">
        <v>0</v>
      </c>
      <c r="S36" s="630">
        <v>0</v>
      </c>
      <c r="T36" s="630">
        <v>0</v>
      </c>
      <c r="U36" s="630">
        <v>0</v>
      </c>
      <c r="V36" s="630">
        <v>4860</v>
      </c>
      <c r="W36" s="630"/>
      <c r="X36" s="630"/>
      <c r="Y36" s="630">
        <v>10</v>
      </c>
      <c r="Z36" s="630" t="s">
        <v>105</v>
      </c>
      <c r="AA36" s="631" t="s">
        <v>105</v>
      </c>
    </row>
    <row r="37" spans="1:28" s="596" customFormat="1" ht="38.25" hidden="1">
      <c r="A37" s="582"/>
      <c r="B37" s="740">
        <v>32003</v>
      </c>
      <c r="C37" s="740">
        <v>8600</v>
      </c>
      <c r="D37" s="630"/>
      <c r="E37" s="630"/>
      <c r="F37" s="630"/>
      <c r="G37" s="630" t="s">
        <v>948</v>
      </c>
      <c r="H37" s="630" t="s">
        <v>949</v>
      </c>
      <c r="I37" s="630"/>
      <c r="J37" s="739"/>
      <c r="K37" s="739"/>
      <c r="L37" s="630" t="s">
        <v>950</v>
      </c>
      <c r="M37" s="630">
        <v>32</v>
      </c>
      <c r="N37" s="630">
        <v>144</v>
      </c>
      <c r="O37" s="630">
        <v>0</v>
      </c>
      <c r="P37" s="630">
        <v>0</v>
      </c>
      <c r="Q37" s="630">
        <v>0</v>
      </c>
      <c r="R37" s="630">
        <v>0</v>
      </c>
      <c r="S37" s="630">
        <v>0</v>
      </c>
      <c r="T37" s="630">
        <v>0</v>
      </c>
      <c r="U37" s="630">
        <v>0</v>
      </c>
      <c r="V37" s="630">
        <v>360</v>
      </c>
      <c r="W37" s="630"/>
      <c r="X37" s="630"/>
      <c r="Y37" s="630">
        <v>10</v>
      </c>
      <c r="Z37" s="630" t="s">
        <v>105</v>
      </c>
      <c r="AA37" s="631" t="s">
        <v>105</v>
      </c>
    </row>
    <row r="38" spans="1:28" s="563" customFormat="1" hidden="1">
      <c r="A38" s="583" t="s">
        <v>269</v>
      </c>
      <c r="B38" s="584"/>
      <c r="C38" s="584"/>
      <c r="D38" s="584"/>
      <c r="E38" s="584"/>
      <c r="F38" s="584"/>
      <c r="G38" s="584"/>
      <c r="H38" s="584"/>
      <c r="I38" s="584"/>
      <c r="J38" s="584"/>
      <c r="K38" s="584"/>
      <c r="L38" s="585"/>
      <c r="M38" s="585">
        <f>SUM(M36:M37)</f>
        <v>410</v>
      </c>
      <c r="N38" s="585">
        <f>SUM(N36:N37)</f>
        <v>1845</v>
      </c>
      <c r="O38" s="585">
        <f>SUM(O36:O37)</f>
        <v>0</v>
      </c>
      <c r="P38" s="585">
        <f>SUM(P36:P37)</f>
        <v>0</v>
      </c>
      <c r="Q38" s="585">
        <f>SUM(Q36:Q37)</f>
        <v>0</v>
      </c>
      <c r="R38" s="585">
        <f>SUM(R36:R37)</f>
        <v>0</v>
      </c>
      <c r="S38" s="585">
        <f>SUM(S36:S37)</f>
        <v>0</v>
      </c>
      <c r="T38" s="585">
        <f>SUM(T36:T37)</f>
        <v>0</v>
      </c>
      <c r="U38" s="585">
        <f>SUM(U36:U37)</f>
        <v>0</v>
      </c>
      <c r="V38" s="585">
        <f>SUM(V36:V37)</f>
        <v>5220</v>
      </c>
      <c r="W38" s="585">
        <f>SUM(W36:W37)</f>
        <v>0</v>
      </c>
      <c r="X38" s="585"/>
      <c r="Y38" s="586"/>
      <c r="Z38" s="586"/>
      <c r="AA38" s="587"/>
    </row>
    <row r="39" spans="1:28" s="563" customFormat="1">
      <c r="A39" s="583" t="s">
        <v>276</v>
      </c>
      <c r="B39" s="584"/>
      <c r="C39" s="584"/>
      <c r="D39" s="584"/>
      <c r="E39" s="584"/>
      <c r="F39" s="584"/>
      <c r="G39" s="584"/>
      <c r="H39" s="584"/>
      <c r="I39" s="584"/>
      <c r="J39" s="584"/>
      <c r="K39" s="584"/>
      <c r="L39" s="585"/>
      <c r="M39" s="585">
        <f>SUMIF($AA$36:$AA$37,"industrie",M36:M37)</f>
        <v>0</v>
      </c>
      <c r="N39" s="585">
        <f>SUMIF($AA$36:$AA$37,"industrie",N36:N37)</f>
        <v>0</v>
      </c>
      <c r="O39" s="585">
        <f>SUMIF($AA$36:$AA$37,"industrie",O36:O37)</f>
        <v>0</v>
      </c>
      <c r="P39" s="585">
        <f>SUMIF($AA$36:$AA$37,"industrie",P36:P37)</f>
        <v>0</v>
      </c>
      <c r="Q39" s="585">
        <f>SUMIF($AA$36:$AA$37,"industrie",Q36:Q37)</f>
        <v>0</v>
      </c>
      <c r="R39" s="585">
        <f>SUMIF($AA$36:$AA$37,"industrie",R36:R37)</f>
        <v>0</v>
      </c>
      <c r="S39" s="585">
        <f>SUMIF($AA$36:$AA$37,"industrie",S36:S37)</f>
        <v>0</v>
      </c>
      <c r="T39" s="585">
        <f>SUMIF($AA$36:$AA$37,"industrie",T36:T37)</f>
        <v>0</v>
      </c>
      <c r="U39" s="585">
        <f>SUMIF($AA$36:$AA$37,"industrie",U36:U37)</f>
        <v>0</v>
      </c>
      <c r="V39" s="585">
        <f>SUMIF($AA$36:$AA$37,"industrie",V36:V37)</f>
        <v>0</v>
      </c>
      <c r="W39" s="585">
        <f>SUMIF($AA$36:$AA$37,"industrie",W36:W37)</f>
        <v>0</v>
      </c>
      <c r="X39" s="585"/>
      <c r="Y39" s="586"/>
      <c r="Z39" s="586"/>
      <c r="AA39" s="587"/>
    </row>
    <row r="40" spans="1:28" s="563" customFormat="1">
      <c r="A40" s="583" t="s">
        <v>277</v>
      </c>
      <c r="B40" s="584"/>
      <c r="C40" s="584"/>
      <c r="D40" s="584"/>
      <c r="E40" s="584"/>
      <c r="F40" s="584"/>
      <c r="G40" s="584"/>
      <c r="H40" s="584"/>
      <c r="I40" s="584"/>
      <c r="J40" s="584"/>
      <c r="K40" s="584"/>
      <c r="L40" s="585"/>
      <c r="M40" s="585">
        <f>SUMIF($AA$36:$AA$38,"tertiair",M36:M38)</f>
        <v>0</v>
      </c>
      <c r="N40" s="585">
        <f>SUMIF($AA$36:$AA$38,"tertiair",N36:N38)</f>
        <v>0</v>
      </c>
      <c r="O40" s="585">
        <f>SUMIF($AA$36:$AA$38,"tertiair",O36:O38)</f>
        <v>0</v>
      </c>
      <c r="P40" s="585">
        <f>SUMIF($AA$36:$AA$38,"tertiair",P36:P38)</f>
        <v>0</v>
      </c>
      <c r="Q40" s="585">
        <f>SUMIF($AA$36:$AA$38,"tertiair",Q36:Q38)</f>
        <v>0</v>
      </c>
      <c r="R40" s="585">
        <f>SUMIF($AA$36:$AA$38,"tertiair",R36:R38)</f>
        <v>0</v>
      </c>
      <c r="S40" s="585">
        <f>SUMIF($AA$36:$AA$38,"tertiair",S36:S38)</f>
        <v>0</v>
      </c>
      <c r="T40" s="585">
        <f>SUMIF($AA$36:$AA$38,"tertiair",T36:T38)</f>
        <v>0</v>
      </c>
      <c r="U40" s="585">
        <f>SUMIF($AA$36:$AA$38,"tertiair",U36:U38)</f>
        <v>0</v>
      </c>
      <c r="V40" s="585">
        <f>SUMIF($AA$36:$AA$38,"tertiair",V36:V38)</f>
        <v>0</v>
      </c>
      <c r="W40" s="585">
        <f>SUMIF($AA$36:$AA$38,"tertiair",W36:W38)</f>
        <v>0</v>
      </c>
      <c r="X40" s="585"/>
      <c r="Y40" s="586"/>
      <c r="Z40" s="586"/>
      <c r="AA40" s="587"/>
    </row>
    <row r="41" spans="1:28" s="563" customFormat="1" ht="15.75" thickBot="1">
      <c r="A41" s="588" t="s">
        <v>278</v>
      </c>
      <c r="B41" s="589"/>
      <c r="C41" s="589"/>
      <c r="D41" s="589"/>
      <c r="E41" s="589"/>
      <c r="F41" s="589"/>
      <c r="G41" s="589"/>
      <c r="H41" s="589"/>
      <c r="I41" s="589"/>
      <c r="J41" s="589"/>
      <c r="K41" s="589"/>
      <c r="L41" s="590"/>
      <c r="M41" s="590">
        <f>SUMIF($AA$36:$AA$39,"landbouw",M36:M39)</f>
        <v>410</v>
      </c>
      <c r="N41" s="590">
        <f>SUMIF($AA$36:$AA$39,"landbouw",N36:N39)</f>
        <v>1845</v>
      </c>
      <c r="O41" s="590">
        <f>SUMIF($AA$36:$AA$39,"landbouw",O36:O39)</f>
        <v>0</v>
      </c>
      <c r="P41" s="590">
        <f>SUMIF($AA$36:$AA$39,"landbouw",P36:P39)</f>
        <v>0</v>
      </c>
      <c r="Q41" s="590">
        <f>SUMIF($AA$36:$AA$39,"landbouw",Q36:Q39)</f>
        <v>0</v>
      </c>
      <c r="R41" s="590">
        <f>SUMIF($AA$36:$AA$39,"landbouw",R36:R39)</f>
        <v>0</v>
      </c>
      <c r="S41" s="590">
        <f>SUMIF($AA$36:$AA$39,"landbouw",S36:S39)</f>
        <v>0</v>
      </c>
      <c r="T41" s="590">
        <f>SUMIF($AA$36:$AA$39,"landbouw",T36:T39)</f>
        <v>0</v>
      </c>
      <c r="U41" s="590">
        <f>SUMIF($AA$36:$AA$39,"landbouw",U36:U39)</f>
        <v>0</v>
      </c>
      <c r="V41" s="590">
        <f>SUMIF($AA$36:$AA$39,"landbouw",V36:V39)</f>
        <v>5220</v>
      </c>
      <c r="W41" s="590">
        <f>SUMIF($AA$36:$AA$39,"landbouw",W36:W39)</f>
        <v>0</v>
      </c>
      <c r="X41" s="590"/>
      <c r="Y41" s="591"/>
      <c r="Z41" s="591"/>
      <c r="AA41" s="592"/>
    </row>
    <row r="42" spans="1:28" s="597" customForma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row>
    <row r="43" spans="1:28" s="597" customFormat="1" ht="15.75" thickBo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row>
    <row r="44" spans="1:28">
      <c r="A44" s="598" t="s">
        <v>271</v>
      </c>
      <c r="B44" s="599"/>
      <c r="C44" s="599"/>
      <c r="D44" s="599"/>
      <c r="E44" s="599"/>
      <c r="F44" s="599"/>
      <c r="G44" s="599"/>
      <c r="H44" s="599"/>
      <c r="I44" s="600"/>
      <c r="J44" s="601"/>
      <c r="K44" s="601"/>
      <c r="L44" s="602"/>
      <c r="M44" s="602"/>
      <c r="N44" s="602"/>
      <c r="O44" s="602"/>
      <c r="P44" s="602"/>
    </row>
    <row r="45" spans="1:28">
      <c r="A45" s="604"/>
      <c r="B45" s="594"/>
      <c r="C45" s="594"/>
      <c r="D45" s="594"/>
      <c r="E45" s="594"/>
      <c r="F45" s="594"/>
      <c r="G45" s="594"/>
      <c r="H45" s="594"/>
      <c r="I45" s="605"/>
      <c r="J45" s="594"/>
      <c r="K45" s="594"/>
      <c r="L45" s="602"/>
      <c r="M45" s="602"/>
      <c r="N45" s="602"/>
      <c r="O45" s="602"/>
      <c r="P45" s="602"/>
    </row>
    <row r="46" spans="1:28">
      <c r="A46" s="606"/>
      <c r="B46" s="607" t="s">
        <v>272</v>
      </c>
      <c r="C46" s="607" t="s">
        <v>273</v>
      </c>
      <c r="D46" s="607"/>
      <c r="E46" s="607"/>
      <c r="F46" s="607"/>
      <c r="G46" s="607"/>
      <c r="H46" s="607"/>
      <c r="I46" s="608"/>
      <c r="J46" s="607"/>
      <c r="K46" s="607"/>
      <c r="L46" s="607"/>
      <c r="M46" s="607"/>
      <c r="N46" s="607"/>
      <c r="O46" s="607"/>
      <c r="P46" s="602"/>
    </row>
    <row r="47" spans="1:28">
      <c r="A47" s="604" t="s">
        <v>269</v>
      </c>
      <c r="B47" s="609">
        <f>IF(ISERROR(O30/(O30+N30)),0,O30/(O30+N30))</f>
        <v>0.58823529411764708</v>
      </c>
      <c r="C47" s="610">
        <f>IF(ISERROR(N30/(O30+N30)),0,N30/(N30+O30))</f>
        <v>0.41176470588235298</v>
      </c>
      <c r="D47" s="577"/>
      <c r="E47" s="577"/>
      <c r="F47" s="577"/>
      <c r="G47" s="577"/>
      <c r="H47" s="577"/>
      <c r="I47" s="611"/>
      <c r="J47" s="577"/>
      <c r="K47" s="577"/>
      <c r="L47" s="612"/>
      <c r="M47" s="612"/>
      <c r="N47" s="612"/>
      <c r="O47" s="612"/>
      <c r="P47" s="602"/>
    </row>
    <row r="48" spans="1:28">
      <c r="A48" s="604"/>
      <c r="B48" s="613"/>
      <c r="C48" s="613"/>
      <c r="D48" s="613"/>
      <c r="E48" s="613"/>
      <c r="F48" s="613"/>
      <c r="G48" s="613"/>
      <c r="H48" s="613"/>
      <c r="I48" s="614"/>
      <c r="J48" s="613"/>
      <c r="K48" s="613"/>
      <c r="L48" s="615"/>
      <c r="M48" s="615"/>
      <c r="N48" s="615"/>
      <c r="O48" s="615"/>
      <c r="P48" s="602"/>
    </row>
    <row r="49" spans="1:16" ht="30">
      <c r="A49" s="616"/>
      <c r="B49" s="617" t="s">
        <v>533</v>
      </c>
      <c r="C49" s="617" t="s">
        <v>96</v>
      </c>
      <c r="D49" s="617" t="s">
        <v>97</v>
      </c>
      <c r="E49" s="617" t="s">
        <v>98</v>
      </c>
      <c r="F49" s="617" t="s">
        <v>99</v>
      </c>
      <c r="G49" s="617" t="s">
        <v>100</v>
      </c>
      <c r="H49" s="617" t="s">
        <v>101</v>
      </c>
      <c r="I49" s="618" t="s">
        <v>102</v>
      </c>
      <c r="J49" s="607"/>
      <c r="K49" s="607"/>
      <c r="L49" s="615"/>
      <c r="M49" s="615"/>
      <c r="N49" s="615"/>
      <c r="O49" s="602"/>
      <c r="P49" s="602"/>
    </row>
    <row r="50" spans="1:16">
      <c r="A50" s="606" t="s">
        <v>274</v>
      </c>
      <c r="B50" s="619">
        <f t="shared" ref="B50:I50" si="2">$C$47*P30</f>
        <v>0</v>
      </c>
      <c r="C50" s="619">
        <f t="shared" si="2"/>
        <v>8.5588235294117645</v>
      </c>
      <c r="D50" s="619">
        <f t="shared" si="2"/>
        <v>0</v>
      </c>
      <c r="E50" s="619">
        <f t="shared" si="2"/>
        <v>0</v>
      </c>
      <c r="F50" s="619">
        <f t="shared" si="2"/>
        <v>0</v>
      </c>
      <c r="G50" s="619">
        <f t="shared" si="2"/>
        <v>0</v>
      </c>
      <c r="H50" s="619">
        <f t="shared" si="2"/>
        <v>0</v>
      </c>
      <c r="I50" s="620">
        <f t="shared" si="2"/>
        <v>0</v>
      </c>
      <c r="J50" s="577"/>
      <c r="K50" s="577"/>
      <c r="L50" s="615"/>
      <c r="M50" s="615"/>
      <c r="N50" s="615"/>
      <c r="O50" s="602"/>
      <c r="P50" s="602"/>
    </row>
    <row r="51" spans="1:16" ht="15.75" thickBot="1">
      <c r="A51" s="621" t="s">
        <v>275</v>
      </c>
      <c r="B51" s="622">
        <f t="shared" ref="B51:I51" si="3">$B$47*P30</f>
        <v>0</v>
      </c>
      <c r="C51" s="622">
        <f t="shared" si="3"/>
        <v>12.22689075630252</v>
      </c>
      <c r="D51" s="622">
        <f t="shared" si="3"/>
        <v>0</v>
      </c>
      <c r="E51" s="622">
        <f t="shared" si="3"/>
        <v>0</v>
      </c>
      <c r="F51" s="622">
        <f t="shared" si="3"/>
        <v>0</v>
      </c>
      <c r="G51" s="622">
        <f t="shared" si="3"/>
        <v>0</v>
      </c>
      <c r="H51" s="622">
        <f t="shared" si="3"/>
        <v>0</v>
      </c>
      <c r="I51" s="623">
        <f t="shared" si="3"/>
        <v>0</v>
      </c>
      <c r="J51" s="577"/>
      <c r="K51" s="577"/>
      <c r="L51" s="615"/>
      <c r="M51" s="615"/>
      <c r="N51" s="615"/>
      <c r="O51" s="602"/>
      <c r="P51" s="602"/>
    </row>
    <row r="52" spans="1:16">
      <c r="J52" s="561"/>
      <c r="K52" s="561"/>
      <c r="L52" s="561"/>
      <c r="M52" s="561"/>
      <c r="N52" s="561"/>
    </row>
    <row r="53" spans="1:16">
      <c r="J53" s="561"/>
      <c r="K53" s="561"/>
      <c r="L53" s="561"/>
      <c r="M53" s="561"/>
      <c r="N53"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28891.708000000002</v>
      </c>
      <c r="D10" s="639">
        <f ca="1">tertiair!C16</f>
        <v>0</v>
      </c>
      <c r="E10" s="639">
        <f ca="1">tertiair!D16</f>
        <v>14450.029176</v>
      </c>
      <c r="F10" s="639">
        <f>tertiair!E16</f>
        <v>255.49677492588367</v>
      </c>
      <c r="G10" s="639">
        <f ca="1">tertiair!F16</f>
        <v>6384.1784197233592</v>
      </c>
      <c r="H10" s="639">
        <f>tertiair!G16</f>
        <v>0</v>
      </c>
      <c r="I10" s="639">
        <f>tertiair!H16</f>
        <v>0</v>
      </c>
      <c r="J10" s="639">
        <f>tertiair!I16</f>
        <v>0</v>
      </c>
      <c r="K10" s="639">
        <f>tertiair!J16</f>
        <v>0</v>
      </c>
      <c r="L10" s="639">
        <f>tertiair!K16</f>
        <v>0</v>
      </c>
      <c r="M10" s="639">
        <f ca="1">tertiair!L16</f>
        <v>0</v>
      </c>
      <c r="N10" s="639">
        <f>tertiair!M16</f>
        <v>0</v>
      </c>
      <c r="O10" s="639">
        <f ca="1">tertiair!N16</f>
        <v>4450.1065840453466</v>
      </c>
      <c r="P10" s="639">
        <f>tertiair!O16</f>
        <v>1.5633333333333335</v>
      </c>
      <c r="Q10" s="640">
        <f>tertiair!P16</f>
        <v>19.066666666666666</v>
      </c>
      <c r="R10" s="642">
        <f ca="1">SUM(C10:Q10)</f>
        <v>54452.148954694589</v>
      </c>
      <c r="S10" s="68"/>
    </row>
    <row r="11" spans="1:19" s="443" customFormat="1">
      <c r="A11" s="753" t="s">
        <v>214</v>
      </c>
      <c r="B11" s="758"/>
      <c r="C11" s="639">
        <f>huishoudens!B8</f>
        <v>29794.98833306797</v>
      </c>
      <c r="D11" s="639">
        <f>huishoudens!C8</f>
        <v>0</v>
      </c>
      <c r="E11" s="639">
        <f>huishoudens!D8</f>
        <v>59148.177351999999</v>
      </c>
      <c r="F11" s="639">
        <f>huishoudens!E8</f>
        <v>1517.6879460214873</v>
      </c>
      <c r="G11" s="639">
        <f>huishoudens!F8</f>
        <v>46269.899177062194</v>
      </c>
      <c r="H11" s="639">
        <f>huishoudens!G8</f>
        <v>0</v>
      </c>
      <c r="I11" s="639">
        <f>huishoudens!H8</f>
        <v>0</v>
      </c>
      <c r="J11" s="639">
        <f>huishoudens!I8</f>
        <v>0</v>
      </c>
      <c r="K11" s="639">
        <f>huishoudens!J8</f>
        <v>839.55119801418778</v>
      </c>
      <c r="L11" s="639">
        <f>huishoudens!K8</f>
        <v>0</v>
      </c>
      <c r="M11" s="639">
        <f>huishoudens!L8</f>
        <v>0</v>
      </c>
      <c r="N11" s="639">
        <f>huishoudens!M8</f>
        <v>0</v>
      </c>
      <c r="O11" s="639">
        <f>huishoudens!N8</f>
        <v>9902.8085099366581</v>
      </c>
      <c r="P11" s="639">
        <f>huishoudens!O8</f>
        <v>73.476666666666674</v>
      </c>
      <c r="Q11" s="640">
        <f>huishoudens!P8</f>
        <v>152.53333333333333</v>
      </c>
      <c r="R11" s="642">
        <f>SUM(C11:Q11)</f>
        <v>147699.12251610248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20796.96</v>
      </c>
      <c r="D13" s="639">
        <f>industrie!C18</f>
        <v>0</v>
      </c>
      <c r="E13" s="639">
        <f>industrie!D18</f>
        <v>10862.528929999999</v>
      </c>
      <c r="F13" s="639">
        <f>industrie!E18</f>
        <v>169.27696485875302</v>
      </c>
      <c r="G13" s="639">
        <f>industrie!F18</f>
        <v>9286.8339633510714</v>
      </c>
      <c r="H13" s="639">
        <f>industrie!G18</f>
        <v>0</v>
      </c>
      <c r="I13" s="639">
        <f>industrie!H18</f>
        <v>0</v>
      </c>
      <c r="J13" s="639">
        <f>industrie!I18</f>
        <v>0</v>
      </c>
      <c r="K13" s="639">
        <f>industrie!J18</f>
        <v>69.121454135133291</v>
      </c>
      <c r="L13" s="639">
        <f>industrie!K18</f>
        <v>0</v>
      </c>
      <c r="M13" s="639">
        <f>industrie!L18</f>
        <v>0</v>
      </c>
      <c r="N13" s="639">
        <f>industrie!M18</f>
        <v>0</v>
      </c>
      <c r="O13" s="639">
        <f>industrie!N18</f>
        <v>917.425320146535</v>
      </c>
      <c r="P13" s="639">
        <f>industrie!O18</f>
        <v>0</v>
      </c>
      <c r="Q13" s="640">
        <f>industrie!P18</f>
        <v>0</v>
      </c>
      <c r="R13" s="642">
        <f>SUM(C13:Q13)</f>
        <v>42102.146632491495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79483.656333067978</v>
      </c>
      <c r="D16" s="672">
        <f t="shared" ref="D16:R16" ca="1" si="0">SUM(D9:D15)</f>
        <v>0</v>
      </c>
      <c r="E16" s="672">
        <f t="shared" ca="1" si="0"/>
        <v>84460.735457999996</v>
      </c>
      <c r="F16" s="672">
        <f t="shared" si="0"/>
        <v>1942.461685806124</v>
      </c>
      <c r="G16" s="672">
        <f t="shared" ca="1" si="0"/>
        <v>61940.911560136621</v>
      </c>
      <c r="H16" s="672">
        <f t="shared" si="0"/>
        <v>0</v>
      </c>
      <c r="I16" s="672">
        <f t="shared" si="0"/>
        <v>0</v>
      </c>
      <c r="J16" s="672">
        <f t="shared" si="0"/>
        <v>0</v>
      </c>
      <c r="K16" s="672">
        <f t="shared" si="0"/>
        <v>908.67265214932104</v>
      </c>
      <c r="L16" s="672">
        <f t="shared" si="0"/>
        <v>0</v>
      </c>
      <c r="M16" s="672">
        <f t="shared" ca="1" si="0"/>
        <v>0</v>
      </c>
      <c r="N16" s="672">
        <f t="shared" si="0"/>
        <v>0</v>
      </c>
      <c r="O16" s="672">
        <f t="shared" ca="1" si="0"/>
        <v>15270.340414128539</v>
      </c>
      <c r="P16" s="672">
        <f t="shared" si="0"/>
        <v>75.040000000000006</v>
      </c>
      <c r="Q16" s="672">
        <f t="shared" si="0"/>
        <v>171.6</v>
      </c>
      <c r="R16" s="672">
        <f t="shared" ca="1" si="0"/>
        <v>244253.41810328857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10.269222509724559</v>
      </c>
      <c r="D19" s="639">
        <f>transport!C54</f>
        <v>0</v>
      </c>
      <c r="E19" s="639">
        <f>transport!D54</f>
        <v>0</v>
      </c>
      <c r="F19" s="639">
        <f>transport!E54</f>
        <v>0</v>
      </c>
      <c r="G19" s="639">
        <f>transport!F54</f>
        <v>0</v>
      </c>
      <c r="H19" s="639">
        <f>transport!G54</f>
        <v>2048.2167327392003</v>
      </c>
      <c r="I19" s="639">
        <f>transport!H54</f>
        <v>0</v>
      </c>
      <c r="J19" s="639">
        <f>transport!I54</f>
        <v>0</v>
      </c>
      <c r="K19" s="639">
        <f>transport!J54</f>
        <v>0</v>
      </c>
      <c r="L19" s="639">
        <f>transport!K54</f>
        <v>0</v>
      </c>
      <c r="M19" s="639">
        <f>transport!L54</f>
        <v>0</v>
      </c>
      <c r="N19" s="639">
        <f>transport!M54</f>
        <v>90.528998148331524</v>
      </c>
      <c r="O19" s="639">
        <f>transport!N54</f>
        <v>0</v>
      </c>
      <c r="P19" s="639">
        <f>transport!O54</f>
        <v>0</v>
      </c>
      <c r="Q19" s="640">
        <f>transport!P54</f>
        <v>0</v>
      </c>
      <c r="R19" s="642">
        <f>SUM(C19:Q19)</f>
        <v>2149.0149533972562</v>
      </c>
      <c r="S19" s="68"/>
    </row>
    <row r="20" spans="1:19" s="443" customFormat="1">
      <c r="A20" s="753" t="s">
        <v>296</v>
      </c>
      <c r="B20" s="758"/>
      <c r="C20" s="639">
        <f>transport!B14</f>
        <v>6.1059509879401759</v>
      </c>
      <c r="D20" s="639">
        <f>transport!C14</f>
        <v>0</v>
      </c>
      <c r="E20" s="639">
        <f>transport!D14</f>
        <v>7.5170147276867203</v>
      </c>
      <c r="F20" s="639">
        <f>transport!E14</f>
        <v>480.29816064640823</v>
      </c>
      <c r="G20" s="639">
        <f>transport!F14</f>
        <v>0</v>
      </c>
      <c r="H20" s="639">
        <f>transport!G14</f>
        <v>110131.42004552948</v>
      </c>
      <c r="I20" s="639">
        <f>transport!H14</f>
        <v>19180.697623665619</v>
      </c>
      <c r="J20" s="639">
        <f>transport!I14</f>
        <v>0</v>
      </c>
      <c r="K20" s="639">
        <f>transport!J14</f>
        <v>0</v>
      </c>
      <c r="L20" s="639">
        <f>transport!K14</f>
        <v>0</v>
      </c>
      <c r="M20" s="639">
        <f>transport!L14</f>
        <v>0</v>
      </c>
      <c r="N20" s="639">
        <f>transport!M14</f>
        <v>5778.9506647036505</v>
      </c>
      <c r="O20" s="639">
        <f>transport!N14</f>
        <v>0</v>
      </c>
      <c r="P20" s="639">
        <f>transport!O14</f>
        <v>0</v>
      </c>
      <c r="Q20" s="640">
        <f>transport!P14</f>
        <v>0</v>
      </c>
      <c r="R20" s="642">
        <f>SUM(C20:Q20)</f>
        <v>135584.98946026078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16.375173497664733</v>
      </c>
      <c r="D22" s="756">
        <f t="shared" ref="D22:R22" si="1">SUM(D18:D21)</f>
        <v>0</v>
      </c>
      <c r="E22" s="756">
        <f t="shared" si="1"/>
        <v>7.5170147276867203</v>
      </c>
      <c r="F22" s="756">
        <f t="shared" si="1"/>
        <v>480.29816064640823</v>
      </c>
      <c r="G22" s="756">
        <f t="shared" si="1"/>
        <v>0</v>
      </c>
      <c r="H22" s="756">
        <f t="shared" si="1"/>
        <v>112179.63677826867</v>
      </c>
      <c r="I22" s="756">
        <f t="shared" si="1"/>
        <v>19180.697623665619</v>
      </c>
      <c r="J22" s="756">
        <f t="shared" si="1"/>
        <v>0</v>
      </c>
      <c r="K22" s="756">
        <f t="shared" si="1"/>
        <v>0</v>
      </c>
      <c r="L22" s="756">
        <f t="shared" si="1"/>
        <v>0</v>
      </c>
      <c r="M22" s="756">
        <f t="shared" si="1"/>
        <v>0</v>
      </c>
      <c r="N22" s="756">
        <f t="shared" si="1"/>
        <v>5869.4796628519816</v>
      </c>
      <c r="O22" s="756">
        <f t="shared" si="1"/>
        <v>0</v>
      </c>
      <c r="P22" s="756">
        <f t="shared" si="1"/>
        <v>0</v>
      </c>
      <c r="Q22" s="756">
        <f t="shared" si="1"/>
        <v>0</v>
      </c>
      <c r="R22" s="756">
        <f t="shared" si="1"/>
        <v>137734.00441365803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9793.331273988988</v>
      </c>
      <c r="D24" s="639">
        <f>+landbouw!C8</f>
        <v>10.392857142857141</v>
      </c>
      <c r="E24" s="639">
        <f>+landbouw!D8</f>
        <v>1762.690204</v>
      </c>
      <c r="F24" s="639">
        <f>+landbouw!E8</f>
        <v>96.710928799258724</v>
      </c>
      <c r="G24" s="639">
        <f>+landbouw!F8</f>
        <v>32673.14442559268</v>
      </c>
      <c r="H24" s="639">
        <f>+landbouw!G8</f>
        <v>0</v>
      </c>
      <c r="I24" s="639">
        <f>+landbouw!H8</f>
        <v>0</v>
      </c>
      <c r="J24" s="639">
        <f>+landbouw!I8</f>
        <v>0</v>
      </c>
      <c r="K24" s="639">
        <f>+landbouw!J8</f>
        <v>977.07721244979109</v>
      </c>
      <c r="L24" s="639">
        <f>+landbouw!K8</f>
        <v>0</v>
      </c>
      <c r="M24" s="639">
        <f>+landbouw!L8</f>
        <v>0</v>
      </c>
      <c r="N24" s="639">
        <f>+landbouw!M8</f>
        <v>0</v>
      </c>
      <c r="O24" s="639">
        <f>+landbouw!N8</f>
        <v>0</v>
      </c>
      <c r="P24" s="639">
        <f>+landbouw!O8</f>
        <v>0</v>
      </c>
      <c r="Q24" s="640">
        <f>+landbouw!P8</f>
        <v>0</v>
      </c>
      <c r="R24" s="642">
        <f>SUM(C24:Q24)</f>
        <v>45313.346901973571</v>
      </c>
      <c r="S24" s="68"/>
    </row>
    <row r="25" spans="1:19" s="443" customFormat="1" ht="15" thickBot="1">
      <c r="A25" s="775" t="s">
        <v>847</v>
      </c>
      <c r="B25" s="941"/>
      <c r="C25" s="942">
        <f>IF(Onbekend_ele_kWh="---",0,Onbekend_ele_kWh)/1000+IF(REST_rest_ele_kWh="---",0,REST_rest_ele_kWh)/1000</f>
        <v>590.76499999999999</v>
      </c>
      <c r="D25" s="942"/>
      <c r="E25" s="942">
        <f>IF(onbekend_gas_kWh="---",0,onbekend_gas_kWh)/1000+IF(REST_rest_gas_kWh="---",0,REST_rest_gas_kWh)/1000</f>
        <v>3304.6149999999998</v>
      </c>
      <c r="F25" s="942"/>
      <c r="G25" s="942"/>
      <c r="H25" s="942"/>
      <c r="I25" s="942"/>
      <c r="J25" s="942"/>
      <c r="K25" s="942"/>
      <c r="L25" s="942"/>
      <c r="M25" s="942"/>
      <c r="N25" s="942"/>
      <c r="O25" s="942"/>
      <c r="P25" s="942"/>
      <c r="Q25" s="943"/>
      <c r="R25" s="642">
        <f>SUM(C25:Q25)</f>
        <v>3895.3799999999997</v>
      </c>
      <c r="S25" s="68"/>
    </row>
    <row r="26" spans="1:19" s="443" customFormat="1" ht="15.75" thickBot="1">
      <c r="A26" s="645" t="s">
        <v>848</v>
      </c>
      <c r="B26" s="761"/>
      <c r="C26" s="756">
        <f>SUM(C24:C25)</f>
        <v>10384.096273988987</v>
      </c>
      <c r="D26" s="756">
        <f t="shared" ref="D26:R26" si="2">SUM(D24:D25)</f>
        <v>10.392857142857141</v>
      </c>
      <c r="E26" s="756">
        <f t="shared" si="2"/>
        <v>5067.3052040000002</v>
      </c>
      <c r="F26" s="756">
        <f t="shared" si="2"/>
        <v>96.710928799258724</v>
      </c>
      <c r="G26" s="756">
        <f t="shared" si="2"/>
        <v>32673.14442559268</v>
      </c>
      <c r="H26" s="756">
        <f t="shared" si="2"/>
        <v>0</v>
      </c>
      <c r="I26" s="756">
        <f t="shared" si="2"/>
        <v>0</v>
      </c>
      <c r="J26" s="756">
        <f t="shared" si="2"/>
        <v>0</v>
      </c>
      <c r="K26" s="756">
        <f t="shared" si="2"/>
        <v>977.07721244979109</v>
      </c>
      <c r="L26" s="756">
        <f t="shared" si="2"/>
        <v>0</v>
      </c>
      <c r="M26" s="756">
        <f t="shared" si="2"/>
        <v>0</v>
      </c>
      <c r="N26" s="756">
        <f t="shared" si="2"/>
        <v>0</v>
      </c>
      <c r="O26" s="756">
        <f t="shared" si="2"/>
        <v>0</v>
      </c>
      <c r="P26" s="756">
        <f t="shared" si="2"/>
        <v>0</v>
      </c>
      <c r="Q26" s="756">
        <f t="shared" si="2"/>
        <v>0</v>
      </c>
      <c r="R26" s="756">
        <f t="shared" si="2"/>
        <v>49208.726901973569</v>
      </c>
      <c r="S26" s="68"/>
    </row>
    <row r="27" spans="1:19" s="443" customFormat="1" ht="17.25" thickTop="1" thickBot="1">
      <c r="A27" s="646" t="s">
        <v>109</v>
      </c>
      <c r="B27" s="748"/>
      <c r="C27" s="647">
        <f ca="1">C22+C16+C26</f>
        <v>89884.127780554642</v>
      </c>
      <c r="D27" s="647">
        <f t="shared" ref="D27:R27" ca="1" si="3">D22+D16+D26</f>
        <v>10.392857142857141</v>
      </c>
      <c r="E27" s="647">
        <f t="shared" ca="1" si="3"/>
        <v>89535.55767672768</v>
      </c>
      <c r="F27" s="647">
        <f t="shared" si="3"/>
        <v>2519.4707752517911</v>
      </c>
      <c r="G27" s="647">
        <f t="shared" ca="1" si="3"/>
        <v>94614.055985729297</v>
      </c>
      <c r="H27" s="647">
        <f t="shared" si="3"/>
        <v>112179.63677826867</v>
      </c>
      <c r="I27" s="647">
        <f t="shared" si="3"/>
        <v>19180.697623665619</v>
      </c>
      <c r="J27" s="647">
        <f t="shared" si="3"/>
        <v>0</v>
      </c>
      <c r="K27" s="647">
        <f t="shared" si="3"/>
        <v>1885.7498645991122</v>
      </c>
      <c r="L27" s="647">
        <f t="shared" si="3"/>
        <v>0</v>
      </c>
      <c r="M27" s="647">
        <f t="shared" ca="1" si="3"/>
        <v>0</v>
      </c>
      <c r="N27" s="647">
        <f t="shared" si="3"/>
        <v>5869.4796628519816</v>
      </c>
      <c r="O27" s="647">
        <f t="shared" ca="1" si="3"/>
        <v>15270.340414128539</v>
      </c>
      <c r="P27" s="647">
        <f t="shared" si="3"/>
        <v>75.040000000000006</v>
      </c>
      <c r="Q27" s="647">
        <f t="shared" si="3"/>
        <v>171.6</v>
      </c>
      <c r="R27" s="647">
        <f t="shared" ca="1" si="3"/>
        <v>431196.14941892016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5591.100955014992</v>
      </c>
      <c r="D40" s="639">
        <f ca="1">tertiair!C20</f>
        <v>0</v>
      </c>
      <c r="E40" s="639">
        <f ca="1">tertiair!D20</f>
        <v>2918.9058935520002</v>
      </c>
      <c r="F40" s="639">
        <f>tertiair!E20</f>
        <v>57.997767908175597</v>
      </c>
      <c r="G40" s="639">
        <f ca="1">tertiair!F20</f>
        <v>1704.5756380661369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10272.580254541304</v>
      </c>
    </row>
    <row r="41" spans="1:18">
      <c r="A41" s="766" t="s">
        <v>214</v>
      </c>
      <c r="B41" s="773"/>
      <c r="C41" s="639">
        <f ca="1">huishoudens!B12</f>
        <v>5765.903065463518</v>
      </c>
      <c r="D41" s="639">
        <f ca="1">huishoudens!C12</f>
        <v>0</v>
      </c>
      <c r="E41" s="639">
        <f>huishoudens!D12</f>
        <v>11947.931825104</v>
      </c>
      <c r="F41" s="639">
        <f>huishoudens!E12</f>
        <v>344.51516374687765</v>
      </c>
      <c r="G41" s="639">
        <f>huishoudens!F12</f>
        <v>12354.063080275606</v>
      </c>
      <c r="H41" s="639">
        <f>huishoudens!G12</f>
        <v>0</v>
      </c>
      <c r="I41" s="639">
        <f>huishoudens!H12</f>
        <v>0</v>
      </c>
      <c r="J41" s="639">
        <f>huishoudens!I12</f>
        <v>0</v>
      </c>
      <c r="K41" s="639">
        <f>huishoudens!J12</f>
        <v>297.20112409702244</v>
      </c>
      <c r="L41" s="639">
        <f>huishoudens!K12</f>
        <v>0</v>
      </c>
      <c r="M41" s="639">
        <f>huishoudens!L12</f>
        <v>0</v>
      </c>
      <c r="N41" s="639">
        <f>huishoudens!M12</f>
        <v>0</v>
      </c>
      <c r="O41" s="639">
        <f>huishoudens!N12</f>
        <v>0</v>
      </c>
      <c r="P41" s="639">
        <f>huishoudens!O12</f>
        <v>0</v>
      </c>
      <c r="Q41" s="714">
        <f>huishoudens!P12</f>
        <v>0</v>
      </c>
      <c r="R41" s="794">
        <f t="shared" ca="1" si="4"/>
        <v>30709.614258687026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4024.6115915822134</v>
      </c>
      <c r="D43" s="639">
        <f ca="1">industrie!C22</f>
        <v>0</v>
      </c>
      <c r="E43" s="639">
        <f>industrie!D22</f>
        <v>2194.2308438599998</v>
      </c>
      <c r="F43" s="639">
        <f>industrie!E22</f>
        <v>38.425871022936938</v>
      </c>
      <c r="G43" s="639">
        <f>industrie!F22</f>
        <v>2479.5846682147362</v>
      </c>
      <c r="H43" s="639">
        <f>industrie!G22</f>
        <v>0</v>
      </c>
      <c r="I43" s="639">
        <f>industrie!H22</f>
        <v>0</v>
      </c>
      <c r="J43" s="639">
        <f>industrie!I22</f>
        <v>0</v>
      </c>
      <c r="K43" s="639">
        <f>industrie!J22</f>
        <v>24.468994763837184</v>
      </c>
      <c r="L43" s="639">
        <f>industrie!K22</f>
        <v>0</v>
      </c>
      <c r="M43" s="639">
        <f>industrie!L22</f>
        <v>0</v>
      </c>
      <c r="N43" s="639">
        <f>industrie!M22</f>
        <v>0</v>
      </c>
      <c r="O43" s="639">
        <f>industrie!N22</f>
        <v>0</v>
      </c>
      <c r="P43" s="639">
        <f>industrie!O22</f>
        <v>0</v>
      </c>
      <c r="Q43" s="714">
        <f>industrie!P22</f>
        <v>0</v>
      </c>
      <c r="R43" s="793">
        <f t="shared" ca="1" si="4"/>
        <v>8761.3219694437248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15381.615612060725</v>
      </c>
      <c r="D46" s="672">
        <f t="shared" ref="D46:Q46" ca="1" si="5">SUM(D39:D45)</f>
        <v>0</v>
      </c>
      <c r="E46" s="672">
        <f t="shared" ca="1" si="5"/>
        <v>17061.068562516</v>
      </c>
      <c r="F46" s="672">
        <f t="shared" si="5"/>
        <v>440.93880267799017</v>
      </c>
      <c r="G46" s="672">
        <f t="shared" ca="1" si="5"/>
        <v>16538.223386556478</v>
      </c>
      <c r="H46" s="672">
        <f t="shared" si="5"/>
        <v>0</v>
      </c>
      <c r="I46" s="672">
        <f t="shared" si="5"/>
        <v>0</v>
      </c>
      <c r="J46" s="672">
        <f t="shared" si="5"/>
        <v>0</v>
      </c>
      <c r="K46" s="672">
        <f t="shared" si="5"/>
        <v>321.67011886085965</v>
      </c>
      <c r="L46" s="672">
        <f t="shared" si="5"/>
        <v>0</v>
      </c>
      <c r="M46" s="672">
        <f t="shared" ca="1" si="5"/>
        <v>0</v>
      </c>
      <c r="N46" s="672">
        <f t="shared" si="5"/>
        <v>0</v>
      </c>
      <c r="O46" s="672">
        <f t="shared" ca="1" si="5"/>
        <v>0</v>
      </c>
      <c r="P46" s="672">
        <f t="shared" si="5"/>
        <v>0</v>
      </c>
      <c r="Q46" s="672">
        <f t="shared" si="5"/>
        <v>0</v>
      </c>
      <c r="R46" s="672">
        <f ca="1">SUM(R39:R45)</f>
        <v>49743.516482672057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1.9872919863852434</v>
      </c>
      <c r="D49" s="639">
        <f ca="1">transport!C58</f>
        <v>0</v>
      </c>
      <c r="E49" s="639">
        <f>transport!D58</f>
        <v>0</v>
      </c>
      <c r="F49" s="639">
        <f>transport!E58</f>
        <v>0</v>
      </c>
      <c r="G49" s="639">
        <f>transport!F58</f>
        <v>0</v>
      </c>
      <c r="H49" s="639">
        <f>transport!G58</f>
        <v>546.87386764136647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548.8611596277517</v>
      </c>
    </row>
    <row r="50" spans="1:18">
      <c r="A50" s="769" t="s">
        <v>296</v>
      </c>
      <c r="B50" s="779"/>
      <c r="C50" s="948">
        <f ca="1">transport!B18</f>
        <v>1.1816189060178459</v>
      </c>
      <c r="D50" s="948">
        <f>transport!C18</f>
        <v>0</v>
      </c>
      <c r="E50" s="948">
        <f>transport!D18</f>
        <v>1.5184369749927176</v>
      </c>
      <c r="F50" s="948">
        <f>transport!E18</f>
        <v>109.02768246673467</v>
      </c>
      <c r="G50" s="948">
        <f>transport!F18</f>
        <v>0</v>
      </c>
      <c r="H50" s="948">
        <f>transport!G18</f>
        <v>29405.089152156372</v>
      </c>
      <c r="I50" s="948">
        <f>transport!H18</f>
        <v>4775.993708292739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34292.810598796859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3.1689108924030895</v>
      </c>
      <c r="D52" s="672">
        <f t="shared" ref="D52:Q52" ca="1" si="6">SUM(D48:D51)</f>
        <v>0</v>
      </c>
      <c r="E52" s="672">
        <f t="shared" si="6"/>
        <v>1.5184369749927176</v>
      </c>
      <c r="F52" s="672">
        <f t="shared" si="6"/>
        <v>109.02768246673467</v>
      </c>
      <c r="G52" s="672">
        <f t="shared" si="6"/>
        <v>0</v>
      </c>
      <c r="H52" s="672">
        <f t="shared" si="6"/>
        <v>29951.963019797739</v>
      </c>
      <c r="I52" s="672">
        <f t="shared" si="6"/>
        <v>4775.993708292739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34841.671758424614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1895.1978830319763</v>
      </c>
      <c r="D54" s="948">
        <f ca="1">+landbouw!C12</f>
        <v>0</v>
      </c>
      <c r="E54" s="948">
        <f>+landbouw!D12</f>
        <v>356.06342120800002</v>
      </c>
      <c r="F54" s="948">
        <f>+landbouw!E12</f>
        <v>21.95338083743173</v>
      </c>
      <c r="G54" s="948">
        <f>+landbouw!F12</f>
        <v>8723.7295616332467</v>
      </c>
      <c r="H54" s="948">
        <f>+landbouw!G12</f>
        <v>0</v>
      </c>
      <c r="I54" s="948">
        <f>+landbouw!H12</f>
        <v>0</v>
      </c>
      <c r="J54" s="948">
        <f>+landbouw!I12</f>
        <v>0</v>
      </c>
      <c r="K54" s="948">
        <f>+landbouw!J12</f>
        <v>345.88533320722604</v>
      </c>
      <c r="L54" s="948">
        <f>+landbouw!K12</f>
        <v>0</v>
      </c>
      <c r="M54" s="948">
        <f>+landbouw!L12</f>
        <v>0</v>
      </c>
      <c r="N54" s="948">
        <f>+landbouw!M12</f>
        <v>0</v>
      </c>
      <c r="O54" s="948">
        <f>+landbouw!N12</f>
        <v>0</v>
      </c>
      <c r="P54" s="948">
        <f>+landbouw!O12</f>
        <v>0</v>
      </c>
      <c r="Q54" s="949">
        <f>+landbouw!P12</f>
        <v>0</v>
      </c>
      <c r="R54" s="671">
        <f ca="1">SUM(C54:Q54)</f>
        <v>11342.829579917881</v>
      </c>
    </row>
    <row r="55" spans="1:18" ht="15" thickBot="1">
      <c r="A55" s="769" t="s">
        <v>847</v>
      </c>
      <c r="B55" s="779"/>
      <c r="C55" s="948">
        <f ca="1">C25*'EF ele_warmte'!B12</f>
        <v>114.32438524193277</v>
      </c>
      <c r="D55" s="948"/>
      <c r="E55" s="948">
        <f>E25*EF_CO2_aardgas</f>
        <v>667.53223000000003</v>
      </c>
      <c r="F55" s="948"/>
      <c r="G55" s="948"/>
      <c r="H55" s="948"/>
      <c r="I55" s="948"/>
      <c r="J55" s="948"/>
      <c r="K55" s="948"/>
      <c r="L55" s="948"/>
      <c r="M55" s="948"/>
      <c r="N55" s="948"/>
      <c r="O55" s="948"/>
      <c r="P55" s="948"/>
      <c r="Q55" s="949"/>
      <c r="R55" s="671">
        <f ca="1">SUM(C55:Q55)</f>
        <v>781.85661524193279</v>
      </c>
    </row>
    <row r="56" spans="1:18" ht="15.75" thickBot="1">
      <c r="A56" s="767" t="s">
        <v>848</v>
      </c>
      <c r="B56" s="780"/>
      <c r="C56" s="672">
        <f ca="1">SUM(C54:C55)</f>
        <v>2009.522268273909</v>
      </c>
      <c r="D56" s="672">
        <f t="shared" ref="D56:Q56" ca="1" si="7">SUM(D54:D55)</f>
        <v>0</v>
      </c>
      <c r="E56" s="672">
        <f t="shared" si="7"/>
        <v>1023.595651208</v>
      </c>
      <c r="F56" s="672">
        <f t="shared" si="7"/>
        <v>21.95338083743173</v>
      </c>
      <c r="G56" s="672">
        <f t="shared" si="7"/>
        <v>8723.7295616332467</v>
      </c>
      <c r="H56" s="672">
        <f t="shared" si="7"/>
        <v>0</v>
      </c>
      <c r="I56" s="672">
        <f t="shared" si="7"/>
        <v>0</v>
      </c>
      <c r="J56" s="672">
        <f t="shared" si="7"/>
        <v>0</v>
      </c>
      <c r="K56" s="672">
        <f t="shared" si="7"/>
        <v>345.88533320722604</v>
      </c>
      <c r="L56" s="672">
        <f t="shared" si="7"/>
        <v>0</v>
      </c>
      <c r="M56" s="672">
        <f t="shared" si="7"/>
        <v>0</v>
      </c>
      <c r="N56" s="672">
        <f t="shared" si="7"/>
        <v>0</v>
      </c>
      <c r="O56" s="672">
        <f t="shared" si="7"/>
        <v>0</v>
      </c>
      <c r="P56" s="672">
        <f t="shared" si="7"/>
        <v>0</v>
      </c>
      <c r="Q56" s="673">
        <f t="shared" si="7"/>
        <v>0</v>
      </c>
      <c r="R56" s="674">
        <f ca="1">SUM(R54:R55)</f>
        <v>12124.686195159815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17394.306791227038</v>
      </c>
      <c r="D61" s="680">
        <f t="shared" ref="D61:Q61" ca="1" si="8">D46+D52+D56</f>
        <v>0</v>
      </c>
      <c r="E61" s="680">
        <f t="shared" ca="1" si="8"/>
        <v>18086.182650698993</v>
      </c>
      <c r="F61" s="680">
        <f t="shared" si="8"/>
        <v>571.91986598215658</v>
      </c>
      <c r="G61" s="680">
        <f t="shared" ca="1" si="8"/>
        <v>25261.952948189726</v>
      </c>
      <c r="H61" s="680">
        <f t="shared" si="8"/>
        <v>29951.963019797739</v>
      </c>
      <c r="I61" s="680">
        <f t="shared" si="8"/>
        <v>4775.993708292739</v>
      </c>
      <c r="J61" s="680">
        <f t="shared" si="8"/>
        <v>0</v>
      </c>
      <c r="K61" s="680">
        <f t="shared" si="8"/>
        <v>667.55545206808574</v>
      </c>
      <c r="L61" s="680">
        <f t="shared" si="8"/>
        <v>0</v>
      </c>
      <c r="M61" s="680">
        <f t="shared" ca="1" si="8"/>
        <v>0</v>
      </c>
      <c r="N61" s="680">
        <f t="shared" si="8"/>
        <v>0</v>
      </c>
      <c r="O61" s="680">
        <f t="shared" ca="1" si="8"/>
        <v>0</v>
      </c>
      <c r="P61" s="680">
        <f t="shared" si="8"/>
        <v>0</v>
      </c>
      <c r="Q61" s="680">
        <f t="shared" si="8"/>
        <v>0</v>
      </c>
      <c r="R61" s="680">
        <f ca="1">R46+R52+R56</f>
        <v>96709.87443625649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0.19351922548209996</v>
      </c>
      <c r="D63" s="724">
        <f t="shared" ca="1" si="9"/>
        <v>0</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2648.7481688010957</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6675.8340632149129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7.2749999999999986</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8.5588235294117645</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1845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5220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11176.857232016007</v>
      </c>
      <c r="C78" s="695">
        <f>SUM(C72:C77)</f>
        <v>0</v>
      </c>
      <c r="D78" s="696">
        <f t="shared" ref="D78:H78" si="10">SUM(D76:D77)</f>
        <v>0</v>
      </c>
      <c r="E78" s="696">
        <f t="shared" si="10"/>
        <v>0</v>
      </c>
      <c r="F78" s="696">
        <f t="shared" si="10"/>
        <v>0</v>
      </c>
      <c r="G78" s="696">
        <f t="shared" si="10"/>
        <v>0</v>
      </c>
      <c r="H78" s="696">
        <f t="shared" si="10"/>
        <v>0</v>
      </c>
      <c r="I78" s="696">
        <f>SUM(I76:I77)</f>
        <v>0</v>
      </c>
      <c r="J78" s="696">
        <f>SUM(J76:J77)</f>
        <v>5228.5588235294117</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10.392857142857141</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12.22689075630252</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10.392857142857141</v>
      </c>
      <c r="C90" s="695">
        <f>SUM(C87:C89)</f>
        <v>0</v>
      </c>
      <c r="D90" s="695">
        <f t="shared" ref="D90:H90" si="12">SUM(D87:D89)</f>
        <v>0</v>
      </c>
      <c r="E90" s="695">
        <f t="shared" si="12"/>
        <v>0</v>
      </c>
      <c r="F90" s="695">
        <f t="shared" si="12"/>
        <v>0</v>
      </c>
      <c r="G90" s="695">
        <f t="shared" si="12"/>
        <v>0</v>
      </c>
      <c r="H90" s="695">
        <f t="shared" si="12"/>
        <v>0</v>
      </c>
      <c r="I90" s="695">
        <f>SUM(I87:I89)</f>
        <v>0</v>
      </c>
      <c r="J90" s="695">
        <f>SUM(J87:J89)</f>
        <v>12.22689075630252</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29794.98833306797</v>
      </c>
      <c r="C4" s="447">
        <f>huishoudens!C8</f>
        <v>0</v>
      </c>
      <c r="D4" s="447">
        <f>huishoudens!D8</f>
        <v>59148.177351999999</v>
      </c>
      <c r="E4" s="447">
        <f>huishoudens!E8</f>
        <v>1517.6879460214873</v>
      </c>
      <c r="F4" s="447">
        <f>huishoudens!F8</f>
        <v>46269.899177062194</v>
      </c>
      <c r="G4" s="447">
        <f>huishoudens!G8</f>
        <v>0</v>
      </c>
      <c r="H4" s="447">
        <f>huishoudens!H8</f>
        <v>0</v>
      </c>
      <c r="I4" s="447">
        <f>huishoudens!I8</f>
        <v>0</v>
      </c>
      <c r="J4" s="447">
        <f>huishoudens!J8</f>
        <v>839.55119801418778</v>
      </c>
      <c r="K4" s="447">
        <f>huishoudens!K8</f>
        <v>0</v>
      </c>
      <c r="L4" s="447">
        <f>huishoudens!L8</f>
        <v>0</v>
      </c>
      <c r="M4" s="447">
        <f>huishoudens!M8</f>
        <v>0</v>
      </c>
      <c r="N4" s="447">
        <f>huishoudens!N8</f>
        <v>9902.8085099366581</v>
      </c>
      <c r="O4" s="447">
        <f>huishoudens!O8</f>
        <v>73.476666666666674</v>
      </c>
      <c r="P4" s="448">
        <f>huishoudens!P8</f>
        <v>152.53333333333333</v>
      </c>
      <c r="Q4" s="449">
        <f>SUM(B4:P4)</f>
        <v>147699.12251610248</v>
      </c>
    </row>
    <row r="5" spans="1:17">
      <c r="A5" s="446" t="s">
        <v>149</v>
      </c>
      <c r="B5" s="447">
        <f ca="1">tertiair!B16</f>
        <v>27525.468000000001</v>
      </c>
      <c r="C5" s="447">
        <f ca="1">tertiair!C16</f>
        <v>0</v>
      </c>
      <c r="D5" s="447">
        <f ca="1">tertiair!D16</f>
        <v>14450.029176</v>
      </c>
      <c r="E5" s="447">
        <f>tertiair!E16</f>
        <v>255.49677492588367</v>
      </c>
      <c r="F5" s="447">
        <f ca="1">tertiair!F16</f>
        <v>6384.1784197233592</v>
      </c>
      <c r="G5" s="447">
        <f>tertiair!G16</f>
        <v>0</v>
      </c>
      <c r="H5" s="447">
        <f>tertiair!H16</f>
        <v>0</v>
      </c>
      <c r="I5" s="447">
        <f>tertiair!I16</f>
        <v>0</v>
      </c>
      <c r="J5" s="447">
        <f>tertiair!J16</f>
        <v>0</v>
      </c>
      <c r="K5" s="447">
        <f>tertiair!K16</f>
        <v>0</v>
      </c>
      <c r="L5" s="447">
        <f ca="1">tertiair!L16</f>
        <v>0</v>
      </c>
      <c r="M5" s="447">
        <f>tertiair!M16</f>
        <v>0</v>
      </c>
      <c r="N5" s="447">
        <f ca="1">tertiair!N16</f>
        <v>4450.1065840453466</v>
      </c>
      <c r="O5" s="447">
        <f>tertiair!O16</f>
        <v>1.5633333333333335</v>
      </c>
      <c r="P5" s="448">
        <f>tertiair!P16</f>
        <v>19.066666666666666</v>
      </c>
      <c r="Q5" s="446">
        <f t="shared" ref="Q5:Q14" ca="1" si="0">SUM(B5:P5)</f>
        <v>53085.908954694591</v>
      </c>
    </row>
    <row r="6" spans="1:17">
      <c r="A6" s="446" t="s">
        <v>187</v>
      </c>
      <c r="B6" s="447">
        <f>'openbare verlichting'!B8</f>
        <v>1366.24</v>
      </c>
      <c r="C6" s="447"/>
      <c r="D6" s="447"/>
      <c r="E6" s="447"/>
      <c r="F6" s="447"/>
      <c r="G6" s="447"/>
      <c r="H6" s="447"/>
      <c r="I6" s="447"/>
      <c r="J6" s="447"/>
      <c r="K6" s="447"/>
      <c r="L6" s="447"/>
      <c r="M6" s="447"/>
      <c r="N6" s="447"/>
      <c r="O6" s="447"/>
      <c r="P6" s="448"/>
      <c r="Q6" s="446">
        <f t="shared" si="0"/>
        <v>1366.24</v>
      </c>
    </row>
    <row r="7" spans="1:17">
      <c r="A7" s="446" t="s">
        <v>105</v>
      </c>
      <c r="B7" s="447">
        <f>landbouw!B8</f>
        <v>9793.331273988988</v>
      </c>
      <c r="C7" s="447">
        <f>landbouw!C8</f>
        <v>10.392857142857141</v>
      </c>
      <c r="D7" s="447">
        <f>landbouw!D8</f>
        <v>1762.690204</v>
      </c>
      <c r="E7" s="447">
        <f>landbouw!E8</f>
        <v>96.710928799258724</v>
      </c>
      <c r="F7" s="447">
        <f>landbouw!F8</f>
        <v>32673.14442559268</v>
      </c>
      <c r="G7" s="447">
        <f>landbouw!G8</f>
        <v>0</v>
      </c>
      <c r="H7" s="447">
        <f>landbouw!H8</f>
        <v>0</v>
      </c>
      <c r="I7" s="447">
        <f>landbouw!I8</f>
        <v>0</v>
      </c>
      <c r="J7" s="447">
        <f>landbouw!J8</f>
        <v>977.07721244979109</v>
      </c>
      <c r="K7" s="447">
        <f>landbouw!K8</f>
        <v>0</v>
      </c>
      <c r="L7" s="447">
        <f>landbouw!L8</f>
        <v>0</v>
      </c>
      <c r="M7" s="447">
        <f>landbouw!M8</f>
        <v>0</v>
      </c>
      <c r="N7" s="447">
        <f>landbouw!N8</f>
        <v>0</v>
      </c>
      <c r="O7" s="447">
        <f>landbouw!O8</f>
        <v>0</v>
      </c>
      <c r="P7" s="448">
        <f>landbouw!P8</f>
        <v>0</v>
      </c>
      <c r="Q7" s="446">
        <f t="shared" si="0"/>
        <v>45313.346901973571</v>
      </c>
    </row>
    <row r="8" spans="1:17">
      <c r="A8" s="446" t="s">
        <v>640</v>
      </c>
      <c r="B8" s="447">
        <f>industrie!B18</f>
        <v>20796.96</v>
      </c>
      <c r="C8" s="447">
        <f>industrie!C18</f>
        <v>0</v>
      </c>
      <c r="D8" s="447">
        <f>industrie!D18</f>
        <v>10862.528929999999</v>
      </c>
      <c r="E8" s="447">
        <f>industrie!E18</f>
        <v>169.27696485875302</v>
      </c>
      <c r="F8" s="447">
        <f>industrie!F18</f>
        <v>9286.8339633510714</v>
      </c>
      <c r="G8" s="447">
        <f>industrie!G18</f>
        <v>0</v>
      </c>
      <c r="H8" s="447">
        <f>industrie!H18</f>
        <v>0</v>
      </c>
      <c r="I8" s="447">
        <f>industrie!I18</f>
        <v>0</v>
      </c>
      <c r="J8" s="447">
        <f>industrie!J18</f>
        <v>69.121454135133291</v>
      </c>
      <c r="K8" s="447">
        <f>industrie!K18</f>
        <v>0</v>
      </c>
      <c r="L8" s="447">
        <f>industrie!L18</f>
        <v>0</v>
      </c>
      <c r="M8" s="447">
        <f>industrie!M18</f>
        <v>0</v>
      </c>
      <c r="N8" s="447">
        <f>industrie!N18</f>
        <v>917.425320146535</v>
      </c>
      <c r="O8" s="447">
        <f>industrie!O18</f>
        <v>0</v>
      </c>
      <c r="P8" s="448">
        <f>industrie!P18</f>
        <v>0</v>
      </c>
      <c r="Q8" s="446">
        <f t="shared" si="0"/>
        <v>42102.146632491495</v>
      </c>
    </row>
    <row r="9" spans="1:17" s="452" customFormat="1">
      <c r="A9" s="450" t="s">
        <v>560</v>
      </c>
      <c r="B9" s="451">
        <f>transport!B14</f>
        <v>6.1059509879401759</v>
      </c>
      <c r="C9" s="451">
        <f>transport!C14</f>
        <v>0</v>
      </c>
      <c r="D9" s="451">
        <f>transport!D14</f>
        <v>7.5170147276867203</v>
      </c>
      <c r="E9" s="451">
        <f>transport!E14</f>
        <v>480.29816064640823</v>
      </c>
      <c r="F9" s="451">
        <f>transport!F14</f>
        <v>0</v>
      </c>
      <c r="G9" s="451">
        <f>transport!G14</f>
        <v>110131.42004552948</v>
      </c>
      <c r="H9" s="451">
        <f>transport!H14</f>
        <v>19180.697623665619</v>
      </c>
      <c r="I9" s="451">
        <f>transport!I14</f>
        <v>0</v>
      </c>
      <c r="J9" s="451">
        <f>transport!J14</f>
        <v>0</v>
      </c>
      <c r="K9" s="451">
        <f>transport!K14</f>
        <v>0</v>
      </c>
      <c r="L9" s="451">
        <f>transport!L14</f>
        <v>0</v>
      </c>
      <c r="M9" s="451">
        <f>transport!M14</f>
        <v>5778.9506647036505</v>
      </c>
      <c r="N9" s="451">
        <f>transport!N14</f>
        <v>0</v>
      </c>
      <c r="O9" s="451">
        <f>transport!O14</f>
        <v>0</v>
      </c>
      <c r="P9" s="451">
        <f>transport!P14</f>
        <v>0</v>
      </c>
      <c r="Q9" s="450">
        <f>SUM(B9:P9)</f>
        <v>135584.98946026078</v>
      </c>
    </row>
    <row r="10" spans="1:17">
      <c r="A10" s="446" t="s">
        <v>550</v>
      </c>
      <c r="B10" s="447">
        <f>transport!B54</f>
        <v>10.269222509724559</v>
      </c>
      <c r="C10" s="447">
        <f>transport!C54</f>
        <v>0</v>
      </c>
      <c r="D10" s="447">
        <f>transport!D54</f>
        <v>0</v>
      </c>
      <c r="E10" s="447">
        <f>transport!E54</f>
        <v>0</v>
      </c>
      <c r="F10" s="447">
        <f>transport!F54</f>
        <v>0</v>
      </c>
      <c r="G10" s="447">
        <f>transport!G54</f>
        <v>2048.2167327392003</v>
      </c>
      <c r="H10" s="447">
        <f>transport!H54</f>
        <v>0</v>
      </c>
      <c r="I10" s="447">
        <f>transport!I54</f>
        <v>0</v>
      </c>
      <c r="J10" s="447">
        <f>transport!J54</f>
        <v>0</v>
      </c>
      <c r="K10" s="447">
        <f>transport!K54</f>
        <v>0</v>
      </c>
      <c r="L10" s="447">
        <f>transport!L54</f>
        <v>0</v>
      </c>
      <c r="M10" s="447">
        <f>transport!M54</f>
        <v>90.528998148331524</v>
      </c>
      <c r="N10" s="447">
        <f>transport!N54</f>
        <v>0</v>
      </c>
      <c r="O10" s="447">
        <f>transport!O54</f>
        <v>0</v>
      </c>
      <c r="P10" s="448">
        <f>transport!P54</f>
        <v>0</v>
      </c>
      <c r="Q10" s="446">
        <f t="shared" si="0"/>
        <v>2149.0149533972562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590.76499999999999</v>
      </c>
      <c r="C14" s="454"/>
      <c r="D14" s="454">
        <f>'SEAP template'!E25</f>
        <v>3304.6149999999998</v>
      </c>
      <c r="E14" s="454"/>
      <c r="F14" s="454"/>
      <c r="G14" s="454"/>
      <c r="H14" s="454"/>
      <c r="I14" s="454"/>
      <c r="J14" s="454"/>
      <c r="K14" s="454"/>
      <c r="L14" s="454"/>
      <c r="M14" s="454"/>
      <c r="N14" s="454"/>
      <c r="O14" s="454"/>
      <c r="P14" s="455"/>
      <c r="Q14" s="446">
        <f t="shared" si="0"/>
        <v>3895.3799999999997</v>
      </c>
    </row>
    <row r="15" spans="1:17" s="459" customFormat="1">
      <c r="A15" s="456" t="s">
        <v>554</v>
      </c>
      <c r="B15" s="457">
        <f ca="1">SUM(B4:B14)</f>
        <v>89884.127780554612</v>
      </c>
      <c r="C15" s="457">
        <f t="shared" ref="C15:Q15" ca="1" si="1">SUM(C4:C14)</f>
        <v>10.392857142857141</v>
      </c>
      <c r="D15" s="457">
        <f t="shared" ca="1" si="1"/>
        <v>89535.55767672768</v>
      </c>
      <c r="E15" s="457">
        <f t="shared" si="1"/>
        <v>2519.4707752517911</v>
      </c>
      <c r="F15" s="457">
        <f t="shared" ca="1" si="1"/>
        <v>94614.055985729312</v>
      </c>
      <c r="G15" s="457">
        <f t="shared" si="1"/>
        <v>112179.63677826867</v>
      </c>
      <c r="H15" s="457">
        <f t="shared" si="1"/>
        <v>19180.697623665619</v>
      </c>
      <c r="I15" s="457">
        <f t="shared" si="1"/>
        <v>0</v>
      </c>
      <c r="J15" s="457">
        <f t="shared" si="1"/>
        <v>1885.7498645991122</v>
      </c>
      <c r="K15" s="457">
        <f t="shared" si="1"/>
        <v>0</v>
      </c>
      <c r="L15" s="457">
        <f t="shared" ca="1" si="1"/>
        <v>0</v>
      </c>
      <c r="M15" s="457">
        <f t="shared" si="1"/>
        <v>5869.4796628519816</v>
      </c>
      <c r="N15" s="457">
        <f t="shared" ca="1" si="1"/>
        <v>15270.340414128539</v>
      </c>
      <c r="O15" s="457">
        <f t="shared" si="1"/>
        <v>75.040000000000006</v>
      </c>
      <c r="P15" s="457">
        <f t="shared" si="1"/>
        <v>171.6</v>
      </c>
      <c r="Q15" s="457">
        <f t="shared" ca="1" si="1"/>
        <v>431196.14941892016</v>
      </c>
    </row>
    <row r="17" spans="1:17">
      <c r="A17" s="460" t="s">
        <v>555</v>
      </c>
      <c r="B17" s="729">
        <f ca="1">huishoudens!B10</f>
        <v>0.19351922548209996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5765.903065463518</v>
      </c>
      <c r="C22" s="447">
        <f t="shared" ref="C22:C32" ca="1" si="3">C4*$C$17</f>
        <v>0</v>
      </c>
      <c r="D22" s="447">
        <f t="shared" ref="D22:D32" si="4">D4*$D$17</f>
        <v>11947.931825104</v>
      </c>
      <c r="E22" s="447">
        <f t="shared" ref="E22:E32" si="5">E4*$E$17</f>
        <v>344.51516374687765</v>
      </c>
      <c r="F22" s="447">
        <f t="shared" ref="F22:F32" si="6">F4*$F$17</f>
        <v>12354.063080275606</v>
      </c>
      <c r="G22" s="447">
        <f t="shared" ref="G22:G32" si="7">G4*$G$17</f>
        <v>0</v>
      </c>
      <c r="H22" s="447">
        <f t="shared" ref="H22:H32" si="8">H4*$H$17</f>
        <v>0</v>
      </c>
      <c r="I22" s="447">
        <f t="shared" ref="I22:I32" si="9">I4*$I$17</f>
        <v>0</v>
      </c>
      <c r="J22" s="447">
        <f t="shared" ref="J22:J32" si="10">J4*$J$17</f>
        <v>297.20112409702244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30709.614258687026</v>
      </c>
    </row>
    <row r="23" spans="1:17">
      <c r="A23" s="446" t="s">
        <v>149</v>
      </c>
      <c r="B23" s="447">
        <f t="shared" ca="1" si="2"/>
        <v>5326.7072483923275</v>
      </c>
      <c r="C23" s="447">
        <f t="shared" ca="1" si="3"/>
        <v>0</v>
      </c>
      <c r="D23" s="447">
        <f t="shared" ca="1" si="4"/>
        <v>2918.9058935520002</v>
      </c>
      <c r="E23" s="447">
        <f t="shared" si="5"/>
        <v>57.997767908175597</v>
      </c>
      <c r="F23" s="447">
        <f t="shared" ca="1" si="6"/>
        <v>1704.5756380661369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10008.18654791864</v>
      </c>
    </row>
    <row r="24" spans="1:17">
      <c r="A24" s="446" t="s">
        <v>187</v>
      </c>
      <c r="B24" s="447">
        <f t="shared" ca="1" si="2"/>
        <v>264.39370662266424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264.39370662266424</v>
      </c>
    </row>
    <row r="25" spans="1:17">
      <c r="A25" s="446" t="s">
        <v>105</v>
      </c>
      <c r="B25" s="447">
        <f t="shared" ca="1" si="2"/>
        <v>1895.1978830319763</v>
      </c>
      <c r="C25" s="447">
        <f t="shared" ca="1" si="3"/>
        <v>0</v>
      </c>
      <c r="D25" s="447">
        <f t="shared" si="4"/>
        <v>356.06342120800002</v>
      </c>
      <c r="E25" s="447">
        <f t="shared" si="5"/>
        <v>21.95338083743173</v>
      </c>
      <c r="F25" s="447">
        <f t="shared" si="6"/>
        <v>8723.7295616332467</v>
      </c>
      <c r="G25" s="447">
        <f t="shared" si="7"/>
        <v>0</v>
      </c>
      <c r="H25" s="447">
        <f t="shared" si="8"/>
        <v>0</v>
      </c>
      <c r="I25" s="447">
        <f t="shared" si="9"/>
        <v>0</v>
      </c>
      <c r="J25" s="447">
        <f t="shared" si="10"/>
        <v>345.88533320722604</v>
      </c>
      <c r="K25" s="447">
        <f t="shared" si="11"/>
        <v>0</v>
      </c>
      <c r="L25" s="447">
        <f t="shared" si="12"/>
        <v>0</v>
      </c>
      <c r="M25" s="447">
        <f t="shared" si="13"/>
        <v>0</v>
      </c>
      <c r="N25" s="447">
        <f t="shared" si="14"/>
        <v>0</v>
      </c>
      <c r="O25" s="447">
        <f t="shared" si="15"/>
        <v>0</v>
      </c>
      <c r="P25" s="448">
        <f t="shared" si="16"/>
        <v>0</v>
      </c>
      <c r="Q25" s="446">
        <f t="shared" ca="1" si="17"/>
        <v>11342.829579917881</v>
      </c>
    </row>
    <row r="26" spans="1:17">
      <c r="A26" s="446" t="s">
        <v>640</v>
      </c>
      <c r="B26" s="447">
        <f t="shared" ca="1" si="2"/>
        <v>4024.6115915822134</v>
      </c>
      <c r="C26" s="447">
        <f t="shared" ca="1" si="3"/>
        <v>0</v>
      </c>
      <c r="D26" s="447">
        <f t="shared" si="4"/>
        <v>2194.2308438599998</v>
      </c>
      <c r="E26" s="447">
        <f t="shared" si="5"/>
        <v>38.425871022936938</v>
      </c>
      <c r="F26" s="447">
        <f t="shared" si="6"/>
        <v>2479.5846682147362</v>
      </c>
      <c r="G26" s="447">
        <f t="shared" si="7"/>
        <v>0</v>
      </c>
      <c r="H26" s="447">
        <f t="shared" si="8"/>
        <v>0</v>
      </c>
      <c r="I26" s="447">
        <f t="shared" si="9"/>
        <v>0</v>
      </c>
      <c r="J26" s="447">
        <f t="shared" si="10"/>
        <v>24.468994763837184</v>
      </c>
      <c r="K26" s="447">
        <f t="shared" si="11"/>
        <v>0</v>
      </c>
      <c r="L26" s="447">
        <f t="shared" si="12"/>
        <v>0</v>
      </c>
      <c r="M26" s="447">
        <f t="shared" si="13"/>
        <v>0</v>
      </c>
      <c r="N26" s="447">
        <f t="shared" si="14"/>
        <v>0</v>
      </c>
      <c r="O26" s="447">
        <f t="shared" si="15"/>
        <v>0</v>
      </c>
      <c r="P26" s="448">
        <f t="shared" si="16"/>
        <v>0</v>
      </c>
      <c r="Q26" s="446">
        <f t="shared" ca="1" si="17"/>
        <v>8761.3219694437248</v>
      </c>
    </row>
    <row r="27" spans="1:17" s="452" customFormat="1">
      <c r="A27" s="450" t="s">
        <v>560</v>
      </c>
      <c r="B27" s="723">
        <f t="shared" ca="1" si="2"/>
        <v>1.1816189060178459</v>
      </c>
      <c r="C27" s="451">
        <f t="shared" ca="1" si="3"/>
        <v>0</v>
      </c>
      <c r="D27" s="451">
        <f t="shared" si="4"/>
        <v>1.5184369749927176</v>
      </c>
      <c r="E27" s="451">
        <f t="shared" si="5"/>
        <v>109.02768246673467</v>
      </c>
      <c r="F27" s="451">
        <f t="shared" si="6"/>
        <v>0</v>
      </c>
      <c r="G27" s="451">
        <f t="shared" si="7"/>
        <v>29405.089152156372</v>
      </c>
      <c r="H27" s="451">
        <f t="shared" si="8"/>
        <v>4775.993708292739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34292.810598796859</v>
      </c>
    </row>
    <row r="28" spans="1:17">
      <c r="A28" s="446" t="s">
        <v>550</v>
      </c>
      <c r="B28" s="447">
        <f t="shared" ca="1" si="2"/>
        <v>1.9872919863852434</v>
      </c>
      <c r="C28" s="447">
        <f t="shared" ca="1" si="3"/>
        <v>0</v>
      </c>
      <c r="D28" s="447">
        <f t="shared" si="4"/>
        <v>0</v>
      </c>
      <c r="E28" s="447">
        <f t="shared" si="5"/>
        <v>0</v>
      </c>
      <c r="F28" s="447">
        <f t="shared" si="6"/>
        <v>0</v>
      </c>
      <c r="G28" s="447">
        <f t="shared" si="7"/>
        <v>546.87386764136647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548.8611596277517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114.32438524193277</v>
      </c>
      <c r="C32" s="447">
        <f t="shared" ca="1" si="3"/>
        <v>0</v>
      </c>
      <c r="D32" s="447">
        <f t="shared" si="4"/>
        <v>667.53223000000003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781.85661524193279</v>
      </c>
    </row>
    <row r="33" spans="1:17" s="459" customFormat="1">
      <c r="A33" s="456" t="s">
        <v>554</v>
      </c>
      <c r="B33" s="457">
        <f ca="1">SUM(B22:B32)</f>
        <v>17394.306791227038</v>
      </c>
      <c r="C33" s="457">
        <f t="shared" ref="C33:Q33" ca="1" si="18">SUM(C22:C32)</f>
        <v>0</v>
      </c>
      <c r="D33" s="457">
        <f t="shared" ca="1" si="18"/>
        <v>18086.182650698993</v>
      </c>
      <c r="E33" s="457">
        <f t="shared" si="18"/>
        <v>571.91986598215658</v>
      </c>
      <c r="F33" s="457">
        <f t="shared" ca="1" si="18"/>
        <v>25261.952948189723</v>
      </c>
      <c r="G33" s="457">
        <f t="shared" si="18"/>
        <v>29951.963019797739</v>
      </c>
      <c r="H33" s="457">
        <f t="shared" si="18"/>
        <v>4775.993708292739</v>
      </c>
      <c r="I33" s="457">
        <f t="shared" si="18"/>
        <v>0</v>
      </c>
      <c r="J33" s="457">
        <f t="shared" si="18"/>
        <v>667.55545206808563</v>
      </c>
      <c r="K33" s="457">
        <f t="shared" si="18"/>
        <v>0</v>
      </c>
      <c r="L33" s="457">
        <f t="shared" ca="1" si="18"/>
        <v>0</v>
      </c>
      <c r="M33" s="457">
        <f t="shared" si="18"/>
        <v>0</v>
      </c>
      <c r="N33" s="457">
        <f t="shared" ca="1" si="18"/>
        <v>0</v>
      </c>
      <c r="O33" s="457">
        <f t="shared" si="18"/>
        <v>0</v>
      </c>
      <c r="P33" s="457">
        <f t="shared" si="18"/>
        <v>0</v>
      </c>
      <c r="Q33" s="457">
        <f t="shared" ca="1" si="18"/>
        <v>96709.874436256476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2648.7481688010957</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6675.8340632149129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7.2749999999999986</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8.5588235294117645</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1845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5220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11176.857232016007</v>
      </c>
      <c r="C10" s="981">
        <f>SUM(C4:C9)</f>
        <v>0</v>
      </c>
      <c r="D10" s="981">
        <f t="shared" ref="D10:H10" si="0">SUM(D8:D9)</f>
        <v>0</v>
      </c>
      <c r="E10" s="981">
        <f t="shared" si="0"/>
        <v>0</v>
      </c>
      <c r="F10" s="981">
        <f t="shared" si="0"/>
        <v>0</v>
      </c>
      <c r="G10" s="981">
        <f t="shared" si="0"/>
        <v>0</v>
      </c>
      <c r="H10" s="981">
        <f t="shared" si="0"/>
        <v>0</v>
      </c>
      <c r="I10" s="981">
        <f>SUM(I8:I9)</f>
        <v>0</v>
      </c>
      <c r="J10" s="981">
        <f>SUM(J8:J9)</f>
        <v>5228.5588235294117</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0.19351922548209996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10.392857142857141</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12.22689075630252</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10.392857142857141</v>
      </c>
      <c r="C20" s="981">
        <f>SUM(C17:C19)</f>
        <v>0</v>
      </c>
      <c r="D20" s="981">
        <f t="shared" ref="D20:H20" si="2">SUM(D17:D19)</f>
        <v>0</v>
      </c>
      <c r="E20" s="981">
        <f t="shared" si="2"/>
        <v>0</v>
      </c>
      <c r="F20" s="981">
        <f t="shared" si="2"/>
        <v>0</v>
      </c>
      <c r="G20" s="981">
        <f t="shared" si="2"/>
        <v>0</v>
      </c>
      <c r="H20" s="981">
        <f t="shared" si="2"/>
        <v>0</v>
      </c>
      <c r="I20" s="981">
        <f>SUM(I17:I19)</f>
        <v>0</v>
      </c>
      <c r="J20" s="981">
        <f>SUM(J17:J19)</f>
        <v>12.22689075630252</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0.19351922548209996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2022-07-26T12:28:14Z</dcterms:modified>
</cp:coreProperties>
</file>