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1C40468E-139D-4A1A-86F7-64FCF89B2E29}"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8" i="18"/>
  <c r="E9"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Q38" i="18"/>
  <c r="R38" i="18"/>
  <c r="J9" i="18"/>
  <c r="U38" i="18"/>
  <c r="T38" i="18"/>
  <c r="I9"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B8" i="18"/>
  <c r="M31" i="18"/>
  <c r="G22" i="18"/>
  <c r="F22" i="18"/>
  <c r="E22" i="18"/>
  <c r="D22" i="18"/>
  <c r="C22" i="18"/>
  <c r="L20" i="18"/>
  <c r="D20" i="18"/>
  <c r="G12" i="18"/>
  <c r="F12" i="18"/>
  <c r="E12" i="18"/>
  <c r="D12" i="18"/>
  <c r="C12" i="18"/>
  <c r="L10" i="18"/>
  <c r="K10" i="18"/>
  <c r="G10" i="18"/>
  <c r="D10" i="18"/>
  <c r="B6" i="18"/>
  <c r="B5" i="18"/>
  <c r="B4" i="18"/>
  <c r="B47" i="18"/>
  <c r="F51" i="18"/>
  <c r="F20" i="18"/>
  <c r="B17" i="18"/>
  <c r="C47" i="18"/>
  <c r="B50" i="18"/>
  <c r="C8" i="18"/>
  <c r="G20" i="18"/>
  <c r="K20" i="18"/>
  <c r="B10" i="18"/>
  <c r="O9" i="18"/>
  <c r="O19" i="18"/>
  <c r="O18" i="18"/>
  <c r="B20" i="18"/>
  <c r="I50" i="18"/>
  <c r="H8" i="18"/>
  <c r="H10" i="18"/>
  <c r="E50" i="18"/>
  <c r="E8" i="18"/>
  <c r="E10" i="18"/>
  <c r="D50" i="18"/>
  <c r="F50" i="18"/>
  <c r="N6" i="17"/>
  <c r="L6" i="17"/>
  <c r="F6" i="17"/>
  <c r="D6" i="17"/>
  <c r="C6" i="17"/>
  <c r="N16" i="16"/>
  <c r="L16" i="16"/>
  <c r="F16" i="16"/>
  <c r="D16" i="16"/>
  <c r="C16" i="16"/>
  <c r="B16" i="16"/>
  <c r="B13" i="15"/>
  <c r="H50" i="18"/>
  <c r="C50" i="18"/>
  <c r="J8" i="18"/>
  <c r="C51" i="18"/>
  <c r="H51" i="18"/>
  <c r="G51" i="18"/>
  <c r="I17" i="18"/>
  <c r="I51" i="18"/>
  <c r="H17" i="18"/>
  <c r="H20" i="18"/>
  <c r="D51" i="18"/>
  <c r="E51" i="18"/>
  <c r="E17" i="18"/>
  <c r="E20" i="18"/>
  <c r="B51" i="18"/>
  <c r="C17" i="18"/>
  <c r="C20" i="18"/>
  <c r="G50"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<sst xmlns="http://schemas.openxmlformats.org/spreadsheetml/2006/main" count="2507" uniqueCount="945">
  <si>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</si>
  <si>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</si>
  <si>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</si>
  <si>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</si>
  <si>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</si>
  <si>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</si>
  <si>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</si>
  <si>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</si>
  <si>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</si>
  <si>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</si>
  <si>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</si>
  <si>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</si>
  <si>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</si>
  <si>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</si>
  <si>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</si>
  <si>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</si>
  <si>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</si>
  <si>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</si>
  <si>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</si>
  <si>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</si>
  <si>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</si>
  <si>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</si>
  <si>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</si>
  <si>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</si>
  <si>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</si>
  <si>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</si>
  <si>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</si>
  <si>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</si>
  <si>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</si>
  <si>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</si>
  <si>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</si>
  <si>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</si>
  <si>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</si>
  <si>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</si>
  <si>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</si>
  <si>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</si>
  <si>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</si>
  <si>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</si>
  <si>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</si>
  <si>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</si>
  <si>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</si>
  <si>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</si>
  <si>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</si>
  <si>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</si>
  <si>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</si>
  <si>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</si>
  <si>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</si>
  <si>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</si>
  <si>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</si>
  <si>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</si>
  <si>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</si>
  <si>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</si>
  <si>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</si>
  <si>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</si>
  <si>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</si>
  <si>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</si>
  <si>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</si>
  <si>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</si>
  <si>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</si>
  <si>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</si>
  <si>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</si>
  <si>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</si>
  <si>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</si>
  <si>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</si>
  <si>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</si>
  <si>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</si>
  <si>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</si>
  <si>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</si>
  <si>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</si>
  <si>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</si>
  <si>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</si>
  <si>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</si>
  <si>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</si>
  <si>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</si>
  <si>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</si>
  <si>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</si>
  <si>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</si>
  <si>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</si>
  <si>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</si>
  <si>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</si>
  <si>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</si>
  <si>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</si>
  <si>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</si>
  <si>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</si>
  <si>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</si>
  <si>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</si>
  <si>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</si>
  <si>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</si>
  <si>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</si>
  <si>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</si>
  <si>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</si>
  <si>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</si>
  <si>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</si>
  <si>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</si>
  <si>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</si>
  <si>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</si>
  <si>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</si>
  <si>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</si>
  <si>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</si>
  <si>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</si>
  <si>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</si>
  <si>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</si>
  <si>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</si>
  <si>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</si>
  <si>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</si>
  <si>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</si>
  <si>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</si>
  <si>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</si>
  <si>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</si>
  <si>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</si>
  <si>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</si>
  <si>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</si>
  <si>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</si>
  <si>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</si>
  <si>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</si>
  <si>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</si>
  <si>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</si>
  <si>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</si>
  <si>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</si>
  <si>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</si>
  <si>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</si>
  <si>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</si>
  <si>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</si>
  <si>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</si>
  <si>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</si>
  <si>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</si>
  <si>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</si>
  <si>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</si>
  <si>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</si>
  <si>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</si>
  <si>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</si>
  <si>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</si>
  <si>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</si>
  <si>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</si>
  <si>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</si>
  <si>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</si>
  <si>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</si>
  <si>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</si>
  <si>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</si>
  <si>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</si>
  <si>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</si>
  <si>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</si>
  <si>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</si>
  <si>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</si>
  <si>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</si>
  <si>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</si>
  <si>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</si>
  <si>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</si>
  <si>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</si>
  <si>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</si>
  <si>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</si>
  <si>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</si>
  <si>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</si>
  <si>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</si>
  <si>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</si>
  <si>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</si>
  <si>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</si>
  <si>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</si>
  <si>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</si>
  <si>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</si>
  <si>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</si>
  <si>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</si>
  <si>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</si>
  <si>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</si>
  <si>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</si>
  <si>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</si>
  <si>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</si>
  <si>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</si>
  <si>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</si>
  <si>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</si>
  <si>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</si>
  <si>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</si>
  <si>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</si>
  <si>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</si>
  <si>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</si>
  <si>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</si>
  <si>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</si>
  <si>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</si>
  <si>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</si>
  <si>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</si>
  <si>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</si>
  <si>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</si>
  <si>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</si>
  <si>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</si>
  <si>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</si>
  <si>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</si>
  <si>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</si>
  <si>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</si>
  <si>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</si>
  <si>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</si>
  <si>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</si>
  <si>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</si>
  <si>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</si>
  <si>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</si>
  <si>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</si>
  <si>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</si>
  <si>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</si>
  <si>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</si>
  <si>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</si>
  <si>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</si>
  <si>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</si>
  <si>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</si>
  <si>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</si>
  <si>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</si>
  <si>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</si>
  <si>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</si>
  <si>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</si>
  <si>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</si>
  <si>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</si>
  <si>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</si>
  <si>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</si>
  <si>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</si>
  <si>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</si>
  <si>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</si>
  <si>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</si>
  <si>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</si>
  <si>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</si>
  <si>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</si>
  <si>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</si>
  <si>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</si>
  <si>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</si>
  <si>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</si>
  <si>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</si>
  <si>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</si>
  <si>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</si>
  <si>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</si>
  <si>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</si>
  <si>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</si>
  <si>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</si>
  <si>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</si>
  <si>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</si>
  <si>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</si>
  <si>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</si>
  <si>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</si>
  <si>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</si>
  <si>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</si>
  <si>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</si>
  <si>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</si>
  <si>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</si>
  <si>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</si>
  <si>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</si>
  <si>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</si>
  <si>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</si>
  <si>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</si>
  <si>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</si>
  <si>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</si>
  <si>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</si>
  <si>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</si>
  <si>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</si>
  <si>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</si>
  <si>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</si>
  <si>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</si>
  <si>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</si>
  <si>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</si>
  <si>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</si>
  <si>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</si>
  <si>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</si>
  <si>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</si>
  <si>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</si>
  <si>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</si>
  <si>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</si>
  <si>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</si>
  <si>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</si>
  <si>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</si>
  <si>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</si>
  <si>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</si>
  <si>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</si>
  <si>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</si>
  <si>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</si>
  <si>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</si>
  <si>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</si>
  <si>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</si>
  <si>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</si>
  <si>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</si>
  <si>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</si>
  <si>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</si>
  <si>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</si>
  <si>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</si>
  <si>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</si>
  <si>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</si>
  <si>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</si>
  <si>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</si>
  <si>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</si>
  <si>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</si>
  <si>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</si>
  <si>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</si>
  <si>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</si>
  <si>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</si>
  <si>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</si>
  <si>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</si>
  <si>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</si>
  <si>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</si>
  <si>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</si>
  <si>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</si>
  <si>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</si>
  <si>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</si>
  <si>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</si>
  <si>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</si>
  <si>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</si>
  <si>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</si>
  <si>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</si>
  <si>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</si>
  <si>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</si>
  <si>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</si>
  <si>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</si>
  <si>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</si>
  <si>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</si>
  <si>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</si>
  <si>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</si>
  <si>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</si>
  <si>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</si>
  <si>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</si>
  <si>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</si>
  <si>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</si>
  <si>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</si>
  <si>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</si>
  <si>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</si>
  <si>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</si>
  <si>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</si>
  <si>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</si>
  <si>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</si>
  <si>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</si>
  <si>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</si>
  <si>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</si>
  <si>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</si>
  <si>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</si>
  <si>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</si>
  <si>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</si>
  <si>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</si>
  <si>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</si>
  <si>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</si>
  <si>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</si>
  <si>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</si>
  <si>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</si>
  <si>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</si>
  <si>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</si>
  <si>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</si>
  <si>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</si>
  <si>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</si>
  <si>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</si>
  <si>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</si>
  <si>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</si>
  <si>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</si>
  <si>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</si>
  <si>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</si>
  <si>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</si>
  <si>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</si>
  <si>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</si>
  <si>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</si>
  <si>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</si>
  <si>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</si>
  <si>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</si>
  <si>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</si>
  <si>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</si>
  <si>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</si>
  <si>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</si>
  <si>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</si>
  <si>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</si>
  <si>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</si>
  <si>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</si>
  <si>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</si>
  <si>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</si>
  <si>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</si>
  <si>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</si>
  <si>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</si>
  <si>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</si>
  <si>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</si>
  <si>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</si>
  <si>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</si>
  <si>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</si>
  <si>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</si>
  <si>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</si>
  <si>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</si>
  <si>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</si>
  <si>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</si>
  <si>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</si>
  <si>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</si>
  <si>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</si>
  <si>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</si>
  <si>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</si>
  <si>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</si>
  <si>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</si>
  <si>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</si>
  <si>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</si>
  <si>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</si>
  <si>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</si>
  <si>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</si>
  <si>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</si>
  <si>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</si>
  <si>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</si>
  <si>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</si>
  <si>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</si>
  <si>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</si>
  <si>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</si>
  <si>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</si>
  <si>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</si>
  <si>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</si>
  <si>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</si>
  <si>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</si>
  <si>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</si>
  <si>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</si>
  <si>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</si>
  <si>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</si>
  <si>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</si>
  <si>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</si>
  <si>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</si>
  <si>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</si>
  <si>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</si>
  <si>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</si>
  <si>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</si>
  <si>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</si>
  <si>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</si>
  <si>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</si>
  <si>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</si>
  <si>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</si>
  <si>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</si>
  <si>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</si>
  <si>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</si>
  <si>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</si>
  <si>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</si>
  <si>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</si>
  <si>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</si>
  <si>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</si>
  <si>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</si>
  <si>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</si>
  <si>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</si>
  <si>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</si>
  <si>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</si>
  <si>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</si>
  <si>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</si>
  <si>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</si>
  <si>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</si>
  <si>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</si>
  <si>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</si>
  <si>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</si>
  <si>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</si>
  <si>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</si>
  <si>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</si>
  <si>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</si>
  <si>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</si>
  <si>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</si>
  <si>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</si>
  <si>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</si>
  <si>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</si>
  <si>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</si>
  <si>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</si>
  <si>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</si>
  <si>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</si>
  <si>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</si>
  <si>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</si>
  <si>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</si>
  <si>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</si>
  <si>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</si>
  <si>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</si>
  <si>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</si>
  <si>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</si>
  <si>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</si>
  <si>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</si>
  <si>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</si>
  <si>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</si>
  <si>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</si>
  <si>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</si>
  <si>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</si>
  <si>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</si>
  <si>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</si>
  <si>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</si>
  <si>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</si>
  <si>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</si>
  <si>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</si>
  <si>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</si>
  <si>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</si>
  <si>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</si>
  <si>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</si>
  <si>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</si>
  <si>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</si>
  <si>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</si>
  <si>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</si>
  <si>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</si>
  <si>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</si>
  <si>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</si>
  <si>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</si>
  <si>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</si>
  <si>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</si>
  <si>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</si>
  <si>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</si>
  <si>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</si>
  <si>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</si>
  <si>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</si>
  <si>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</si>
  <si>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</si>
  <si>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</si>
  <si>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</si>
  <si>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</si>
  <si>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</si>
  <si>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</si>
  <si>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</si>
  <si>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</si>
  <si>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</si>
  <si>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</si>
  <si>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</si>
  <si>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</si>
  <si>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</si>
  <si>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</si>
  <si>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</si>
  <si>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</si>
  <si>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</si>
  <si>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</si>
  <si>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</si>
  <si>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</si>
  <si>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</si>
  <si>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</si>
  <si>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</si>
  <si>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</si>
  <si>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</si>
  <si>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</si>
  <si>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</si>
  <si>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</si>
  <si>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</si>
  <si>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</si>
  <si>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</si>
  <si>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</si>
  <si>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</si>
  <si>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</si>
  <si>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</si>
  <si>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</si>
  <si>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</si>
  <si>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</si>
  <si>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</si>
  <si>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</si>
  <si>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</si>
  <si>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</si>
  <si>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</si>
  <si>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</si>
  <si>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</si>
  <si>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</si>
  <si>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</si>
  <si>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</si>
  <si>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</si>
  <si>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</si>
  <si>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</si>
  <si>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</si>
  <si>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</si>
  <si>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</si>
  <si>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</si>
  <si>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</si>
  <si>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</si>
  <si>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</si>
  <si>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</si>
  <si>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</si>
  <si>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</si>
  <si>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</si>
  <si>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</si>
  <si>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</si>
  <si>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</si>
  <si>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</si>
  <si>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</si>
  <si>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</si>
  <si>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</si>
  <si>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</si>
  <si>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</si>
  <si>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</si>
  <si>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</si>
  <si>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</si>
  <si>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</si>
  <si>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</si>
  <si>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</si>
  <si>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</si>
  <si>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</si>
  <si>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</si>
  <si>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</si>
  <si>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</si>
  <si>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</si>
  <si>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</si>
  <si>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</si>
  <si>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</si>
  <si>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</si>
  <si>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</si>
  <si>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</si>
  <si>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</si>
  <si>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</si>
  <si>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</si>
  <si>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</si>
  <si>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</si>
  <si>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</si>
  <si>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</si>
  <si>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</si>
  <si>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</si>
  <si>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</si>
  <si>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</si>
  <si>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</si>
  <si>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</si>
  <si>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</si>
  <si>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</si>
  <si>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</si>
  <si>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</si>
  <si>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</si>
  <si>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</si>
  <si>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</si>
  <si>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</si>
  <si>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</si>
  <si>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</si>
  <si>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</si>
  <si>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</si>
  <si>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</si>
  <si>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</si>
  <si>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</si>
  <si>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</si>
  <si>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</si>
  <si>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</si>
  <si>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</si>
  <si>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</si>
  <si>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</si>
  <si>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</si>
  <si>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</si>
  <si>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</si>
  <si>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</si>
  <si>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</si>
  <si>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</si>
  <si>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</si>
  <si>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</si>
  <si>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</si>
  <si>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</si>
  <si>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</si>
  <si>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</si>
  <si>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</si>
  <si>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</si>
  <si>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</si>
  <si>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</si>
  <si>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</si>
  <si>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</si>
  <si>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</si>
  <si>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</si>
  <si>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</si>
  <si>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</si>
  <si>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</si>
  <si>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</si>
  <si>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</si>
  <si>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</si>
  <si>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</si>
  <si>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</si>
  <si>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</si>
  <si>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</si>
  <si>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</si>
  <si>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</si>
  <si>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</si>
  <si>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</si>
  <si>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</si>
  <si>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</si>
  <si>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</si>
  <si>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</si>
  <si>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</si>
  <si>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</si>
  <si>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</si>
  <si>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</si>
  <si>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</si>
  <si>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</si>
  <si>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</si>
  <si>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</si>
  <si>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</si>
  <si>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</si>
  <si>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</si>
  <si>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</si>
  <si>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</si>
  <si>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</si>
  <si>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</si>
  <si>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</si>
  <si>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</si>
  <si>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</si>
  <si>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</si>
  <si>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</si>
  <si>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</si>
  <si>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</si>
  <si>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</si>
  <si>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</si>
  <si>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</si>
  <si>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</si>
  <si>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</si>
  <si>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</si>
  <si>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</si>
  <si>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</si>
  <si>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</si>
  <si>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</si>
  <si>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</si>
  <si>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</si>
  <si>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</si>
  <si>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</si>
  <si>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</si>
  <si>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</si>
  <si>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</si>
  <si>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</si>
  <si>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</si>
  <si>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</si>
  <si>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</si>
  <si>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</si>
  <si>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</si>
  <si>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</si>
  <si>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</si>
  <si>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</si>
  <si>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</si>
  <si>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</si>
  <si>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</si>
  <si>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</si>
  <si>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</si>
  <si>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</si>
  <si>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</si>
  <si>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</si>
  <si>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</si>
  <si>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</si>
  <si>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</si>
  <si>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</si>
  <si>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</si>
  <si>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</si>
  <si>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</si>
  <si>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</si>
  <si>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</si>
  <si>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</si>
  <si>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</si>
  <si>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</si>
  <si>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</si>
  <si>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</si>
  <si>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</si>
  <si>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</si>
  <si>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</si>
  <si>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</si>
  <si>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</si>
  <si>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</si>
  <si>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</si>
  <si>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</si>
  <si>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</si>
  <si>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</si>
  <si>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</si>
  <si>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</si>
  <si>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</si>
  <si>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</si>
  <si>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</si>
  <si>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</si>
  <si>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</si>
  <si>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</si>
  <si>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</si>
  <si>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</si>
  <si>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</si>
  <si>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</si>
  <si>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</si>
  <si>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</si>
  <si>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</si>
  <si>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</si>
  <si>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</si>
  <si>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</si>
  <si>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</si>
  <si>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</si>
  <si>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</si>
  <si>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</si>
  <si>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</si>
  <si>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</si>
  <si>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</si>
  <si>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</si>
  <si>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</si>
  <si>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</si>
  <si>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</si>
  <si>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</si>
  <si>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</si>
  <si>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</si>
  <si>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</si>
  <si>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</si>
  <si>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</si>
  <si>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</si>
  <si>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</si>
  <si>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</si>
  <si>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</si>
  <si>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</si>
  <si>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</si>
  <si>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</si>
  <si>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</si>
  <si>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</si>
  <si>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</si>
  <si>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</si>
  <si>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</si>
  <si>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</si>
  <si>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</si>
  <si>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</si>
  <si>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</si>
  <si>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</si>
  <si>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</si>
  <si>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</si>
  <si>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</si>
  <si>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</si>
  <si>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</si>
  <si>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</si>
  <si>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</si>
  <si>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</si>
  <si>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</si>
  <si>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</si>
  <si>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</si>
  <si>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</si>
  <si>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</si>
  <si>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</si>
  <si>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</si>
  <si>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</si>
  <si>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</si>
  <si>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</si>
  <si>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</si>
  <si>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</si>
  <si>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</si>
  <si>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</si>
  <si>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</si>
  <si>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</si>
  <si>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</si>
  <si>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</si>
  <si>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</si>
  <si>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</si>
  <si>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</si>
  <si>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</si>
  <si>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</si>
  <si>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</si>
  <si>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</si>
  <si>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</si>
  <si>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</si>
  <si>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</si>
  <si>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</si>
  <si>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</si>
  <si>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</si>
  <si>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</si>
  <si>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</si>
  <si>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</si>
  <si>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</si>
  <si>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</si>
  <si>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</si>
  <si>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</si>
  <si>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</si>
  <si>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</si>
  <si>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</si>
  <si>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</si>
  <si>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</si>
  <si>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</si>
  <si>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</si>
  <si>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</si>
  <si>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</si>
  <si>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</si>
  <si>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</si>
  <si>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</si>
  <si>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</si>
  <si>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</si>
  <si>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</si>
  <si>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</si>
  <si>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</si>
  <si>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</si>
  <si>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</si>
  <si>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</si>
  <si>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</si>
  <si>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</si>
  <si>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</si>
  <si>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</si>
  <si>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</si>
  <si>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</si>
  <si>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</si>
  <si>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</si>
  <si>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</si>
  <si>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</si>
  <si>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</si>
  <si>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</si>
  <si>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</si>
  <si>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</si>
  <si>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</si>
  <si>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</si>
  <si>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</si>
  <si>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</si>
  <si>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</si>
  <si>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</si>
  <si>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</si>
  <si>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</si>
  <si>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</si>
  <si>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</si>
  <si>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</si>
  <si>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</si>
  <si>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</si>
  <si>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</si>
  <si>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</si>
  <si>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</si>
  <si>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</si>
  <si>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</si>
  <si>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</si>
  <si>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</si>
  <si>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</si>
  <si>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</si>
  <si>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</si>
  <si>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</si>
  <si>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</si>
  <si>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</si>
  <si>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</si>
  <si>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</si>
  <si>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</si>
  <si>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</si>
  <si>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</si>
  <si>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</si>
  <si>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</si>
  <si>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</si>
  <si>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</si>
  <si>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</si>
  <si>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</si>
  <si>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</si>
  <si>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</si>
  <si>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</si>
  <si>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</si>
  <si>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</si>
  <si>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</si>
  <si>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</si>
  <si>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</si>
  <si>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</si>
  <si>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</si>
  <si>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</si>
  <si>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</si>
  <si>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</si>
  <si>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</si>
  <si>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</si>
  <si>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</si>
  <si>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</si>
  <si>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</si>
  <si>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</si>
  <si>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</si>
  <si>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</si>
  <si>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</si>
  <si>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</si>
  <si>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</si>
  <si>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</si>
  <si>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</si>
  <si>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</si>
  <si>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</si>
  <si>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</si>
  <si>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</si>
  <si>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</si>
  <si>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</si>
  <si>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</si>
  <si>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</si>
  <si>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</si>
  <si>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</si>
  <si>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</si>
  <si>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</si>
  <si>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31012</t>
  </si>
  <si>
    <t>JABBEKE</t>
  </si>
  <si>
    <t>Paarden&amp;pony's 200 - 600 kg</t>
  </si>
  <si>
    <t>Paarden&amp;pony's &lt; 200 kg</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</si>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</sst>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9255D035-DDBD-4981-BDE8-BB08CBECD77E}"/>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31012</v>
      </c>
      <c r="B6" s="384"/>
      <c r="C6" s="385"/>
    </row>
    <row r="7" spans="1:7" s="382" customFormat="1" ht="15.75" customHeight="1">
      <c r="A7" s="386" t="str">
        <f>txtMunicipality</f>
        <v>JABBEKE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0.20945596040882614</v>
      </c>
      <c r="C17" s="496">
        <f ca="1">'EF ele_warmte'!B22</f>
        <v>0.23650316418746939</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0.20945596040882614</v>
      </c>
      <c r="C29" s="497">
        <f ca="1">'EF ele_warmte'!B22</f>
        <v>0.23650316418746939</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5388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3349</v>
      </c>
      <c r="C14" s="327"/>
      <c r="D14" s="327"/>
      <c r="E14" s="327"/>
      <c r="F14" s="327"/>
    </row>
    <row r="15" spans="1:6">
      <c r="A15" s="1258" t="s">
        <v>177</v>
      </c>
      <c r="B15" s="1259">
        <v>35</v>
      </c>
      <c r="C15" s="327"/>
      <c r="D15" s="327"/>
      <c r="E15" s="327"/>
      <c r="F15" s="327"/>
    </row>
    <row r="16" spans="1:6">
      <c r="A16" s="1258" t="s">
        <v>6</v>
      </c>
      <c r="B16" s="1259">
        <v>1418</v>
      </c>
      <c r="C16" s="327"/>
      <c r="D16" s="327"/>
      <c r="E16" s="327"/>
      <c r="F16" s="327"/>
    </row>
    <row r="17" spans="1:6">
      <c r="A17" s="1258" t="s">
        <v>7</v>
      </c>
      <c r="B17" s="1259">
        <v>1967</v>
      </c>
      <c r="C17" s="327"/>
      <c r="D17" s="327"/>
      <c r="E17" s="327"/>
      <c r="F17" s="327"/>
    </row>
    <row r="18" spans="1:6">
      <c r="A18" s="1258" t="s">
        <v>8</v>
      </c>
      <c r="B18" s="1259">
        <v>2546</v>
      </c>
      <c r="C18" s="327"/>
      <c r="D18" s="327"/>
      <c r="E18" s="327"/>
      <c r="F18" s="327"/>
    </row>
    <row r="19" spans="1:6">
      <c r="A19" s="1258" t="s">
        <v>9</v>
      </c>
      <c r="B19" s="1259">
        <v>2431</v>
      </c>
      <c r="C19" s="327"/>
      <c r="D19" s="327"/>
      <c r="E19" s="327"/>
      <c r="F19" s="327"/>
    </row>
    <row r="20" spans="1:6">
      <c r="A20" s="1258" t="s">
        <v>10</v>
      </c>
      <c r="B20" s="1259">
        <v>1524</v>
      </c>
      <c r="C20" s="327"/>
      <c r="D20" s="327"/>
      <c r="E20" s="327"/>
      <c r="F20" s="327"/>
    </row>
    <row r="21" spans="1:6">
      <c r="A21" s="1258" t="s">
        <v>11</v>
      </c>
      <c r="B21" s="1259">
        <v>10982</v>
      </c>
      <c r="C21" s="327"/>
      <c r="D21" s="327"/>
      <c r="E21" s="327"/>
      <c r="F21" s="327"/>
    </row>
    <row r="22" spans="1:6">
      <c r="A22" s="1258" t="s">
        <v>12</v>
      </c>
      <c r="B22" s="1259">
        <v>14784</v>
      </c>
      <c r="C22" s="327"/>
      <c r="D22" s="327"/>
      <c r="E22" s="327"/>
      <c r="F22" s="327"/>
    </row>
    <row r="23" spans="1:6">
      <c r="A23" s="1258" t="s">
        <v>13</v>
      </c>
      <c r="B23" s="1259">
        <v>723</v>
      </c>
      <c r="C23" s="327"/>
      <c r="D23" s="327"/>
      <c r="E23" s="327"/>
      <c r="F23" s="327"/>
    </row>
    <row r="24" spans="1:6">
      <c r="A24" s="1258" t="s">
        <v>14</v>
      </c>
      <c r="B24" s="1259">
        <v>16</v>
      </c>
      <c r="C24" s="327"/>
      <c r="D24" s="327"/>
      <c r="E24" s="327"/>
      <c r="F24" s="327"/>
    </row>
    <row r="25" spans="1:6">
      <c r="A25" s="1258" t="s">
        <v>15</v>
      </c>
      <c r="B25" s="1259">
        <v>2472</v>
      </c>
      <c r="C25" s="327"/>
      <c r="D25" s="327"/>
      <c r="E25" s="327"/>
      <c r="F25" s="327"/>
    </row>
    <row r="26" spans="1:6">
      <c r="A26" s="1258" t="s">
        <v>16</v>
      </c>
      <c r="B26" s="1259">
        <v>431</v>
      </c>
      <c r="C26" s="327"/>
      <c r="D26" s="327"/>
      <c r="E26" s="327"/>
      <c r="F26" s="327"/>
    </row>
    <row r="27" spans="1:6">
      <c r="A27" s="1258" t="s">
        <v>17</v>
      </c>
      <c r="B27" s="1259">
        <v>3</v>
      </c>
      <c r="C27" s="327"/>
      <c r="D27" s="327"/>
      <c r="E27" s="327"/>
      <c r="F27" s="327"/>
    </row>
    <row r="28" spans="1:6">
      <c r="A28" s="1258" t="s">
        <v>18</v>
      </c>
      <c r="B28" s="1260">
        <v>11732</v>
      </c>
      <c r="C28" s="327"/>
      <c r="D28" s="327"/>
      <c r="E28" s="327"/>
      <c r="F28" s="327"/>
    </row>
    <row r="29" spans="1:6">
      <c r="A29" s="1258" t="s">
        <v>939</v>
      </c>
      <c r="B29" s="1260">
        <v>147</v>
      </c>
      <c r="C29" s="327"/>
      <c r="D29" s="327"/>
      <c r="E29" s="327"/>
      <c r="F29" s="327"/>
    </row>
    <row r="30" spans="1:6">
      <c r="A30" s="1253" t="s">
        <v>940</v>
      </c>
      <c r="B30" s="1261">
        <v>28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14784</v>
      </c>
    </row>
    <row r="39" spans="1:6">
      <c r="A39" s="1258" t="s">
        <v>29</v>
      </c>
      <c r="B39" s="1258" t="s">
        <v>30</v>
      </c>
      <c r="C39" s="1259">
        <v>3229</v>
      </c>
      <c r="D39" s="1259">
        <v>63500014.465316102</v>
      </c>
      <c r="E39" s="1259">
        <v>5189</v>
      </c>
      <c r="F39" s="1259">
        <v>25776207.432185881</v>
      </c>
    </row>
    <row r="40" spans="1:6">
      <c r="A40" s="1258" t="s">
        <v>29</v>
      </c>
      <c r="B40" s="1258" t="s">
        <v>28</v>
      </c>
      <c r="C40" s="1259">
        <v>1</v>
      </c>
      <c r="D40" s="1259">
        <v>19685</v>
      </c>
      <c r="E40" s="1259">
        <v>0</v>
      </c>
      <c r="F40" s="1259">
        <v>0</v>
      </c>
    </row>
    <row r="41" spans="1:6">
      <c r="A41" s="1258" t="s">
        <v>31</v>
      </c>
      <c r="B41" s="1258" t="s">
        <v>32</v>
      </c>
      <c r="C41" s="1259">
        <v>45</v>
      </c>
      <c r="D41" s="1259">
        <v>1252178.5739309499</v>
      </c>
      <c r="E41" s="1259">
        <v>131</v>
      </c>
      <c r="F41" s="1259">
        <v>2129121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11</v>
      </c>
      <c r="F44" s="1259">
        <v>205057</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15938312.120731501</v>
      </c>
      <c r="E47" s="1259">
        <v>3</v>
      </c>
      <c r="F47" s="1259">
        <v>13507977</v>
      </c>
    </row>
    <row r="48" spans="1:6">
      <c r="A48" s="1258" t="s">
        <v>31</v>
      </c>
      <c r="B48" s="1258" t="s">
        <v>28</v>
      </c>
      <c r="C48" s="1259">
        <v>28</v>
      </c>
      <c r="D48" s="1259">
        <v>1053964.5982844499</v>
      </c>
      <c r="E48" s="1259">
        <v>4</v>
      </c>
      <c r="F48" s="1259">
        <v>172526</v>
      </c>
    </row>
    <row r="49" spans="1:6">
      <c r="A49" s="1258" t="s">
        <v>31</v>
      </c>
      <c r="B49" s="1258" t="s">
        <v>39</v>
      </c>
      <c r="C49" s="1259">
        <v>0</v>
      </c>
      <c r="D49" s="1259">
        <v>0</v>
      </c>
      <c r="E49" s="1259">
        <v>4</v>
      </c>
      <c r="F49" s="1259">
        <v>11355</v>
      </c>
    </row>
    <row r="50" spans="1:6">
      <c r="A50" s="1258" t="s">
        <v>31</v>
      </c>
      <c r="B50" s="1258" t="s">
        <v>40</v>
      </c>
      <c r="C50" s="1259">
        <v>8</v>
      </c>
      <c r="D50" s="1259">
        <v>588636.66880554904</v>
      </c>
      <c r="E50" s="1259">
        <v>19</v>
      </c>
      <c r="F50" s="1259">
        <v>693309</v>
      </c>
    </row>
    <row r="51" spans="1:6">
      <c r="A51" s="1258" t="s">
        <v>41</v>
      </c>
      <c r="B51" s="1258" t="s">
        <v>42</v>
      </c>
      <c r="C51" s="1259">
        <v>23</v>
      </c>
      <c r="D51" s="1259">
        <v>37201634.942864403</v>
      </c>
      <c r="E51" s="1259">
        <v>153</v>
      </c>
      <c r="F51" s="1259">
        <v>2563211</v>
      </c>
    </row>
    <row r="52" spans="1:6">
      <c r="A52" s="1258" t="s">
        <v>41</v>
      </c>
      <c r="B52" s="1258" t="s">
        <v>28</v>
      </c>
      <c r="C52" s="1259">
        <v>3</v>
      </c>
      <c r="D52" s="1259">
        <v>63378.161483653297</v>
      </c>
      <c r="E52" s="1259">
        <v>0</v>
      </c>
      <c r="F52" s="1259">
        <v>0</v>
      </c>
    </row>
    <row r="53" spans="1:6">
      <c r="A53" s="1258" t="s">
        <v>43</v>
      </c>
      <c r="B53" s="1258" t="s">
        <v>44</v>
      </c>
      <c r="C53" s="1259">
        <v>106</v>
      </c>
      <c r="D53" s="1259">
        <v>2536117.30973511</v>
      </c>
      <c r="E53" s="1259">
        <v>0</v>
      </c>
      <c r="F53" s="1259">
        <v>0</v>
      </c>
    </row>
    <row r="54" spans="1:6">
      <c r="A54" s="1258" t="s">
        <v>45</v>
      </c>
      <c r="B54" s="1258" t="s">
        <v>46</v>
      </c>
      <c r="C54" s="1259">
        <v>0</v>
      </c>
      <c r="D54" s="1259">
        <v>0</v>
      </c>
      <c r="E54" s="1259">
        <v>71</v>
      </c>
      <c r="F54" s="1259">
        <v>1060724</v>
      </c>
    </row>
    <row r="55" spans="1:6">
      <c r="A55" s="1258" t="s">
        <v>45</v>
      </c>
      <c r="B55" s="1258" t="s">
        <v>28</v>
      </c>
      <c r="C55" s="1259">
        <v>0</v>
      </c>
      <c r="D55" s="1259">
        <v>0</v>
      </c>
      <c r="E55" s="1259">
        <v>0</v>
      </c>
      <c r="F55" s="1259">
        <v>0</v>
      </c>
    </row>
    <row r="56" spans="1:6">
      <c r="A56" s="1258" t="s">
        <v>47</v>
      </c>
      <c r="B56" s="1258" t="s">
        <v>28</v>
      </c>
      <c r="C56" s="1259">
        <v>0</v>
      </c>
      <c r="D56" s="1259">
        <v>0</v>
      </c>
      <c r="E56" s="1259">
        <v>92</v>
      </c>
      <c r="F56" s="1259">
        <v>535947</v>
      </c>
    </row>
    <row r="57" spans="1:6">
      <c r="A57" s="1258" t="s">
        <v>48</v>
      </c>
      <c r="B57" s="1258" t="s">
        <v>49</v>
      </c>
      <c r="C57" s="1259">
        <v>27</v>
      </c>
      <c r="D57" s="1259">
        <v>906570.24591292604</v>
      </c>
      <c r="E57" s="1259">
        <v>61</v>
      </c>
      <c r="F57" s="1259">
        <v>1493154</v>
      </c>
    </row>
    <row r="58" spans="1:6">
      <c r="A58" s="1258" t="s">
        <v>48</v>
      </c>
      <c r="B58" s="1258" t="s">
        <v>50</v>
      </c>
      <c r="C58" s="1259">
        <v>25</v>
      </c>
      <c r="D58" s="1259">
        <v>932923.27513126004</v>
      </c>
      <c r="E58" s="1259">
        <v>50</v>
      </c>
      <c r="F58" s="1259">
        <v>1316961</v>
      </c>
    </row>
    <row r="59" spans="1:6">
      <c r="A59" s="1258" t="s">
        <v>48</v>
      </c>
      <c r="B59" s="1258" t="s">
        <v>51</v>
      </c>
      <c r="C59" s="1259">
        <v>55</v>
      </c>
      <c r="D59" s="1259">
        <v>2041569.8972473601</v>
      </c>
      <c r="E59" s="1259">
        <v>181</v>
      </c>
      <c r="F59" s="1259">
        <v>4903134</v>
      </c>
    </row>
    <row r="60" spans="1:6">
      <c r="A60" s="1258" t="s">
        <v>48</v>
      </c>
      <c r="B60" s="1258" t="s">
        <v>52</v>
      </c>
      <c r="C60" s="1259">
        <v>60</v>
      </c>
      <c r="D60" s="1259">
        <v>5270279.93589951</v>
      </c>
      <c r="E60" s="1259">
        <v>60</v>
      </c>
      <c r="F60" s="1259">
        <v>2373456</v>
      </c>
    </row>
    <row r="61" spans="1:6">
      <c r="A61" s="1258" t="s">
        <v>48</v>
      </c>
      <c r="B61" s="1258" t="s">
        <v>53</v>
      </c>
      <c r="C61" s="1259">
        <v>84</v>
      </c>
      <c r="D61" s="1259">
        <v>4145151.3846487999</v>
      </c>
      <c r="E61" s="1259">
        <v>315</v>
      </c>
      <c r="F61" s="1259">
        <v>5003728</v>
      </c>
    </row>
    <row r="62" spans="1:6">
      <c r="A62" s="1258" t="s">
        <v>48</v>
      </c>
      <c r="B62" s="1258" t="s">
        <v>54</v>
      </c>
      <c r="C62" s="1259">
        <v>4</v>
      </c>
      <c r="D62" s="1259">
        <v>740857.90650939196</v>
      </c>
      <c r="E62" s="1259">
        <v>7</v>
      </c>
      <c r="F62" s="1259">
        <v>34977</v>
      </c>
    </row>
    <row r="63" spans="1:6">
      <c r="A63" s="1258" t="s">
        <v>48</v>
      </c>
      <c r="B63" s="1258" t="s">
        <v>28</v>
      </c>
      <c r="C63" s="1259">
        <v>84</v>
      </c>
      <c r="D63" s="1259">
        <v>2905336.5446160398</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33975.607825139399</v>
      </c>
      <c r="E65" s="1259">
        <v>2</v>
      </c>
      <c r="F65" s="1259">
        <v>21999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104926.54905272899</v>
      </c>
      <c r="E68" s="1261">
        <v>3</v>
      </c>
      <c r="F68" s="1261">
        <v>66085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70590356</v>
      </c>
      <c r="E73" s="445"/>
      <c r="F73" s="327"/>
    </row>
    <row r="74" spans="1:6">
      <c r="A74" s="1258" t="s">
        <v>63</v>
      </c>
      <c r="B74" s="1258" t="s">
        <v>724</v>
      </c>
      <c r="C74" s="1271" t="s">
        <v>718</v>
      </c>
      <c r="D74" s="1259">
        <v>3549765.5416492866</v>
      </c>
      <c r="E74" s="445"/>
      <c r="F74" s="327"/>
    </row>
    <row r="75" spans="1:6">
      <c r="A75" s="1258" t="s">
        <v>64</v>
      </c>
      <c r="B75" s="1258" t="s">
        <v>723</v>
      </c>
      <c r="C75" s="1271" t="s">
        <v>719</v>
      </c>
      <c r="D75" s="1259">
        <v>26287763</v>
      </c>
      <c r="E75" s="445"/>
      <c r="F75" s="327"/>
    </row>
    <row r="76" spans="1:6">
      <c r="A76" s="1258" t="s">
        <v>64</v>
      </c>
      <c r="B76" s="1258" t="s">
        <v>724</v>
      </c>
      <c r="C76" s="1271" t="s">
        <v>720</v>
      </c>
      <c r="D76" s="1259">
        <v>852324.5416492864</v>
      </c>
      <c r="E76" s="445"/>
      <c r="F76" s="327"/>
    </row>
    <row r="77" spans="1:6">
      <c r="A77" s="1258" t="s">
        <v>65</v>
      </c>
      <c r="B77" s="1258" t="s">
        <v>723</v>
      </c>
      <c r="C77" s="1271" t="s">
        <v>721</v>
      </c>
      <c r="D77" s="1259">
        <v>158499946</v>
      </c>
      <c r="E77" s="445"/>
      <c r="F77" s="327"/>
    </row>
    <row r="78" spans="1:6">
      <c r="A78" s="1253" t="s">
        <v>65</v>
      </c>
      <c r="B78" s="1253" t="s">
        <v>724</v>
      </c>
      <c r="C78" s="1253" t="s">
        <v>722</v>
      </c>
      <c r="D78" s="1261">
        <v>22890045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402820.91670142714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2693.7363838126607</v>
      </c>
      <c r="C91" s="327"/>
      <c r="D91" s="327"/>
      <c r="E91" s="327"/>
      <c r="F91" s="327"/>
    </row>
    <row r="92" spans="1:6">
      <c r="A92" s="1253" t="s">
        <v>68</v>
      </c>
      <c r="B92" s="1254">
        <v>1312.5031228349242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2245</v>
      </c>
      <c r="C97" s="327"/>
      <c r="D97" s="327"/>
      <c r="E97" s="327"/>
      <c r="F97" s="327"/>
    </row>
    <row r="98" spans="1:6">
      <c r="A98" s="1258" t="s">
        <v>71</v>
      </c>
      <c r="B98" s="1259">
        <v>1</v>
      </c>
      <c r="C98" s="327"/>
      <c r="D98" s="327"/>
      <c r="E98" s="327"/>
      <c r="F98" s="327"/>
    </row>
    <row r="99" spans="1:6">
      <c r="A99" s="1258" t="s">
        <v>72</v>
      </c>
      <c r="B99" s="1259">
        <v>93</v>
      </c>
      <c r="C99" s="327"/>
      <c r="D99" s="327"/>
      <c r="E99" s="327"/>
      <c r="F99" s="327"/>
    </row>
    <row r="100" spans="1:6">
      <c r="A100" s="1258" t="s">
        <v>73</v>
      </c>
      <c r="B100" s="1259">
        <v>500</v>
      </c>
      <c r="C100" s="327"/>
      <c r="D100" s="327"/>
      <c r="E100" s="327"/>
      <c r="F100" s="327"/>
    </row>
    <row r="101" spans="1:6">
      <c r="A101" s="1258" t="s">
        <v>74</v>
      </c>
      <c r="B101" s="1259">
        <v>118</v>
      </c>
      <c r="C101" s="327"/>
      <c r="D101" s="327"/>
      <c r="E101" s="327"/>
      <c r="F101" s="327"/>
    </row>
    <row r="102" spans="1:6">
      <c r="A102" s="1258" t="s">
        <v>75</v>
      </c>
      <c r="B102" s="1259">
        <v>82</v>
      </c>
      <c r="C102" s="327"/>
      <c r="D102" s="327"/>
      <c r="E102" s="327"/>
      <c r="F102" s="327"/>
    </row>
    <row r="103" spans="1:6">
      <c r="A103" s="1258" t="s">
        <v>76</v>
      </c>
      <c r="B103" s="1259">
        <v>110</v>
      </c>
      <c r="C103" s="327"/>
      <c r="D103" s="327"/>
      <c r="E103" s="327"/>
      <c r="F103" s="327"/>
    </row>
    <row r="104" spans="1:6">
      <c r="A104" s="1258" t="s">
        <v>77</v>
      </c>
      <c r="B104" s="1259">
        <v>1792</v>
      </c>
      <c r="C104" s="327"/>
      <c r="D104" s="327"/>
      <c r="E104" s="327"/>
      <c r="F104" s="327"/>
    </row>
    <row r="105" spans="1:6">
      <c r="A105" s="1253" t="s">
        <v>78</v>
      </c>
      <c r="B105" s="1261">
        <v>13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12</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30</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64517.280192014186</v>
      </c>
      <c r="C3" s="44" t="s">
        <v>163</v>
      </c>
      <c r="D3" s="44"/>
      <c r="E3" s="157"/>
      <c r="F3" s="44"/>
      <c r="G3" s="44"/>
      <c r="H3" s="44"/>
      <c r="I3" s="44"/>
      <c r="J3" s="44"/>
      <c r="K3" s="97"/>
    </row>
    <row r="4" spans="1:11">
      <c r="A4" s="352" t="s">
        <v>164</v>
      </c>
      <c r="B4" s="50">
        <f>IF(ISERROR('SEAP template'!B78+'SEAP template'!C78),0,'SEAP template'!B78+'SEAP template'!C78)</f>
        <v>13074.639506647585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2144.7052941176476</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0.20945596040882614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3063.8647058823535</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12954.857142857143</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0.23650316418746939</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1060.7239999999999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1060.7239999999999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0.20945596040882614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222.17496414869169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25776.207432185882</v>
      </c>
      <c r="C5" s="18">
        <f>IF(ISERROR('Eigen informatie GS &amp; warmtenet'!B57),0,'Eigen informatie GS &amp; warmtenet'!B57)</f>
        <v>0</v>
      </c>
      <c r="D5" s="31">
        <f>(SUM(HH_hh_gas_kWh,HH_rest_gas_kWh)/1000)*0.902</f>
        <v>57294.768917715126</v>
      </c>
      <c r="E5" s="18">
        <f>B32*B41</f>
        <v>1198.0994135130813</v>
      </c>
      <c r="F5" s="18">
        <f>B36*B45</f>
        <v>36526.572680944766</v>
      </c>
      <c r="G5" s="19"/>
      <c r="H5" s="18"/>
      <c r="I5" s="18"/>
      <c r="J5" s="18">
        <f>B35*B44+C35*C44</f>
        <v>662.76193376366336</v>
      </c>
      <c r="K5" s="18"/>
      <c r="L5" s="18"/>
      <c r="M5" s="18"/>
      <c r="N5" s="18">
        <f>B34*B43+C34*C43</f>
        <v>7784.9477188579604</v>
      </c>
      <c r="O5" s="18">
        <f>B52*B53*B54</f>
        <v>65.660000000000011</v>
      </c>
      <c r="P5" s="18">
        <f>B60*B61*B62/1000-B60*B61*B62/1000/B63</f>
        <v>305.06666666666666</v>
      </c>
    </row>
    <row r="6" spans="1:16">
      <c r="A6" s="17" t="s">
        <v>597</v>
      </c>
      <c r="B6" s="731">
        <f>kWh_PV_kleiner_dan_10kW</f>
        <v>2693.7363838126607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28469.943815998544</v>
      </c>
      <c r="C8" s="22">
        <f>C5</f>
        <v>0</v>
      </c>
      <c r="D8" s="22">
        <f>D5</f>
        <v>57294.768917715126</v>
      </c>
      <c r="E8" s="22">
        <f>E5</f>
        <v>1198.0994135130813</v>
      </c>
      <c r="F8" s="22">
        <f>F5</f>
        <v>36526.572680944766</v>
      </c>
      <c r="G8" s="22"/>
      <c r="H8" s="22"/>
      <c r="I8" s="22"/>
      <c r="J8" s="22">
        <f>J5</f>
        <v>662.76193376366336</v>
      </c>
      <c r="K8" s="22"/>
      <c r="L8" s="22">
        <f>L5</f>
        <v>0</v>
      </c>
      <c r="M8" s="22">
        <f>M5</f>
        <v>0</v>
      </c>
      <c r="N8" s="22">
        <f>N5</f>
        <v>7784.9477188579604</v>
      </c>
      <c r="O8" s="22">
        <f>O5</f>
        <v>65.660000000000011</v>
      </c>
      <c r="P8" s="22">
        <f>P5</f>
        <v>305.06666666666666</v>
      </c>
    </row>
    <row r="9" spans="1:16">
      <c r="B9" s="20"/>
      <c r="C9" s="20"/>
      <c r="D9" s="258"/>
      <c r="E9" s="20"/>
      <c r="F9" s="20"/>
      <c r="G9" s="20"/>
      <c r="H9" s="20"/>
      <c r="I9" s="20"/>
      <c r="J9" s="20"/>
      <c r="K9" s="20"/>
      <c r="L9" s="20"/>
      <c r="M9" s="20"/>
      <c r="N9" s="20"/>
      <c r="O9" s="20"/>
      <c r="P9" s="20"/>
    </row>
    <row r="10" spans="1:16">
      <c r="A10" s="25" t="s">
        <v>207</v>
      </c>
      <c r="B10" s="26">
        <f ca="1">'EF ele_warmte'!B12</f>
        <v>0.20945596040882614</v>
      </c>
      <c r="C10" s="26">
        <f ca="1">'EF ele_warmte'!B22</f>
        <v>0.23650316418746939</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5963.1994247652956</v>
      </c>
      <c r="C12" s="24">
        <f ca="1">C10*C8</f>
        <v>0</v>
      </c>
      <c r="D12" s="24">
        <f>D8*D10</f>
        <v>11573.543321378456</v>
      </c>
      <c r="E12" s="24">
        <f>E10*E8</f>
        <v>271.96856686746946</v>
      </c>
      <c r="F12" s="24">
        <f>F10*F8</f>
        <v>9752.5949058122533</v>
      </c>
      <c r="G12" s="24"/>
      <c r="H12" s="24"/>
      <c r="I12" s="24"/>
      <c r="J12" s="24">
        <f>J10*J8</f>
        <v>234.61772455233682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5388</v>
      </c>
      <c r="C26" s="37"/>
      <c r="D26" s="228"/>
    </row>
    <row r="27" spans="1:5" s="16" customFormat="1">
      <c r="A27" s="230" t="s">
        <v>623</v>
      </c>
      <c r="B27" s="38">
        <f>SUM(HH_hh_gas_aantal,HH_rest_gas_aantal)</f>
        <v>3230</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3068.5</v>
      </c>
      <c r="C31" s="35" t="s">
        <v>104</v>
      </c>
      <c r="D31" s="174"/>
    </row>
    <row r="32" spans="1:5">
      <c r="A32" s="171" t="s">
        <v>72</v>
      </c>
      <c r="B32" s="34">
        <f>IF((B21*($B$26-($B$27-0.05*$B$27)-$B$60))&lt;0,0,B21*($B$26-($B$27-0.05*$B$27)-$B$60))</f>
        <v>56.609273964237417</v>
      </c>
      <c r="C32" s="35" t="s">
        <v>104</v>
      </c>
      <c r="D32" s="174"/>
    </row>
    <row r="33" spans="1:6">
      <c r="A33" s="171" t="s">
        <v>73</v>
      </c>
      <c r="B33" s="34">
        <f>IF((B22*($B$26-($B$27-0.05*$B$27)-$B$60))&lt;0,0,B22*($B$26-($B$27-0.05*$B$27)-$B$60))</f>
        <v>381.0468073722389</v>
      </c>
      <c r="C33" s="35" t="s">
        <v>104</v>
      </c>
      <c r="D33" s="174"/>
    </row>
    <row r="34" spans="1:6">
      <c r="A34" s="171" t="s">
        <v>74</v>
      </c>
      <c r="B34" s="34">
        <f>IF((B24*($B$26-($B$27-0.05*$B$27)-$B$60))&lt;0,0,B24*($B$26-($B$27-0.05*$B$27)-$B$60))</f>
        <v>96.641502088540193</v>
      </c>
      <c r="C34" s="34">
        <f>B26*C24</f>
        <v>1101.8585414809613</v>
      </c>
      <c r="D34" s="233"/>
    </row>
    <row r="35" spans="1:6">
      <c r="A35" s="171" t="s">
        <v>76</v>
      </c>
      <c r="B35" s="34">
        <f>IF((B19*($B$26-($B$27-0.05*$B$27)-$B$60))&lt;0,0,B19*($B$26-($B$27-0.05*$B$27)-$B$60))</f>
        <v>35.928252169277847</v>
      </c>
      <c r="C35" s="34">
        <f>B35/2</f>
        <v>17.964126084638924</v>
      </c>
      <c r="D35" s="233"/>
    </row>
    <row r="36" spans="1:6">
      <c r="A36" s="171" t="s">
        <v>77</v>
      </c>
      <c r="B36" s="34">
        <f>IF((B18*($B$26-($B$27-0.05*$B$27)-$B$60))&lt;0,0,B18*($B$26-($B$27-0.05*$B$27)-$B$60))</f>
        <v>1733.2741644057051</v>
      </c>
      <c r="C36" s="35" t="s">
        <v>104</v>
      </c>
      <c r="D36" s="174"/>
    </row>
    <row r="37" spans="1:6">
      <c r="A37" s="171" t="s">
        <v>78</v>
      </c>
      <c r="B37" s="34">
        <f>B60</f>
        <v>16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42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15125.41</v>
      </c>
      <c r="C5" s="18">
        <f>IF(ISERROR('Eigen informatie GS &amp; warmtenet'!B58),0,'Eigen informatie GS &amp; warmtenet'!B58)</f>
        <v>0</v>
      </c>
      <c r="D5" s="31">
        <f>SUM(D6:D12)</f>
        <v>15282.305649348689</v>
      </c>
      <c r="E5" s="18">
        <f>SUM(E6:E12)</f>
        <v>170.10114070468518</v>
      </c>
      <c r="F5" s="18">
        <f>SUM(F6:F12)</f>
        <v>2915.1128285159075</v>
      </c>
      <c r="G5" s="19"/>
      <c r="H5" s="18"/>
      <c r="I5" s="18"/>
      <c r="J5" s="18">
        <f>SUM(J6:J12)</f>
        <v>0</v>
      </c>
      <c r="K5" s="18"/>
      <c r="L5" s="18"/>
      <c r="M5" s="18"/>
      <c r="N5" s="18">
        <f>SUM(N6:N12)</f>
        <v>780.49212400436318</v>
      </c>
      <c r="O5" s="18">
        <f>B38*B39*B40</f>
        <v>0</v>
      </c>
      <c r="P5" s="18">
        <f>B46*B47*B48/1000-B46*B47*B48/1000/B49</f>
        <v>38.133333333333333</v>
      </c>
      <c r="R5" s="33"/>
    </row>
    <row r="6" spans="1:18">
      <c r="A6" s="33" t="s">
        <v>53</v>
      </c>
      <c r="B6" s="38">
        <f>B26</f>
        <v>5003.7280000000001</v>
      </c>
      <c r="C6" s="34"/>
      <c r="D6" s="38">
        <f>IF(ISERROR(TER_kantoor_gas_kWh/1000),0,TER_kantoor_gas_kWh/1000)*0.902</f>
        <v>3738.9265489532172</v>
      </c>
      <c r="E6" s="34">
        <f>$C$26*'E Balans VL '!I12/100/3.6*1000000</f>
        <v>8.173740155838658</v>
      </c>
      <c r="F6" s="34">
        <f>$C$26*('E Balans VL '!L12+'E Balans VL '!N12)/100/3.6*1000000</f>
        <v>587.84812092129471</v>
      </c>
      <c r="G6" s="35"/>
      <c r="H6" s="34"/>
      <c r="I6" s="34"/>
      <c r="J6" s="34">
        <f>$C$26*('E Balans VL '!D12+'E Balans VL '!E12)/100/3.6*1000000</f>
        <v>0</v>
      </c>
      <c r="K6" s="34"/>
      <c r="L6" s="34"/>
      <c r="M6" s="34"/>
      <c r="N6" s="34">
        <f>$C$26*'E Balans VL '!Y12/100/3.6*1000000</f>
        <v>36.433539653584354</v>
      </c>
      <c r="O6" s="34"/>
      <c r="P6" s="34"/>
      <c r="R6" s="33"/>
    </row>
    <row r="7" spans="1:18">
      <c r="A7" s="33" t="s">
        <v>52</v>
      </c>
      <c r="B7" s="38">
        <f t="shared" ref="B7:B12" si="0">B27</f>
        <v>2373.4560000000001</v>
      </c>
      <c r="C7" s="34"/>
      <c r="D7" s="38">
        <f>IF(ISERROR(TER_horeca_gas_kWh/1000),0,TER_horeca_gas_kWh/1000)*0.902</f>
        <v>4753.792502181358</v>
      </c>
      <c r="E7" s="34">
        <f>$C$27*'E Balans VL '!I9/100/3.6*1000000</f>
        <v>122.7953659171163</v>
      </c>
      <c r="F7" s="34">
        <f>$C$27*('E Balans VL '!L9+'E Balans VL '!N9)/100/3.6*1000000</f>
        <v>539.99805611939723</v>
      </c>
      <c r="G7" s="35"/>
      <c r="H7" s="34"/>
      <c r="I7" s="34"/>
      <c r="J7" s="34">
        <f>$C$27*('E Balans VL '!D9+'E Balans VL '!E9)/100/3.6*1000000</f>
        <v>0</v>
      </c>
      <c r="K7" s="34"/>
      <c r="L7" s="34"/>
      <c r="M7" s="34"/>
      <c r="N7" s="34">
        <f>$C$27*'E Balans VL '!Y9/100/3.6*1000000</f>
        <v>0.24988343321589296</v>
      </c>
      <c r="O7" s="34"/>
      <c r="P7" s="34"/>
      <c r="R7" s="33"/>
    </row>
    <row r="8" spans="1:18">
      <c r="A8" s="6" t="s">
        <v>51</v>
      </c>
      <c r="B8" s="38">
        <f t="shared" si="0"/>
        <v>4903.134</v>
      </c>
      <c r="C8" s="34"/>
      <c r="D8" s="38">
        <f>IF(ISERROR(TER_handel_gas_kWh/1000),0,TER_handel_gas_kWh/1000)*0.902</f>
        <v>1841.4960473171188</v>
      </c>
      <c r="E8" s="34">
        <f>$C$28*'E Balans VL '!I13/100/3.6*1000000</f>
        <v>25.754917554330184</v>
      </c>
      <c r="F8" s="34">
        <f>$C$28*('E Balans VL '!L13+'E Balans VL '!N13)/100/3.6*1000000</f>
        <v>924.40496683277559</v>
      </c>
      <c r="G8" s="35"/>
      <c r="H8" s="34"/>
      <c r="I8" s="34"/>
      <c r="J8" s="34">
        <f>$C$28*('E Balans VL '!D13+'E Balans VL '!E13)/100/3.6*1000000</f>
        <v>0</v>
      </c>
      <c r="K8" s="34"/>
      <c r="L8" s="34"/>
      <c r="M8" s="34"/>
      <c r="N8" s="34">
        <f>$C$28*'E Balans VL '!Y13/100/3.6*1000000</f>
        <v>24.307502943227597</v>
      </c>
      <c r="O8" s="34"/>
      <c r="P8" s="34"/>
      <c r="R8" s="33"/>
    </row>
    <row r="9" spans="1:18">
      <c r="A9" s="33" t="s">
        <v>50</v>
      </c>
      <c r="B9" s="38">
        <f t="shared" si="0"/>
        <v>1316.961</v>
      </c>
      <c r="C9" s="34"/>
      <c r="D9" s="38">
        <f>IF(ISERROR(TER_gezond_gas_kWh/1000),0,TER_gezond_gas_kWh/1000)*0.902</f>
        <v>841.4967941683966</v>
      </c>
      <c r="E9" s="34">
        <f>$C$29*'E Balans VL '!I10/100/3.6*1000000</f>
        <v>1.1691235560089999</v>
      </c>
      <c r="F9" s="34">
        <f>$C$29*('E Balans VL '!L10+'E Balans VL '!N10)/100/3.6*1000000</f>
        <v>409.33150387775208</v>
      </c>
      <c r="G9" s="35"/>
      <c r="H9" s="34"/>
      <c r="I9" s="34"/>
      <c r="J9" s="34">
        <f>$C$29*('E Balans VL '!D10+'E Balans VL '!E10)/100/3.6*1000000</f>
        <v>0</v>
      </c>
      <c r="K9" s="34"/>
      <c r="L9" s="34"/>
      <c r="M9" s="34"/>
      <c r="N9" s="34">
        <f>$C$29*'E Balans VL '!Y10/100/3.6*1000000</f>
        <v>10.165611300290809</v>
      </c>
      <c r="O9" s="34"/>
      <c r="P9" s="34"/>
      <c r="R9" s="33"/>
    </row>
    <row r="10" spans="1:18">
      <c r="A10" s="33" t="s">
        <v>49</v>
      </c>
      <c r="B10" s="38">
        <f t="shared" si="0"/>
        <v>1493.154</v>
      </c>
      <c r="C10" s="34"/>
      <c r="D10" s="38">
        <f>IF(ISERROR(TER_ander_gas_kWh/1000),0,TER_ander_gas_kWh/1000)*0.902</f>
        <v>817.72636181345922</v>
      </c>
      <c r="E10" s="34">
        <f>$C$30*'E Balans VL '!I14/100/3.6*1000000</f>
        <v>12.178813387295131</v>
      </c>
      <c r="F10" s="34">
        <f>$C$30*('E Balans VL '!L14+'E Balans VL '!N14)/100/3.6*1000000</f>
        <v>435.22666891208428</v>
      </c>
      <c r="G10" s="35"/>
      <c r="H10" s="34"/>
      <c r="I10" s="34"/>
      <c r="J10" s="34">
        <f>$C$30*('E Balans VL '!D14+'E Balans VL '!E14)/100/3.6*1000000</f>
        <v>0</v>
      </c>
      <c r="K10" s="34"/>
      <c r="L10" s="34"/>
      <c r="M10" s="34"/>
      <c r="N10" s="34">
        <f>$C$30*'E Balans VL '!Y14/100/3.6*1000000</f>
        <v>709.18159053389684</v>
      </c>
      <c r="O10" s="34"/>
      <c r="P10" s="34"/>
      <c r="R10" s="33"/>
    </row>
    <row r="11" spans="1:18">
      <c r="A11" s="33" t="s">
        <v>54</v>
      </c>
      <c r="B11" s="38">
        <f t="shared" si="0"/>
        <v>34.976999999999997</v>
      </c>
      <c r="C11" s="34"/>
      <c r="D11" s="38">
        <f>IF(ISERROR(TER_onderwijs_gas_kWh/1000),0,TER_onderwijs_gas_kWh/1000)*0.902</f>
        <v>668.25383167147152</v>
      </c>
      <c r="E11" s="34">
        <f>$C$31*'E Balans VL '!I11/100/3.6*1000000</f>
        <v>2.918013409591767E-2</v>
      </c>
      <c r="F11" s="34">
        <f>$C$31*('E Balans VL '!L11+'E Balans VL '!N11)/100/3.6*1000000</f>
        <v>18.303511852603197</v>
      </c>
      <c r="G11" s="35"/>
      <c r="H11" s="34"/>
      <c r="I11" s="34"/>
      <c r="J11" s="34">
        <f>$C$31*('E Balans VL '!D11+'E Balans VL '!E11)/100/3.6*1000000</f>
        <v>0</v>
      </c>
      <c r="K11" s="34"/>
      <c r="L11" s="34"/>
      <c r="M11" s="34"/>
      <c r="N11" s="34">
        <f>$C$31*'E Balans VL '!Y11/100/3.6*1000000</f>
        <v>0.1539961401477257</v>
      </c>
      <c r="O11" s="34"/>
      <c r="P11" s="34"/>
      <c r="R11" s="33"/>
    </row>
    <row r="12" spans="1:18">
      <c r="A12" s="33" t="s">
        <v>249</v>
      </c>
      <c r="B12" s="38">
        <f t="shared" si="0"/>
        <v>0</v>
      </c>
      <c r="C12" s="34"/>
      <c r="D12" s="38">
        <f>IF(ISERROR(TER_rest_gas_kWh/1000),0,TER_rest_gas_kWh/1000)*0.902</f>
        <v>2620.6135632436676</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energieproductie'!N40+'lokale energieproductie'!N33</f>
        <v>24.75</v>
      </c>
      <c r="C13" s="246">
        <f ca="1">'lokale energieproductie'!O40+'lokale energieproductie'!O33</f>
        <v>35.357142857142861</v>
      </c>
      <c r="D13" s="305">
        <f ca="1">('lokale energieproductie'!P33+'lokale energieproductie'!P40)*(-1)</f>
        <v>-70.714285714285722</v>
      </c>
      <c r="E13" s="247"/>
      <c r="F13" s="305">
        <f ca="1">('lokale energieproductie'!S33+'lokale energieproductie'!S40)*(-1)</f>
        <v>0</v>
      </c>
      <c r="G13" s="248"/>
      <c r="H13" s="247"/>
      <c r="I13" s="247"/>
      <c r="J13" s="247"/>
      <c r="K13" s="247"/>
      <c r="L13" s="305">
        <f ca="1">('lokale energieproductie'!U33+'lokale energieproductie'!T33+'lokale energieproductie'!U40+'lokale energieproductie'!T40)*(-1)</f>
        <v>0</v>
      </c>
      <c r="M13" s="247"/>
      <c r="N13" s="305">
        <f ca="1">('lokale energieproductie'!Q33+'lokale energieproductie'!R33+'lokale energieproductie'!V33+'lokale energieproductie'!Q40+'lokale energieproductie'!R40+'lokale energieproductie'!V40)*(-1)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15150.16</v>
      </c>
      <c r="C16" s="22">
        <f t="shared" ca="1" si="1"/>
        <v>35.357142857142861</v>
      </c>
      <c r="D16" s="22">
        <f t="shared" ca="1" si="1"/>
        <v>15211.591363634403</v>
      </c>
      <c r="E16" s="22">
        <f t="shared" si="1"/>
        <v>170.10114070468518</v>
      </c>
      <c r="F16" s="22">
        <f t="shared" ca="1" si="1"/>
        <v>2915.1128285159075</v>
      </c>
      <c r="G16" s="22">
        <f t="shared" si="1"/>
        <v>0</v>
      </c>
      <c r="H16" s="22">
        <f t="shared" si="1"/>
        <v>0</v>
      </c>
      <c r="I16" s="22">
        <f t="shared" si="1"/>
        <v>0</v>
      </c>
      <c r="J16" s="22">
        <f t="shared" si="1"/>
        <v>0</v>
      </c>
      <c r="K16" s="22">
        <f t="shared" si="1"/>
        <v>0</v>
      </c>
      <c r="L16" s="22">
        <f t="shared" ca="1" si="1"/>
        <v>0</v>
      </c>
      <c r="M16" s="22">
        <f t="shared" si="1"/>
        <v>0</v>
      </c>
      <c r="N16" s="22">
        <f t="shared" ca="1" si="1"/>
        <v>780.49212400436318</v>
      </c>
      <c r="O16" s="22">
        <f>O5</f>
        <v>0</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0.20945596040882614</v>
      </c>
      <c r="C18" s="26">
        <f ca="1">'EF ele_warmte'!B22</f>
        <v>0.23650316418746939</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3173.2913131473815</v>
      </c>
      <c r="C20" s="24">
        <f t="shared" ref="C20:P20" ca="1" si="2">C16*C18</f>
        <v>8.3620761623426692</v>
      </c>
      <c r="D20" s="24">
        <f t="shared" ca="1" si="2"/>
        <v>3072.7414554541497</v>
      </c>
      <c r="E20" s="24">
        <f t="shared" si="2"/>
        <v>38.612958939963534</v>
      </c>
      <c r="F20" s="24">
        <f t="shared" ca="1" si="2"/>
        <v>778.33512521374735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5003.7280000000001</v>
      </c>
      <c r="C26" s="40">
        <f>IF(ISERROR(B26*3.6/1000000/'E Balans VL '!Z12*100),0,B26*3.6/1000000/'E Balans VL '!Z12*100)</f>
        <v>0.10605429693167449</v>
      </c>
      <c r="D26" s="236" t="s">
        <v>660</v>
      </c>
      <c r="F26" s="6"/>
    </row>
    <row r="27" spans="1:18">
      <c r="A27" s="231" t="s">
        <v>52</v>
      </c>
      <c r="B27" s="34">
        <f>IF(ISERROR(TER_horeca_ele_kWh/1000),0,TER_horeca_ele_kWh/1000)</f>
        <v>2373.4560000000001</v>
      </c>
      <c r="C27" s="40">
        <f>IF(ISERROR(B27*3.6/1000000/'E Balans VL '!Z9*100),0,B27*3.6/1000000/'E Balans VL '!Z9*100)</f>
        <v>0.18624852165159725</v>
      </c>
      <c r="D27" s="236" t="s">
        <v>660</v>
      </c>
      <c r="F27" s="6"/>
    </row>
    <row r="28" spans="1:18">
      <c r="A28" s="171" t="s">
        <v>51</v>
      </c>
      <c r="B28" s="34">
        <f>IF(ISERROR(TER_handel_ele_kWh/1000),0,TER_handel_ele_kWh/1000)</f>
        <v>4903.134</v>
      </c>
      <c r="C28" s="40">
        <f>IF(ISERROR(B28*3.6/1000000/'E Balans VL '!Z13*100),0,B28*3.6/1000000/'E Balans VL '!Z13*100)</f>
        <v>0.13692710143421735</v>
      </c>
      <c r="D28" s="236" t="s">
        <v>660</v>
      </c>
      <c r="F28" s="6"/>
    </row>
    <row r="29" spans="1:18">
      <c r="A29" s="231" t="s">
        <v>50</v>
      </c>
      <c r="B29" s="34">
        <f>IF(ISERROR(TER_gezond_ele_kWh/1000),0,TER_gezond_ele_kWh/1000)</f>
        <v>1316.961</v>
      </c>
      <c r="C29" s="40">
        <f>IF(ISERROR(B29*3.6/1000000/'E Balans VL '!Z10*100),0,B29*3.6/1000000/'E Balans VL '!Z10*100)</f>
        <v>0.15092284500361153</v>
      </c>
      <c r="D29" s="236" t="s">
        <v>660</v>
      </c>
      <c r="F29" s="6"/>
    </row>
    <row r="30" spans="1:18">
      <c r="A30" s="231" t="s">
        <v>49</v>
      </c>
      <c r="B30" s="34">
        <f>IF(ISERROR(TER_ander_ele_kWh/1000),0,TER_ander_ele_kWh/1000)</f>
        <v>1493.154</v>
      </c>
      <c r="C30" s="40">
        <f>IF(ISERROR(B30*3.6/1000000/'E Balans VL '!Z14*100),0,B30*3.6/1000000/'E Balans VL '!Z14*100)</f>
        <v>0.11134007768262588</v>
      </c>
      <c r="D30" s="236" t="s">
        <v>660</v>
      </c>
      <c r="F30" s="6"/>
    </row>
    <row r="31" spans="1:18">
      <c r="A31" s="231" t="s">
        <v>54</v>
      </c>
      <c r="B31" s="34">
        <f>IF(ISERROR(TER_onderwijs_ele_kWh/1000),0,TER_onderwijs_ele_kWh/1000)</f>
        <v>34.976999999999997</v>
      </c>
      <c r="C31" s="40">
        <f>IF(ISERROR(B31*3.6/1000000/'E Balans VL '!Z11*100),0,B31*3.6/1000000/'E Balans VL '!Z11*100)</f>
        <v>9.9965037421438294E-3</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16719.345000000001</v>
      </c>
      <c r="C5" s="18">
        <f>IF(ISERROR('Eigen informatie GS &amp; warmtenet'!B59),0,'Eigen informatie GS &amp; warmtenet'!B59)</f>
        <v>0</v>
      </c>
      <c r="D5" s="31">
        <f>SUM(D6:D15)</f>
        <v>16987.448949500711</v>
      </c>
      <c r="E5" s="18">
        <f>SUM(E6:E15)</f>
        <v>482.66475402549213</v>
      </c>
      <c r="F5" s="18">
        <f>SUM(F6:F15)</f>
        <v>4063.4138810333407</v>
      </c>
      <c r="G5" s="19"/>
      <c r="H5" s="18"/>
      <c r="I5" s="18"/>
      <c r="J5" s="18">
        <f>SUM(J6:J15)</f>
        <v>4.4343545530295048</v>
      </c>
      <c r="K5" s="18"/>
      <c r="L5" s="18"/>
      <c r="M5" s="18"/>
      <c r="N5" s="18">
        <f>SUM(N6:N15)</f>
        <v>5148.2712663393804</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205.05699999999999</v>
      </c>
      <c r="C8" s="34"/>
      <c r="D8" s="38">
        <f>IF( ISERROR(IND_metaal_Gas_kWH/1000),0,IND_metaal_Gas_kWH/1000)*0.902</f>
        <v>0</v>
      </c>
      <c r="E8" s="34">
        <f>C30*'E Balans VL '!I18/100/3.6*1000000</f>
        <v>1.8674171451952368</v>
      </c>
      <c r="F8" s="34">
        <f>C30*'E Balans VL '!L18/100/3.6*1000000+C30*'E Balans VL '!N18/100/3.6*1000000</f>
        <v>27.045461070395742</v>
      </c>
      <c r="G8" s="35"/>
      <c r="H8" s="34"/>
      <c r="I8" s="34"/>
      <c r="J8" s="41">
        <f>C30*'E Balans VL '!D18/100/3.6*1000000+C30*'E Balans VL '!E18/100/3.6*1000000</f>
        <v>3.3626370679570097</v>
      </c>
      <c r="K8" s="34"/>
      <c r="L8" s="34"/>
      <c r="M8" s="34"/>
      <c r="N8" s="34">
        <f>C30*'E Balans VL '!Y18/100/3.6*1000000</f>
        <v>0.70469945031570735</v>
      </c>
      <c r="O8" s="34"/>
      <c r="P8" s="34"/>
      <c r="R8" s="33"/>
    </row>
    <row r="9" spans="1:18">
      <c r="A9" s="6" t="s">
        <v>32</v>
      </c>
      <c r="B9" s="38">
        <f t="shared" si="0"/>
        <v>2129.1210000000001</v>
      </c>
      <c r="C9" s="34"/>
      <c r="D9" s="38">
        <f>IF( ISERROR(IND_andere_gas_kWh/1000),0,IND_andere_gas_kWh/1000)*0.902</f>
        <v>1129.4650736857168</v>
      </c>
      <c r="E9" s="34">
        <f>C31*'E Balans VL '!I19/100/3.6*1000000</f>
        <v>12.306637550816594</v>
      </c>
      <c r="F9" s="34">
        <f>C31*'E Balans VL '!L19/100/3.6*1000000+C31*'E Balans VL '!N19/100/3.6*1000000</f>
        <v>1693.8182047484545</v>
      </c>
      <c r="G9" s="35"/>
      <c r="H9" s="34"/>
      <c r="I9" s="34"/>
      <c r="J9" s="41">
        <f>C31*'E Balans VL '!D19/100/3.6*1000000+C31*'E Balans VL '!E19/100/3.6*1000000</f>
        <v>0.20139119699377869</v>
      </c>
      <c r="K9" s="34"/>
      <c r="L9" s="34"/>
      <c r="M9" s="34"/>
      <c r="N9" s="34">
        <f>C31*'E Balans VL '!Y19/100/3.6*1000000</f>
        <v>161.31313639226647</v>
      </c>
      <c r="O9" s="34"/>
      <c r="P9" s="34"/>
      <c r="R9" s="33"/>
    </row>
    <row r="10" spans="1:18">
      <c r="A10" s="6" t="s">
        <v>40</v>
      </c>
      <c r="B10" s="38">
        <f t="shared" si="0"/>
        <v>693.30899999999997</v>
      </c>
      <c r="C10" s="34"/>
      <c r="D10" s="38">
        <f>IF( ISERROR(IND_voed_gas_kWh/1000),0,IND_voed_gas_kWh/1000)*0.902</f>
        <v>530.95027526260526</v>
      </c>
      <c r="E10" s="34">
        <f>C32*'E Balans VL '!I20/100/3.6*1000000</f>
        <v>6.81704127125185</v>
      </c>
      <c r="F10" s="34">
        <f>C32*'E Balans VL '!L20/100/3.6*1000000+C32*'E Balans VL '!N20/100/3.6*1000000</f>
        <v>77.001013965830467</v>
      </c>
      <c r="G10" s="35"/>
      <c r="H10" s="34"/>
      <c r="I10" s="34"/>
      <c r="J10" s="41">
        <f>C32*'E Balans VL '!D20/100/3.6*1000000+C32*'E Balans VL '!E20/100/3.6*1000000</f>
        <v>2.7326455123471674E-3</v>
      </c>
      <c r="K10" s="34"/>
      <c r="L10" s="34"/>
      <c r="M10" s="34"/>
      <c r="N10" s="34">
        <f>C32*'E Balans VL '!Y20/100/3.6*1000000</f>
        <v>10.266275455329424</v>
      </c>
      <c r="O10" s="34"/>
      <c r="P10" s="34"/>
      <c r="R10" s="33"/>
    </row>
    <row r="11" spans="1:18">
      <c r="A11" s="6" t="s">
        <v>39</v>
      </c>
      <c r="B11" s="38">
        <f t="shared" si="0"/>
        <v>11.355</v>
      </c>
      <c r="C11" s="34"/>
      <c r="D11" s="38">
        <f>IF( ISERROR(IND_textiel_gas_kWh/1000),0,IND_textiel_gas_kWh/1000)*0.902</f>
        <v>0</v>
      </c>
      <c r="E11" s="34">
        <f>C33*'E Balans VL '!I21/100/3.6*1000000</f>
        <v>2.2110821708736735E-2</v>
      </c>
      <c r="F11" s="34">
        <f>C33*'E Balans VL '!L21/100/3.6*1000000+C33*'E Balans VL '!N21/100/3.6*1000000</f>
        <v>0.37452516147317727</v>
      </c>
      <c r="G11" s="35"/>
      <c r="H11" s="34"/>
      <c r="I11" s="34"/>
      <c r="J11" s="41">
        <f>C33*'E Balans VL '!D21/100/3.6*1000000+C33*'E Balans VL '!E21/100/3.6*1000000</f>
        <v>0</v>
      </c>
      <c r="K11" s="34"/>
      <c r="L11" s="34"/>
      <c r="M11" s="34"/>
      <c r="N11" s="34">
        <f>C33*'E Balans VL '!Y21/100/3.6*1000000</f>
        <v>0.11778121566317039</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13507.977000000001</v>
      </c>
      <c r="C13" s="34"/>
      <c r="D13" s="38">
        <f>IF( ISERROR(IND_papier_gas_kWh/1000),0,IND_papier_gas_kWh/1000)*0.902</f>
        <v>14376.357532899814</v>
      </c>
      <c r="E13" s="34">
        <f>C35*'E Balans VL '!I23/100/3.6*1000000</f>
        <v>460.10128192041134</v>
      </c>
      <c r="F13" s="34">
        <f>C35*'E Balans VL '!L23/100/3.6*1000000+C35*'E Balans VL '!N23/100/3.6*1000000</f>
        <v>2231.200775003962</v>
      </c>
      <c r="G13" s="35"/>
      <c r="H13" s="34"/>
      <c r="I13" s="34"/>
      <c r="J13" s="41">
        <f>C35*'E Balans VL '!D23/100/3.6*1000000+C35*'E Balans VL '!E23/100/3.6*1000000</f>
        <v>0</v>
      </c>
      <c r="K13" s="34"/>
      <c r="L13" s="34"/>
      <c r="M13" s="34"/>
      <c r="N13" s="34">
        <f>C35*'E Balans VL '!Y23/100/3.6*1000000</f>
        <v>4970.5732801389531</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172.52600000000001</v>
      </c>
      <c r="C15" s="34"/>
      <c r="D15" s="38">
        <f>IF( ISERROR(IND_rest_gas_kWh/1000),0,IND_rest_gas_kWh/1000)*0.902</f>
        <v>950.67606765257392</v>
      </c>
      <c r="E15" s="34">
        <f>C37*'E Balans VL '!I15/100/3.6*1000000</f>
        <v>1.5502653161083679</v>
      </c>
      <c r="F15" s="34">
        <f>C37*'E Balans VL '!L15/100/3.6*1000000+C37*'E Balans VL '!N15/100/3.6*1000000</f>
        <v>33.973901083224426</v>
      </c>
      <c r="G15" s="35"/>
      <c r="H15" s="34"/>
      <c r="I15" s="34"/>
      <c r="J15" s="41">
        <f>C37*'E Balans VL '!D15/100/3.6*1000000+C37*'E Balans VL '!E15/100/3.6*1000000</f>
        <v>0.86759364256636939</v>
      </c>
      <c r="K15" s="34"/>
      <c r="L15" s="34"/>
      <c r="M15" s="34"/>
      <c r="N15" s="34">
        <f>C37*'E Balans VL '!Y15/100/3.6*1000000</f>
        <v>5.2960936868521955</v>
      </c>
      <c r="O15" s="34"/>
      <c r="P15" s="34"/>
      <c r="R15" s="33"/>
    </row>
    <row r="16" spans="1:18">
      <c r="A16" s="17" t="s">
        <v>488</v>
      </c>
      <c r="B16" s="246">
        <f>'lokale energieproductie'!N39+'lokale energieproductie'!N32</f>
        <v>0</v>
      </c>
      <c r="C16" s="246">
        <f>'lokale energieproductie'!O39+'lokale energieproductie'!O32</f>
        <v>0</v>
      </c>
      <c r="D16" s="305">
        <f>('lokale energieproductie'!P32+'lokale energieproductie'!P39)*(-1)</f>
        <v>0</v>
      </c>
      <c r="E16" s="247"/>
      <c r="F16" s="305">
        <f>('lokale energieproductie'!S32+'lokale energieproductie'!S39)*(-1)</f>
        <v>0</v>
      </c>
      <c r="G16" s="248"/>
      <c r="H16" s="247"/>
      <c r="I16" s="247"/>
      <c r="J16" s="247"/>
      <c r="K16" s="247"/>
      <c r="L16" s="305">
        <f>('lokale energieproductie'!T32+'lokale energieproductie'!U32+'lokale energieproductie'!T39+'lokale energieproductie'!U39)*(-1)</f>
        <v>0</v>
      </c>
      <c r="M16" s="247"/>
      <c r="N16" s="305">
        <f>('lokale energieproductie'!Q32+'lokale energieproductie'!R32+'lokale energieproductie'!V32+'lokale energieproductie'!Q39+'lokale energieproductie'!R39+'lokale energieproductie'!V39)*(-1)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16719.345000000001</v>
      </c>
      <c r="C18" s="22">
        <f>C5+C16</f>
        <v>0</v>
      </c>
      <c r="D18" s="22">
        <f>MAX((D5+D16),0)</f>
        <v>16987.448949500711</v>
      </c>
      <c r="E18" s="22">
        <f>MAX((E5+E16),0)</f>
        <v>482.66475402549213</v>
      </c>
      <c r="F18" s="22">
        <f>MAX((F5+F16),0)</f>
        <v>4063.4138810333407</v>
      </c>
      <c r="G18" s="22"/>
      <c r="H18" s="22"/>
      <c r="I18" s="22"/>
      <c r="J18" s="22">
        <f>MAX((J5+J16),0)</f>
        <v>4.4343545530295048</v>
      </c>
      <c r="K18" s="22"/>
      <c r="L18" s="22">
        <f>MAX((L5+L16),0)</f>
        <v>0</v>
      </c>
      <c r="M18" s="22"/>
      <c r="N18" s="22">
        <f>MAX((N5+N16),0)</f>
        <v>5148.2712663393804</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0.20945596040882614</v>
      </c>
      <c r="C20" s="26">
        <f ca="1">'EF ele_warmte'!B22</f>
        <v>0.23650316418746939</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3501.9664643815054</v>
      </c>
      <c r="C22" s="24">
        <f ca="1">C18*C20</f>
        <v>0</v>
      </c>
      <c r="D22" s="24">
        <f>D18*D20</f>
        <v>3431.464687799144</v>
      </c>
      <c r="E22" s="24">
        <f>E18*E20</f>
        <v>109.56489916378672</v>
      </c>
      <c r="F22" s="24">
        <f>F18*F20</f>
        <v>1084.9315062359019</v>
      </c>
      <c r="G22" s="24"/>
      <c r="H22" s="24"/>
      <c r="I22" s="24"/>
      <c r="J22" s="24">
        <f>J18*J20</f>
        <v>1.5697615117724446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205.05699999999999</v>
      </c>
      <c r="C30" s="40">
        <f>IF(ISERROR(B30*3.6/1000000/'E Balans VL '!Z18*100),0,B30*3.6/1000000/'E Balans VL '!Z18*100)</f>
        <v>1.1410050845605577E-2</v>
      </c>
      <c r="D30" s="236" t="s">
        <v>660</v>
      </c>
    </row>
    <row r="31" spans="1:18">
      <c r="A31" s="6" t="s">
        <v>32</v>
      </c>
      <c r="B31" s="38">
        <f>IF( ISERROR(IND_ander_ele_kWh/1000),0,IND_ander_ele_kWh/1000)</f>
        <v>2129.1210000000001</v>
      </c>
      <c r="C31" s="40">
        <f>IF(ISERROR(B31*3.6/1000000/'E Balans VL '!Z19*100),0,B31*3.6/1000000/'E Balans VL '!Z19*100)</f>
        <v>9.8977243573734233E-2</v>
      </c>
      <c r="D31" s="236" t="s">
        <v>660</v>
      </c>
    </row>
    <row r="32" spans="1:18">
      <c r="A32" s="171" t="s">
        <v>40</v>
      </c>
      <c r="B32" s="38">
        <f>IF( ISERROR(IND_voed_ele_kWh/1000),0,IND_voed_ele_kWh/1000)</f>
        <v>693.30899999999997</v>
      </c>
      <c r="C32" s="40">
        <f>IF(ISERROR(B32*3.6/1000000/'E Balans VL '!Z20*100),0,B32*3.6/1000000/'E Balans VL '!Z20*100)</f>
        <v>2.450707295317555E-2</v>
      </c>
      <c r="D32" s="236" t="s">
        <v>660</v>
      </c>
    </row>
    <row r="33" spans="1:5">
      <c r="A33" s="171" t="s">
        <v>39</v>
      </c>
      <c r="B33" s="38">
        <f>IF( ISERROR(IND_textiel_ele_kWh/1000),0,IND_textiel_ele_kWh/1000)</f>
        <v>11.355</v>
      </c>
      <c r="C33" s="40">
        <f>IF(ISERROR(B33*3.6/1000000/'E Balans VL '!Z21*100),0,B33*3.6/1000000/'E Balans VL '!Z21*100)</f>
        <v>1.5336650500503252E-3</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13507.977000000001</v>
      </c>
      <c r="C35" s="40">
        <f>IF(ISERROR(B35*3.6/1000000/'E Balans VL '!Z22*100),0,B35*3.6/1000000/'E Balans VL '!Z22*100)</f>
        <v>2.7147224649173722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172.52600000000001</v>
      </c>
      <c r="C37" s="40">
        <f>IF(ISERROR(B37*3.6/1000000/'E Balans VL '!Z15*100),0,B37*3.6/1000000/'E Balans VL '!Z15*100)</f>
        <v>1.3028261594405621E-3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2563.2109999999998</v>
      </c>
      <c r="C5" s="18">
        <f>'Eigen informatie GS &amp; warmtenet'!B60</f>
        <v>0</v>
      </c>
      <c r="D5" s="31">
        <f>IF(ISERROR(SUM(LB_lb_gas_kWh,LB_rest_gas_kWh)/1000),0,SUM(LB_lb_gas_kWh,LB_rest_gas_kWh)/1000)*0.902</f>
        <v>33613.041820121951</v>
      </c>
      <c r="E5" s="18">
        <f>B17*'E Balans VL '!I25/3.6*1000000/100</f>
        <v>25.312175150949106</v>
      </c>
      <c r="F5" s="18">
        <f>B17*('E Balans VL '!L25/3.6*1000000+'E Balans VL '!N25/3.6*1000000)/100</f>
        <v>8551.550116424869</v>
      </c>
      <c r="G5" s="19"/>
      <c r="H5" s="18"/>
      <c r="I5" s="18"/>
      <c r="J5" s="18">
        <f>('E Balans VL '!D25+'E Balans VL '!E25)/3.6*1000000*landbouw!B17/100</f>
        <v>255.73065882622137</v>
      </c>
      <c r="K5" s="18"/>
      <c r="L5" s="18">
        <f>L6*(-1)</f>
        <v>0</v>
      </c>
      <c r="M5" s="18"/>
      <c r="N5" s="18">
        <f>N6*(-1)</f>
        <v>124.71428571428569</v>
      </c>
      <c r="O5" s="18"/>
      <c r="P5" s="18"/>
      <c r="R5" s="33"/>
    </row>
    <row r="6" spans="1:18">
      <c r="A6" s="17" t="s">
        <v>488</v>
      </c>
      <c r="B6" s="18" t="s">
        <v>204</v>
      </c>
      <c r="C6" s="18">
        <f>'lokale energieproductie'!O41+'lokale energieproductie'!O34</f>
        <v>12919.5</v>
      </c>
      <c r="D6" s="305">
        <f>('lokale energieproductie'!P34+'lokale energieproductie'!P41)*(-1)</f>
        <v>-25714.285714285717</v>
      </c>
      <c r="E6" s="247"/>
      <c r="F6" s="305">
        <f>('lokale energieproductie'!S34+'lokale energieproductie'!S41)*(-1)</f>
        <v>0</v>
      </c>
      <c r="G6" s="248"/>
      <c r="H6" s="247"/>
      <c r="I6" s="247"/>
      <c r="J6" s="247"/>
      <c r="K6" s="247"/>
      <c r="L6" s="305">
        <f>('lokale energieproductie'!T34+'lokale energieproductie'!U34+'lokale energieproductie'!T41+'lokale energieproductie'!U41)*(-1)</f>
        <v>0</v>
      </c>
      <c r="M6" s="247"/>
      <c r="N6" s="305">
        <f>('lokale energieproductie'!V34+'lokale energieproductie'!R34+'lokale energieproductie'!Q34+'lokale energieproductie'!Q41+'lokale energieproductie'!R41+'lokale energieproductie'!V41)*(-1)</f>
        <v>-124.71428571428569</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2563.2109999999998</v>
      </c>
      <c r="C8" s="22">
        <f>C5+C6</f>
        <v>12919.5</v>
      </c>
      <c r="D8" s="22">
        <f>MAX((D5+D6),0)</f>
        <v>7898.7561058362335</v>
      </c>
      <c r="E8" s="22">
        <f>MAX((E5+E6),0)</f>
        <v>25.312175150949106</v>
      </c>
      <c r="F8" s="22">
        <f>MAX((F5+F6),0)</f>
        <v>8551.550116424869</v>
      </c>
      <c r="G8" s="22"/>
      <c r="H8" s="22"/>
      <c r="I8" s="22"/>
      <c r="J8" s="22">
        <f>MAX((J5+J6),0)</f>
        <v>255.73065882622137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0.20945596040882614</v>
      </c>
      <c r="C10" s="32">
        <f ca="1">'EF ele_warmte'!B22</f>
        <v>0.23650316418746939</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536.87982173546766</v>
      </c>
      <c r="C12" s="24">
        <f ca="1">C8*C10</f>
        <v>3055.5026297200106</v>
      </c>
      <c r="D12" s="24">
        <f>D8*D10</f>
        <v>1595.5487333789192</v>
      </c>
      <c r="E12" s="24">
        <f>E8*E10</f>
        <v>5.7458637592654469</v>
      </c>
      <c r="F12" s="24">
        <f>F8*F10</f>
        <v>2283.2638810854401</v>
      </c>
      <c r="G12" s="24"/>
      <c r="H12" s="24"/>
      <c r="I12" s="24"/>
      <c r="J12" s="24">
        <f>J8*J10</f>
        <v>90.528653224482355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0.34701781059754877</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620.30470118755227</v>
      </c>
      <c r="C26" s="246">
        <f>B26*'GWP N2O_CH4'!B5</f>
        <v>13026.398724938597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191.63277957392461</v>
      </c>
      <c r="C27" s="246">
        <f>B27*'GWP N2O_CH4'!B5</f>
        <v>4024.2883710524166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10.063426564414684</v>
      </c>
      <c r="C28" s="246">
        <f>B28*'GWP N2O_CH4'!B4</f>
        <v>3119.6622349685517</v>
      </c>
      <c r="D28" s="51"/>
    </row>
    <row r="29" spans="1:4">
      <c r="A29" s="42" t="s">
        <v>266</v>
      </c>
      <c r="B29" s="246">
        <f>B34*'ha_N2O bodem landbouw'!B4</f>
        <v>18.470956896516423</v>
      </c>
      <c r="C29" s="246">
        <f>B29*'GWP N2O_CH4'!B4</f>
        <v>5725.9966379200914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4.9865768914075723E-3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3.8295805241869113E-5</v>
      </c>
      <c r="C5" s="433" t="s">
        <v>204</v>
      </c>
      <c r="D5" s="418">
        <f>SUM(D6:D11)</f>
        <v>4.4322102582816184E-5</v>
      </c>
      <c r="E5" s="418">
        <f>SUM(E6:E11)</f>
        <v>3.2383403566980237E-3</v>
      </c>
      <c r="F5" s="431" t="s">
        <v>204</v>
      </c>
      <c r="G5" s="418">
        <f>SUM(G6:G11)</f>
        <v>0.73461487400371206</v>
      </c>
      <c r="H5" s="418">
        <f>SUM(H6:H11)</f>
        <v>0.11703730089594701</v>
      </c>
      <c r="I5" s="433" t="s">
        <v>204</v>
      </c>
      <c r="J5" s="433" t="s">
        <v>204</v>
      </c>
      <c r="K5" s="433" t="s">
        <v>204</v>
      </c>
      <c r="L5" s="433" t="s">
        <v>204</v>
      </c>
      <c r="M5" s="418">
        <f>SUM(M6:M11)</f>
        <v>3.8048110161897936E-2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9.91111900136533E-6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1.1495094999885213E-5</v>
      </c>
      <c r="E6" s="421">
        <f>vkm_GW_PW*SUMIFS(TableVerdeelsleutelVkm[LPG],TableVerdeelsleutelVkm[Voertuigtype],"Lichte voertuigen")*SUMIFS(TableECFTransport[EnergieConsumptieFactor (PJ per km)],TableECFTransport[Index],CONCATENATE($A6,"_LPG_LPG"))</f>
        <v>7.4403525404443435E-4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0.11731333680531777</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2.966423705139001E-2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6.578726031001467E-3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2.0778454311591676E-7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3.4371911597112427E-2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1.0711995111581042E-6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1.5294447581541916E-3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3.8536374659408212E-6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7.284409492087591E-6</v>
      </c>
      <c r="E8" s="421">
        <f>vkm_NGW_PW*SUMIFS(TableVerdeelsleutelVkm[LPG],TableVerdeelsleutelVkm[Voertuigtype],"Lichte voertuigen")*SUMIFS(TableECFTransport[EnergieConsumptieFactor (PJ per km)],TableECFTransport[Index],CONCATENATE($A8,"_LPG_LPG"))</f>
        <v>4.4559577430130826E-4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6.6431714257223676E-2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1.7891598949105095E-2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3.7754611648476806E-3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4.9890581052515449E-8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1.0583127668640863E-2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3.1045033752610999E-7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4.7091586951492385E-4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2.2933511204150278E-5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2.5542598090843382E-5</v>
      </c>
      <c r="E10" s="421">
        <f>vkm_SW_PW*SUMIFS(TableVerdeelsleutelVkm[LPG],TableVerdeelsleutelVkm[Voertuigtype],"Lichte voertuigen")*SUMIFS(TableECFTransport[EnergieConsumptieFactor (PJ per km)],TableECFTransport[Index],CONCATENATE($A10,"_LPG_LPG"))</f>
        <v>2.0487093283522812E-3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0.29829984051057817</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6.9472973602791518E-2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1.645530416835966E-2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1.3398624462442545E-6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0.20761494316483917</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7.1096428117006107E-6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9.2382581700200129E-3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10.637723678296977</v>
      </c>
      <c r="C14" s="22"/>
      <c r="D14" s="22">
        <f t="shared" ref="D14:M14" si="0">((D5)*10^9/3600)+D12</f>
        <v>12.311695161893386</v>
      </c>
      <c r="E14" s="22">
        <f t="shared" si="0"/>
        <v>899.53898797167324</v>
      </c>
      <c r="F14" s="22"/>
      <c r="G14" s="22">
        <f t="shared" si="0"/>
        <v>204059.68722325334</v>
      </c>
      <c r="H14" s="22">
        <f t="shared" si="0"/>
        <v>32510.36135998528</v>
      </c>
      <c r="I14" s="22"/>
      <c r="J14" s="22"/>
      <c r="K14" s="22"/>
      <c r="L14" s="22"/>
      <c r="M14" s="22">
        <f t="shared" si="0"/>
        <v>10568.919489416094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0.20945596040882614</v>
      </c>
      <c r="C16" s="57">
        <f ca="1">'EF ele_warmte'!B22</f>
        <v>0.23650316418746939</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2.2281346296014042</v>
      </c>
      <c r="C18" s="24"/>
      <c r="D18" s="24">
        <f t="shared" ref="D18:M18" si="1">D14*D16</f>
        <v>2.4869624227024643</v>
      </c>
      <c r="E18" s="24">
        <f t="shared" si="1"/>
        <v>204.19535026956984</v>
      </c>
      <c r="F18" s="24"/>
      <c r="G18" s="24">
        <f t="shared" si="1"/>
        <v>54483.936488608641</v>
      </c>
      <c r="H18" s="24">
        <f t="shared" si="1"/>
        <v>8095.079978636335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2.6321948414426022E-5</v>
      </c>
      <c r="C50" s="316">
        <f t="shared" ref="C50:P50" si="2">SUM(C51:C52)</f>
        <v>0</v>
      </c>
      <c r="D50" s="316">
        <f t="shared" si="2"/>
        <v>0</v>
      </c>
      <c r="E50" s="316">
        <f t="shared" si="2"/>
        <v>0</v>
      </c>
      <c r="F50" s="316">
        <f t="shared" si="2"/>
        <v>0</v>
      </c>
      <c r="G50" s="316">
        <f t="shared" si="2"/>
        <v>5.2499646521118664E-3</v>
      </c>
      <c r="H50" s="316">
        <f t="shared" si="2"/>
        <v>0</v>
      </c>
      <c r="I50" s="316">
        <f t="shared" si="2"/>
        <v>0</v>
      </c>
      <c r="J50" s="316">
        <f t="shared" si="2"/>
        <v>0</v>
      </c>
      <c r="K50" s="316">
        <f t="shared" si="2"/>
        <v>0</v>
      </c>
      <c r="L50" s="316">
        <f t="shared" si="2"/>
        <v>0</v>
      </c>
      <c r="M50" s="316">
        <f t="shared" si="2"/>
        <v>2.3204284618563256E-4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2.6321948414426022E-5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5.2499646521118664E-3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2.3204284618563256E-4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7.3116523373405613</v>
      </c>
      <c r="C54" s="22">
        <f t="shared" ref="C54:P54" si="3">(C50)*10^9/3600</f>
        <v>0</v>
      </c>
      <c r="D54" s="22">
        <f t="shared" si="3"/>
        <v>0</v>
      </c>
      <c r="E54" s="22">
        <f t="shared" si="3"/>
        <v>0</v>
      </c>
      <c r="F54" s="22">
        <f t="shared" si="3"/>
        <v>0</v>
      </c>
      <c r="G54" s="22">
        <f t="shared" si="3"/>
        <v>1458.3235144755186</v>
      </c>
      <c r="H54" s="22">
        <f t="shared" si="3"/>
        <v>0</v>
      </c>
      <c r="I54" s="22">
        <f t="shared" si="3"/>
        <v>0</v>
      </c>
      <c r="J54" s="22">
        <f t="shared" si="3"/>
        <v>0</v>
      </c>
      <c r="K54" s="22">
        <f t="shared" si="3"/>
        <v>0</v>
      </c>
      <c r="L54" s="22">
        <f t="shared" si="3"/>
        <v>0</v>
      </c>
      <c r="M54" s="22">
        <f t="shared" si="3"/>
        <v>64.456346162675715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0.20945596040882614</v>
      </c>
      <c r="C56" s="57">
        <f ca="1">'EF ele_warmte'!B22</f>
        <v>0.23650316418746939</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1.5314691624931056</v>
      </c>
      <c r="C58" s="24">
        <f t="shared" ref="C58:P58" ca="1" si="4">C54*C56</f>
        <v>0</v>
      </c>
      <c r="D58" s="24">
        <f t="shared" si="4"/>
        <v>0</v>
      </c>
      <c r="E58" s="24">
        <f t="shared" si="4"/>
        <v>0</v>
      </c>
      <c r="F58" s="24">
        <f t="shared" si="4"/>
        <v>0</v>
      </c>
      <c r="G58" s="24">
        <f t="shared" si="4"/>
        <v>389.37237836496348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3"/>
  <sheetViews>
    <sheetView showGridLines="0" topLeftCell="F1" zoomScale="65" zoomScaleNormal="65" workbookViewId="0">
      <selection activeCell="A28" sqref="A28:XFD31"/>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4006.2395066475847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N31</f>
        <v>9068.4</v>
      </c>
      <c r="C8" s="544">
        <f>B50</f>
        <v>10617.352941176472</v>
      </c>
      <c r="D8" s="931"/>
      <c r="E8" s="931">
        <f>E50</f>
        <v>0</v>
      </c>
      <c r="F8" s="932"/>
      <c r="G8" s="545"/>
      <c r="H8" s="931">
        <f>I50</f>
        <v>0</v>
      </c>
      <c r="I8" s="931">
        <f>G50+F50</f>
        <v>0</v>
      </c>
      <c r="J8" s="931">
        <f>H50+D50+C50</f>
        <v>51.35294117647058</v>
      </c>
      <c r="K8" s="931"/>
      <c r="L8" s="931"/>
      <c r="M8" s="931"/>
      <c r="N8" s="546"/>
      <c r="O8" s="547">
        <f>C8*$C$12+D8*$D$12+E8*$E$12+F8*$F$12+G8*$G$12+H8*$H$12+I8*$I$12+J8*$J$12</f>
        <v>2144.7052941176476</v>
      </c>
      <c r="P8" s="1206"/>
      <c r="Q8" s="1207"/>
      <c r="S8" s="968"/>
      <c r="T8" s="1227"/>
      <c r="U8" s="1227"/>
    </row>
    <row r="9" spans="1:21" s="532" customFormat="1" ht="17.45" customHeight="1" thickBot="1">
      <c r="A9" s="548" t="s">
        <v>237</v>
      </c>
      <c r="B9" s="933">
        <f>N38+'Eigen informatie GS &amp; warmtenet'!B12</f>
        <v>0</v>
      </c>
      <c r="C9" s="549">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13074.639506647585</v>
      </c>
      <c r="C10" s="556">
        <f t="shared" ref="C10:L10" si="0">SUM(C8:C9)</f>
        <v>10617.352941176472</v>
      </c>
      <c r="D10" s="556">
        <f t="shared" si="0"/>
        <v>0</v>
      </c>
      <c r="E10" s="556">
        <f t="shared" si="0"/>
        <v>0</v>
      </c>
      <c r="F10" s="556">
        <f t="shared" si="0"/>
        <v>0</v>
      </c>
      <c r="G10" s="556">
        <f t="shared" si="0"/>
        <v>0</v>
      </c>
      <c r="H10" s="556">
        <f t="shared" si="0"/>
        <v>0</v>
      </c>
      <c r="I10" s="556">
        <f t="shared" si="0"/>
        <v>0</v>
      </c>
      <c r="J10" s="556">
        <f t="shared" si="0"/>
        <v>51.35294117647058</v>
      </c>
      <c r="K10" s="556">
        <f t="shared" si="0"/>
        <v>0</v>
      </c>
      <c r="L10" s="556">
        <f t="shared" si="0"/>
        <v>0</v>
      </c>
      <c r="M10" s="935"/>
      <c r="N10" s="935"/>
      <c r="O10" s="557">
        <f>SUM(O4:O9)</f>
        <v>2144.7052941176476</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O31</f>
        <v>12954.857142857143</v>
      </c>
      <c r="C17" s="568">
        <f>B51</f>
        <v>15167.647058823532</v>
      </c>
      <c r="D17" s="569"/>
      <c r="E17" s="569">
        <f>E51</f>
        <v>0</v>
      </c>
      <c r="F17" s="570"/>
      <c r="G17" s="571"/>
      <c r="H17" s="568">
        <f>I51</f>
        <v>0</v>
      </c>
      <c r="I17" s="569">
        <f>G51+F51</f>
        <v>0</v>
      </c>
      <c r="J17" s="569">
        <f>H51+D51+C51</f>
        <v>73.361344537815114</v>
      </c>
      <c r="K17" s="569"/>
      <c r="L17" s="569"/>
      <c r="M17" s="569"/>
      <c r="N17" s="938"/>
      <c r="O17" s="572">
        <f>C17*$C$22+E17*$E$22+H17*$H$22+I17*$I$22+J17*$J$22+D17*$D$22+F17*$F$22+G17*$G$22+K17*$K$22+L17*$L$22</f>
        <v>3063.8647058823535</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12954.857142857143</v>
      </c>
      <c r="C20" s="555">
        <f>SUM(C17:C19)</f>
        <v>15167.647058823532</v>
      </c>
      <c r="D20" s="555">
        <f t="shared" ref="D20:L20" si="1">SUM(D17:D19)</f>
        <v>0</v>
      </c>
      <c r="E20" s="555">
        <f t="shared" si="1"/>
        <v>0</v>
      </c>
      <c r="F20" s="555">
        <f t="shared" si="1"/>
        <v>0</v>
      </c>
      <c r="G20" s="555">
        <f t="shared" si="1"/>
        <v>0</v>
      </c>
      <c r="H20" s="555">
        <f t="shared" si="1"/>
        <v>0</v>
      </c>
      <c r="I20" s="555">
        <f t="shared" si="1"/>
        <v>0</v>
      </c>
      <c r="J20" s="555">
        <f t="shared" si="1"/>
        <v>73.361344537815114</v>
      </c>
      <c r="K20" s="555">
        <f t="shared" si="1"/>
        <v>0</v>
      </c>
      <c r="L20" s="555">
        <f t="shared" si="1"/>
        <v>0</v>
      </c>
      <c r="M20" s="555"/>
      <c r="N20" s="555"/>
      <c r="O20" s="576">
        <f>SUM(O17:O19)</f>
        <v>3063.8647058823535</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31012</v>
      </c>
      <c r="C28" s="740">
        <v>8490</v>
      </c>
      <c r="D28" s="628"/>
      <c r="E28" s="627"/>
      <c r="F28" s="627"/>
      <c r="G28" s="627" t="s">
        <v>942</v>
      </c>
      <c r="H28" s="627" t="s">
        <v>943</v>
      </c>
      <c r="I28" s="627"/>
      <c r="J28" s="739"/>
      <c r="K28" s="739"/>
      <c r="L28" s="627" t="s">
        <v>944</v>
      </c>
      <c r="M28" s="627">
        <v>2000</v>
      </c>
      <c r="N28" s="627">
        <v>9000</v>
      </c>
      <c r="O28" s="627">
        <v>12857.142857142857</v>
      </c>
      <c r="P28" s="627">
        <v>25714.285714285717</v>
      </c>
      <c r="Q28" s="627">
        <v>0</v>
      </c>
      <c r="R28" s="627">
        <v>0</v>
      </c>
      <c r="S28" s="627">
        <v>0</v>
      </c>
      <c r="T28" s="627">
        <v>0</v>
      </c>
      <c r="U28" s="627">
        <v>0</v>
      </c>
      <c r="V28" s="627">
        <v>0</v>
      </c>
      <c r="W28" s="627"/>
      <c r="X28" s="627"/>
      <c r="Y28" s="627">
        <v>10</v>
      </c>
      <c r="Z28" s="627" t="s">
        <v>105</v>
      </c>
      <c r="AA28" s="629" t="s">
        <v>105</v>
      </c>
    </row>
    <row r="29" spans="1:27" s="581" customFormat="1" ht="63.75" hidden="1">
      <c r="A29" s="580"/>
      <c r="B29" s="740">
        <v>31012</v>
      </c>
      <c r="C29" s="740">
        <v>8490</v>
      </c>
      <c r="D29" s="628"/>
      <c r="E29" s="627"/>
      <c r="F29" s="627"/>
      <c r="G29" s="627" t="s">
        <v>942</v>
      </c>
      <c r="H29" s="627" t="s">
        <v>943</v>
      </c>
      <c r="I29" s="627"/>
      <c r="J29" s="739"/>
      <c r="K29" s="739"/>
      <c r="L29" s="627" t="s">
        <v>944</v>
      </c>
      <c r="M29" s="627">
        <v>5.5</v>
      </c>
      <c r="N29" s="627">
        <v>24.75</v>
      </c>
      <c r="O29" s="627">
        <v>35.357142857142861</v>
      </c>
      <c r="P29" s="627">
        <v>70.714285714285722</v>
      </c>
      <c r="Q29" s="627">
        <v>0</v>
      </c>
      <c r="R29" s="627">
        <v>0</v>
      </c>
      <c r="S29" s="627">
        <v>0</v>
      </c>
      <c r="T29" s="627">
        <v>0</v>
      </c>
      <c r="U29" s="627">
        <v>0</v>
      </c>
      <c r="V29" s="627">
        <v>0</v>
      </c>
      <c r="W29" s="627"/>
      <c r="X29" s="627"/>
      <c r="Y29" s="627">
        <v>1600</v>
      </c>
      <c r="Z29" s="627" t="s">
        <v>49</v>
      </c>
      <c r="AA29" s="629" t="s">
        <v>149</v>
      </c>
    </row>
    <row r="30" spans="1:27" s="581" customFormat="1" ht="25.5" hidden="1">
      <c r="A30" s="580"/>
      <c r="B30" s="740">
        <v>31012</v>
      </c>
      <c r="C30" s="740">
        <v>8490</v>
      </c>
      <c r="D30" s="628"/>
      <c r="E30" s="627"/>
      <c r="F30" s="627"/>
      <c r="G30" s="627" t="s">
        <v>942</v>
      </c>
      <c r="H30" s="627" t="s">
        <v>943</v>
      </c>
      <c r="I30" s="627"/>
      <c r="J30" s="739"/>
      <c r="K30" s="739"/>
      <c r="L30" s="627" t="s">
        <v>944</v>
      </c>
      <c r="M30" s="627">
        <v>9.6999999999999993</v>
      </c>
      <c r="N30" s="627">
        <v>43.649999999999991</v>
      </c>
      <c r="O30" s="627">
        <v>62.357142857142847</v>
      </c>
      <c r="P30" s="627">
        <v>0</v>
      </c>
      <c r="Q30" s="627">
        <v>124.71428571428569</v>
      </c>
      <c r="R30" s="627">
        <v>0</v>
      </c>
      <c r="S30" s="627">
        <v>0</v>
      </c>
      <c r="T30" s="627">
        <v>0</v>
      </c>
      <c r="U30" s="627">
        <v>0</v>
      </c>
      <c r="V30" s="627">
        <v>0</v>
      </c>
      <c r="W30" s="627"/>
      <c r="X30" s="627"/>
      <c r="Y30" s="627">
        <v>10</v>
      </c>
      <c r="Z30" s="627" t="s">
        <v>105</v>
      </c>
      <c r="AA30" s="629" t="s">
        <v>105</v>
      </c>
    </row>
    <row r="31" spans="1:27" s="563" customFormat="1" hidden="1">
      <c r="A31" s="583" t="s">
        <v>269</v>
      </c>
      <c r="B31" s="584"/>
      <c r="C31" s="584"/>
      <c r="D31" s="584"/>
      <c r="E31" s="584"/>
      <c r="F31" s="584"/>
      <c r="G31" s="584"/>
      <c r="H31" s="584"/>
      <c r="I31" s="584"/>
      <c r="J31" s="584"/>
      <c r="K31" s="584"/>
      <c r="L31" s="585"/>
      <c r="M31" s="585">
        <f>SUM(M28:M30)</f>
        <v>2015.2</v>
      </c>
      <c r="N31" s="585">
        <f>SUM(N28:N30)</f>
        <v>9068.4</v>
      </c>
      <c r="O31" s="585">
        <f>SUM(O28:O30)</f>
        <v>12954.857142857143</v>
      </c>
      <c r="P31" s="585">
        <f>SUM(P28:P30)</f>
        <v>25785.000000000004</v>
      </c>
      <c r="Q31" s="585">
        <f>SUM(Q28:Q30)</f>
        <v>124.71428571428569</v>
      </c>
      <c r="R31" s="585">
        <f>SUM(R28:R30)</f>
        <v>0</v>
      </c>
      <c r="S31" s="585">
        <f>SUM(S28:S30)</f>
        <v>0</v>
      </c>
      <c r="T31" s="585">
        <f>SUM(T28:T30)</f>
        <v>0</v>
      </c>
      <c r="U31" s="585">
        <f>SUM(U28:U30)</f>
        <v>0</v>
      </c>
      <c r="V31" s="585">
        <f>SUM(V28:V30)</f>
        <v>0</v>
      </c>
      <c r="W31" s="585">
        <f>SUM(W28:W30)</f>
        <v>0</v>
      </c>
      <c r="X31" s="585"/>
      <c r="Y31" s="586"/>
      <c r="Z31" s="586"/>
      <c r="AA31" s="587"/>
    </row>
    <row r="32" spans="1:27" s="563" customFormat="1">
      <c r="A32" s="583" t="s">
        <v>276</v>
      </c>
      <c r="B32" s="584"/>
      <c r="C32" s="584"/>
      <c r="D32" s="584"/>
      <c r="E32" s="584"/>
      <c r="F32" s="584"/>
      <c r="G32" s="584"/>
      <c r="H32" s="584"/>
      <c r="I32" s="584"/>
      <c r="J32" s="584"/>
      <c r="K32" s="584"/>
      <c r="L32" s="585"/>
      <c r="M32" s="585">
        <f>SUMIF($AA$28:$AA$30,"industrie",M28:M30)</f>
        <v>0</v>
      </c>
      <c r="N32" s="585">
        <f>SUMIF($AA$28:$AA$30,"industrie",N28:N30)</f>
        <v>0</v>
      </c>
      <c r="O32" s="585">
        <f>SUMIF($AA$28:$AA$30,"industrie",O28:O30)</f>
        <v>0</v>
      </c>
      <c r="P32" s="585">
        <f>SUMIF($AA$28:$AA$30,"industrie",P28:P30)</f>
        <v>0</v>
      </c>
      <c r="Q32" s="585">
        <f>SUMIF($AA$28:$AA$30,"industrie",Q28:Q30)</f>
        <v>0</v>
      </c>
      <c r="R32" s="585">
        <f>SUMIF($AA$28:$AA$30,"industrie",R28:R30)</f>
        <v>0</v>
      </c>
      <c r="S32" s="585">
        <f>SUMIF($AA$28:$AA$30,"industrie",S28:S30)</f>
        <v>0</v>
      </c>
      <c r="T32" s="585">
        <f>SUMIF($AA$28:$AA$30,"industrie",T28:T30)</f>
        <v>0</v>
      </c>
      <c r="U32" s="585">
        <f>SUMIF($AA$28:$AA$30,"industrie",U28:U30)</f>
        <v>0</v>
      </c>
      <c r="V32" s="585">
        <f>SUMIF($AA$28:$AA$30,"industrie",V28:V30)</f>
        <v>0</v>
      </c>
      <c r="W32" s="585">
        <f>SUMIF($AA$28:$AA$30,"industrie",W28:W30)</f>
        <v>0</v>
      </c>
      <c r="X32" s="585"/>
      <c r="Y32" s="586"/>
      <c r="Z32" s="586"/>
      <c r="AA32" s="587"/>
    </row>
    <row r="33" spans="1:28" s="563" customFormat="1">
      <c r="A33" s="583" t="s">
        <v>277</v>
      </c>
      <c r="B33" s="584"/>
      <c r="C33" s="584"/>
      <c r="D33" s="584"/>
      <c r="E33" s="584"/>
      <c r="F33" s="584"/>
      <c r="G33" s="584"/>
      <c r="H33" s="584"/>
      <c r="I33" s="584"/>
      <c r="J33" s="584"/>
      <c r="K33" s="584"/>
      <c r="L33" s="585"/>
      <c r="M33" s="585">
        <f ca="1">SUMIF($AA$28:AD30,"tertiair",M28:M30)</f>
        <v>5.5</v>
      </c>
      <c r="N33" s="585">
        <f ca="1">SUMIF($AA$28:AE30,"tertiair",N28:N30)</f>
        <v>24.75</v>
      </c>
      <c r="O33" s="585">
        <f ca="1">SUMIF($AA$28:AF30,"tertiair",O28:O30)</f>
        <v>35.357142857142861</v>
      </c>
      <c r="P33" s="585">
        <f ca="1">SUMIF($AA$28:AG30,"tertiair",P28:P30)</f>
        <v>70.714285714285722</v>
      </c>
      <c r="Q33" s="585">
        <f ca="1">SUMIF($AA$28:AH30,"tertiair",Q28:Q30)</f>
        <v>0</v>
      </c>
      <c r="R33" s="585">
        <f ca="1">SUMIF($AA$28:AI30,"tertiair",R28:R30)</f>
        <v>0</v>
      </c>
      <c r="S33" s="585">
        <f ca="1">SUMIF($AA$28:AJ30,"tertiair",S28:S30)</f>
        <v>0</v>
      </c>
      <c r="T33" s="585">
        <f ca="1">SUMIF($AA$28:AK30,"tertiair",T28:T30)</f>
        <v>0</v>
      </c>
      <c r="U33" s="585">
        <f ca="1">SUMIF($AA$28:AL30,"tertiair",U28:U30)</f>
        <v>0</v>
      </c>
      <c r="V33" s="585">
        <f ca="1">SUMIF($AA$28:AM30,"tertiair",V28:V30)</f>
        <v>0</v>
      </c>
      <c r="W33" s="585">
        <f ca="1">SUMIF($AA$28:AN30,"tertiair",W28:W30)</f>
        <v>0</v>
      </c>
      <c r="X33" s="585"/>
      <c r="Y33" s="586"/>
      <c r="Z33" s="586"/>
      <c r="AA33" s="587"/>
    </row>
    <row r="34" spans="1:28" s="563" customFormat="1" ht="15.75" thickBot="1">
      <c r="A34" s="588" t="s">
        <v>278</v>
      </c>
      <c r="B34" s="589"/>
      <c r="C34" s="589"/>
      <c r="D34" s="589"/>
      <c r="E34" s="589"/>
      <c r="F34" s="589"/>
      <c r="G34" s="589"/>
      <c r="H34" s="589"/>
      <c r="I34" s="589"/>
      <c r="J34" s="589"/>
      <c r="K34" s="589"/>
      <c r="L34" s="590"/>
      <c r="M34" s="590">
        <f>SUMIF($AA$28:$AA$30,"landbouw",M28:M30)</f>
        <v>2009.7</v>
      </c>
      <c r="N34" s="590">
        <f>SUMIF($AA$28:$AA$30,"landbouw",N28:N30)</f>
        <v>9043.65</v>
      </c>
      <c r="O34" s="590">
        <f>SUMIF($AA$28:$AA$30,"landbouw",O28:O30)</f>
        <v>12919.5</v>
      </c>
      <c r="P34" s="590">
        <f>SUMIF($AA$28:$AA$30,"landbouw",P28:P30)</f>
        <v>25714.285714285717</v>
      </c>
      <c r="Q34" s="590">
        <f>SUMIF($AA$28:$AA$30,"landbouw",Q28:Q30)</f>
        <v>124.71428571428569</v>
      </c>
      <c r="R34" s="590">
        <f>SUMIF($AA$28:$AA$30,"landbouw",R28:R30)</f>
        <v>0</v>
      </c>
      <c r="S34" s="590">
        <f>SUMIF($AA$28:$AA$30,"landbouw",S28:S30)</f>
        <v>0</v>
      </c>
      <c r="T34" s="590">
        <f>SUMIF($AA$28:$AA$30,"landbouw",T28:T30)</f>
        <v>0</v>
      </c>
      <c r="U34" s="590">
        <f>SUMIF($AA$28:$AA$30,"landbouw",U28:U30)</f>
        <v>0</v>
      </c>
      <c r="V34" s="590">
        <f>SUMIF($AA$28:$AA$30,"landbouw",V28:V30)</f>
        <v>0</v>
      </c>
      <c r="W34" s="590">
        <f>SUMIF($AA$28:$AA$30,"landbouw",W28:W30)</f>
        <v>0</v>
      </c>
      <c r="X34" s="590"/>
      <c r="Y34" s="591"/>
      <c r="Z34" s="591"/>
      <c r="AA34" s="592"/>
    </row>
    <row r="35" spans="1:28" s="532" customFormat="1" ht="15.75" thickBot="1">
      <c r="A35" s="593"/>
      <c r="B35" s="594"/>
      <c r="C35" s="594"/>
      <c r="D35" s="594"/>
      <c r="E35" s="594"/>
      <c r="F35" s="594"/>
      <c r="G35" s="594"/>
      <c r="H35" s="594"/>
      <c r="I35" s="594"/>
      <c r="J35" s="594"/>
      <c r="K35" s="594"/>
      <c r="L35" s="577"/>
      <c r="M35" s="577"/>
      <c r="N35" s="577"/>
      <c r="O35" s="578"/>
      <c r="P35" s="578"/>
    </row>
    <row r="36" spans="1:28" s="532" customFormat="1" ht="45">
      <c r="A36" s="595" t="s">
        <v>270</v>
      </c>
      <c r="B36" s="624" t="s">
        <v>89</v>
      </c>
      <c r="C36" s="624" t="s">
        <v>90</v>
      </c>
      <c r="D36" s="624"/>
      <c r="E36" s="624"/>
      <c r="F36" s="624"/>
      <c r="G36" s="624" t="s">
        <v>91</v>
      </c>
      <c r="H36" s="624" t="s">
        <v>92</v>
      </c>
      <c r="I36" s="624"/>
      <c r="J36" s="624"/>
      <c r="K36" s="624"/>
      <c r="L36" s="624" t="s">
        <v>93</v>
      </c>
      <c r="M36" s="625" t="s">
        <v>287</v>
      </c>
      <c r="N36" s="625" t="s">
        <v>94</v>
      </c>
      <c r="O36" s="625" t="s">
        <v>95</v>
      </c>
      <c r="P36" s="625" t="s">
        <v>533</v>
      </c>
      <c r="Q36" s="625" t="s">
        <v>96</v>
      </c>
      <c r="R36" s="625" t="s">
        <v>97</v>
      </c>
      <c r="S36" s="625" t="s">
        <v>98</v>
      </c>
      <c r="T36" s="625" t="s">
        <v>99</v>
      </c>
      <c r="U36" s="625" t="s">
        <v>100</v>
      </c>
      <c r="V36" s="625" t="s">
        <v>101</v>
      </c>
      <c r="W36" s="624" t="s">
        <v>102</v>
      </c>
      <c r="X36" s="624" t="s">
        <v>941</v>
      </c>
      <c r="Y36" s="624" t="s">
        <v>288</v>
      </c>
      <c r="Z36" s="624" t="s">
        <v>103</v>
      </c>
      <c r="AA36" s="626" t="s">
        <v>289</v>
      </c>
    </row>
    <row r="37" spans="1:28" s="596" customFormat="1" ht="12.75" hidden="1">
      <c r="A37" s="582"/>
      <c r="B37" s="740"/>
      <c r="C37" s="740"/>
      <c r="D37" s="630"/>
      <c r="E37" s="630"/>
      <c r="F37" s="630"/>
      <c r="G37" s="630"/>
      <c r="H37" s="630"/>
      <c r="I37" s="630"/>
      <c r="J37" s="739"/>
      <c r="K37" s="739"/>
      <c r="L37" s="630"/>
      <c r="M37" s="630"/>
      <c r="N37" s="630"/>
      <c r="O37" s="630"/>
      <c r="P37" s="630"/>
      <c r="Q37" s="630"/>
      <c r="R37" s="630"/>
      <c r="S37" s="630"/>
      <c r="T37" s="630"/>
      <c r="U37" s="630"/>
      <c r="V37" s="630"/>
      <c r="W37" s="630"/>
      <c r="X37" s="630"/>
      <c r="Y37" s="630"/>
      <c r="Z37" s="630"/>
      <c r="AA37" s="631"/>
    </row>
    <row r="38" spans="1:28" s="563" customFormat="1" hidden="1">
      <c r="A38" s="583" t="s">
        <v>269</v>
      </c>
      <c r="B38" s="584"/>
      <c r="C38" s="584"/>
      <c r="D38" s="584"/>
      <c r="E38" s="584"/>
      <c r="F38" s="584"/>
      <c r="G38" s="584"/>
      <c r="H38" s="584"/>
      <c r="I38" s="584"/>
      <c r="J38" s="584"/>
      <c r="K38" s="584"/>
      <c r="L38" s="585"/>
      <c r="M38" s="585">
        <f>SUM(M37:M37)</f>
        <v>0</v>
      </c>
      <c r="N38" s="585">
        <f>SUM(N37:N37)</f>
        <v>0</v>
      </c>
      <c r="O38" s="585">
        <f>SUM(O37:O37)</f>
        <v>0</v>
      </c>
      <c r="P38" s="585">
        <f>SUM(P37:P37)</f>
        <v>0</v>
      </c>
      <c r="Q38" s="585">
        <f>SUM(Q37:Q37)</f>
        <v>0</v>
      </c>
      <c r="R38" s="585">
        <f>SUM(R37:R37)</f>
        <v>0</v>
      </c>
      <c r="S38" s="585">
        <f>SUM(S37:S37)</f>
        <v>0</v>
      </c>
      <c r="T38" s="585">
        <f>SUM(T37:T37)</f>
        <v>0</v>
      </c>
      <c r="U38" s="585">
        <f>SUM(U37:U37)</f>
        <v>0</v>
      </c>
      <c r="V38" s="585">
        <f>SUM(V37:V37)</f>
        <v>0</v>
      </c>
      <c r="W38" s="585">
        <f>SUM(W37:W37)</f>
        <v>0</v>
      </c>
      <c r="X38" s="585"/>
      <c r="Y38" s="586"/>
      <c r="Z38" s="586"/>
      <c r="AA38" s="587"/>
    </row>
    <row r="39" spans="1:28" s="563" customFormat="1">
      <c r="A39" s="583" t="s">
        <v>276</v>
      </c>
      <c r="B39" s="584"/>
      <c r="C39" s="584"/>
      <c r="D39" s="584"/>
      <c r="E39" s="584"/>
      <c r="F39" s="584"/>
      <c r="G39" s="584"/>
      <c r="H39" s="584"/>
      <c r="I39" s="584"/>
      <c r="J39" s="584"/>
      <c r="K39" s="584"/>
      <c r="L39" s="585"/>
      <c r="M39" s="585">
        <f>SUMIF($AA$37:$AA$37,"industrie",M37:M37)</f>
        <v>0</v>
      </c>
      <c r="N39" s="585">
        <f>SUMIF($AA$37:$AA$37,"industrie",N37:N37)</f>
        <v>0</v>
      </c>
      <c r="O39" s="585">
        <f>SUMIF($AA$37:$AA$37,"industrie",O37:O37)</f>
        <v>0</v>
      </c>
      <c r="P39" s="585">
        <f>SUMIF($AA$37:$AA$37,"industrie",P37:P37)</f>
        <v>0</v>
      </c>
      <c r="Q39" s="585">
        <f>SUMIF($AA$37:$AA$37,"industrie",Q37:Q37)</f>
        <v>0</v>
      </c>
      <c r="R39" s="585">
        <f>SUMIF($AA$37:$AA$37,"industrie",R37:R37)</f>
        <v>0</v>
      </c>
      <c r="S39" s="585">
        <f>SUMIF($AA$37:$AA$37,"industrie",S37:S37)</f>
        <v>0</v>
      </c>
      <c r="T39" s="585">
        <f>SUMIF($AA$37:$AA$37,"industrie",T37:T37)</f>
        <v>0</v>
      </c>
      <c r="U39" s="585">
        <f>SUMIF($AA$37:$AA$37,"industrie",U37:U37)</f>
        <v>0</v>
      </c>
      <c r="V39" s="585">
        <f>SUMIF($AA$37:$AA$37,"industrie",V37:V37)</f>
        <v>0</v>
      </c>
      <c r="W39" s="585">
        <f>SUMIF($AA$37:$AA$37,"industrie",W37:W37)</f>
        <v>0</v>
      </c>
      <c r="X39" s="585"/>
      <c r="Y39" s="586"/>
      <c r="Z39" s="586"/>
      <c r="AA39" s="587"/>
    </row>
    <row r="40" spans="1:28" s="563" customFormat="1">
      <c r="A40" s="583" t="s">
        <v>277</v>
      </c>
      <c r="B40" s="584"/>
      <c r="C40" s="584"/>
      <c r="D40" s="584"/>
      <c r="E40" s="584"/>
      <c r="F40" s="584"/>
      <c r="G40" s="584"/>
      <c r="H40" s="584"/>
      <c r="I40" s="584"/>
      <c r="J40" s="584"/>
      <c r="K40" s="584"/>
      <c r="L40" s="585"/>
      <c r="M40" s="585">
        <f>SUMIF($AA$37:$AA$38,"tertiair",M37:M38)</f>
        <v>0</v>
      </c>
      <c r="N40" s="585">
        <f>SUMIF($AA$37:$AA$38,"tertiair",N37:N38)</f>
        <v>0</v>
      </c>
      <c r="O40" s="585">
        <f>SUMIF($AA$37:$AA$38,"tertiair",O37:O38)</f>
        <v>0</v>
      </c>
      <c r="P40" s="585">
        <f>SUMIF($AA$37:$AA$38,"tertiair",P37:P38)</f>
        <v>0</v>
      </c>
      <c r="Q40" s="585">
        <f>SUMIF($AA$37:$AA$38,"tertiair",Q37:Q38)</f>
        <v>0</v>
      </c>
      <c r="R40" s="585">
        <f>SUMIF($AA$37:$AA$38,"tertiair",R37:R38)</f>
        <v>0</v>
      </c>
      <c r="S40" s="585">
        <f>SUMIF($AA$37:$AA$38,"tertiair",S37:S38)</f>
        <v>0</v>
      </c>
      <c r="T40" s="585">
        <f>SUMIF($AA$37:$AA$38,"tertiair",T37:T38)</f>
        <v>0</v>
      </c>
      <c r="U40" s="585">
        <f>SUMIF($AA$37:$AA$38,"tertiair",U37:U38)</f>
        <v>0</v>
      </c>
      <c r="V40" s="585">
        <f>SUMIF($AA$37:$AA$38,"tertiair",V37:V38)</f>
        <v>0</v>
      </c>
      <c r="W40" s="585">
        <f>SUMIF($AA$37:$AA$38,"tertiair",W37:W38)</f>
        <v>0</v>
      </c>
      <c r="X40" s="585"/>
      <c r="Y40" s="586"/>
      <c r="Z40" s="586"/>
      <c r="AA40" s="587"/>
    </row>
    <row r="41" spans="1:28" s="563" customFormat="1" ht="15.75" thickBot="1">
      <c r="A41" s="588" t="s">
        <v>278</v>
      </c>
      <c r="B41" s="589"/>
      <c r="C41" s="589"/>
      <c r="D41" s="589"/>
      <c r="E41" s="589"/>
      <c r="F41" s="589"/>
      <c r="G41" s="589"/>
      <c r="H41" s="589"/>
      <c r="I41" s="589"/>
      <c r="J41" s="589"/>
      <c r="K41" s="589"/>
      <c r="L41" s="590"/>
      <c r="M41" s="590">
        <f>SUMIF($AA$37:$AA$39,"landbouw",M37:M39)</f>
        <v>0</v>
      </c>
      <c r="N41" s="590">
        <f>SUMIF($AA$37:$AA$39,"landbouw",N37:N39)</f>
        <v>0</v>
      </c>
      <c r="O41" s="590">
        <f>SUMIF($AA$37:$AA$39,"landbouw",O37:O39)</f>
        <v>0</v>
      </c>
      <c r="P41" s="590">
        <f>SUMIF($AA$37:$AA$39,"landbouw",P37:P39)</f>
        <v>0</v>
      </c>
      <c r="Q41" s="590">
        <f>SUMIF($AA$37:$AA$39,"landbouw",Q37:Q39)</f>
        <v>0</v>
      </c>
      <c r="R41" s="590">
        <f>SUMIF($AA$37:$AA$39,"landbouw",R37:R39)</f>
        <v>0</v>
      </c>
      <c r="S41" s="590">
        <f>SUMIF($AA$37:$AA$39,"landbouw",S37:S39)</f>
        <v>0</v>
      </c>
      <c r="T41" s="590">
        <f>SUMIF($AA$37:$AA$39,"landbouw",T37:T39)</f>
        <v>0</v>
      </c>
      <c r="U41" s="590">
        <f>SUMIF($AA$37:$AA$39,"landbouw",U37:U39)</f>
        <v>0</v>
      </c>
      <c r="V41" s="590">
        <f>SUMIF($AA$37:$AA$39,"landbouw",V37:V39)</f>
        <v>0</v>
      </c>
      <c r="W41" s="590">
        <f>SUMIF($AA$37:$AA$39,"landbouw",W37:W39)</f>
        <v>0</v>
      </c>
      <c r="X41" s="590"/>
      <c r="Y41" s="591"/>
      <c r="Z41" s="591"/>
      <c r="AA41" s="592"/>
    </row>
    <row r="42" spans="1:28" s="597" customForma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row>
    <row r="43" spans="1:28" s="597" customFormat="1" ht="15.75" thickBot="1">
      <c r="A43" s="593"/>
      <c r="B43" s="577"/>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row>
    <row r="44" spans="1:28">
      <c r="A44" s="598" t="s">
        <v>271</v>
      </c>
      <c r="B44" s="599"/>
      <c r="C44" s="599"/>
      <c r="D44" s="599"/>
      <c r="E44" s="599"/>
      <c r="F44" s="599"/>
      <c r="G44" s="599"/>
      <c r="H44" s="599"/>
      <c r="I44" s="600"/>
      <c r="J44" s="601"/>
      <c r="K44" s="601"/>
      <c r="L44" s="602"/>
      <c r="M44" s="602"/>
      <c r="N44" s="602"/>
      <c r="O44" s="602"/>
      <c r="P44" s="602"/>
    </row>
    <row r="45" spans="1:28">
      <c r="A45" s="604"/>
      <c r="B45" s="594"/>
      <c r="C45" s="594"/>
      <c r="D45" s="594"/>
      <c r="E45" s="594"/>
      <c r="F45" s="594"/>
      <c r="G45" s="594"/>
      <c r="H45" s="594"/>
      <c r="I45" s="605"/>
      <c r="J45" s="594"/>
      <c r="K45" s="594"/>
      <c r="L45" s="602"/>
      <c r="M45" s="602"/>
      <c r="N45" s="602"/>
      <c r="O45" s="602"/>
      <c r="P45" s="602"/>
    </row>
    <row r="46" spans="1:28">
      <c r="A46" s="606"/>
      <c r="B46" s="607" t="s">
        <v>272</v>
      </c>
      <c r="C46" s="607" t="s">
        <v>273</v>
      </c>
      <c r="D46" s="607"/>
      <c r="E46" s="607"/>
      <c r="F46" s="607"/>
      <c r="G46" s="607"/>
      <c r="H46" s="607"/>
      <c r="I46" s="608"/>
      <c r="J46" s="607"/>
      <c r="K46" s="607"/>
      <c r="L46" s="607"/>
      <c r="M46" s="607"/>
      <c r="N46" s="607"/>
      <c r="O46" s="607"/>
      <c r="P46" s="602"/>
    </row>
    <row r="47" spans="1:28">
      <c r="A47" s="604" t="s">
        <v>269</v>
      </c>
      <c r="B47" s="609">
        <f>IF(ISERROR(O31/(O31+N31)),0,O31/(O31+N31))</f>
        <v>0.58823529411764708</v>
      </c>
      <c r="C47" s="610">
        <f>IF(ISERROR(N31/(O31+N31)),0,N31/(N31+O31))</f>
        <v>0.41176470588235292</v>
      </c>
      <c r="D47" s="577"/>
      <c r="E47" s="577"/>
      <c r="F47" s="577"/>
      <c r="G47" s="577"/>
      <c r="H47" s="577"/>
      <c r="I47" s="611"/>
      <c r="J47" s="577"/>
      <c r="K47" s="577"/>
      <c r="L47" s="612"/>
      <c r="M47" s="612"/>
      <c r="N47" s="612"/>
      <c r="O47" s="612"/>
      <c r="P47" s="602"/>
    </row>
    <row r="48" spans="1:28">
      <c r="A48" s="604"/>
      <c r="B48" s="613"/>
      <c r="C48" s="613"/>
      <c r="D48" s="613"/>
      <c r="E48" s="613"/>
      <c r="F48" s="613"/>
      <c r="G48" s="613"/>
      <c r="H48" s="613"/>
      <c r="I48" s="614"/>
      <c r="J48" s="613"/>
      <c r="K48" s="613"/>
      <c r="L48" s="615"/>
      <c r="M48" s="615"/>
      <c r="N48" s="615"/>
      <c r="O48" s="615"/>
      <c r="P48" s="602"/>
    </row>
    <row r="49" spans="1:16" ht="30">
      <c r="A49" s="616"/>
      <c r="B49" s="617" t="s">
        <v>533</v>
      </c>
      <c r="C49" s="617" t="s">
        <v>96</v>
      </c>
      <c r="D49" s="617" t="s">
        <v>97</v>
      </c>
      <c r="E49" s="617" t="s">
        <v>98</v>
      </c>
      <c r="F49" s="617" t="s">
        <v>99</v>
      </c>
      <c r="G49" s="617" t="s">
        <v>100</v>
      </c>
      <c r="H49" s="617" t="s">
        <v>101</v>
      </c>
      <c r="I49" s="618" t="s">
        <v>102</v>
      </c>
      <c r="J49" s="607"/>
      <c r="K49" s="607"/>
      <c r="L49" s="615"/>
      <c r="M49" s="615"/>
      <c r="N49" s="615"/>
      <c r="O49" s="602"/>
      <c r="P49" s="602"/>
    </row>
    <row r="50" spans="1:16">
      <c r="A50" s="606" t="s">
        <v>274</v>
      </c>
      <c r="B50" s="619">
        <f t="shared" ref="B50:I50" si="2">$C$47*P31</f>
        <v>10617.352941176472</v>
      </c>
      <c r="C50" s="619">
        <f t="shared" si="2"/>
        <v>51.35294117647058</v>
      </c>
      <c r="D50" s="619">
        <f t="shared" si="2"/>
        <v>0</v>
      </c>
      <c r="E50" s="619">
        <f t="shared" si="2"/>
        <v>0</v>
      </c>
      <c r="F50" s="619">
        <f t="shared" si="2"/>
        <v>0</v>
      </c>
      <c r="G50" s="619">
        <f t="shared" si="2"/>
        <v>0</v>
      </c>
      <c r="H50" s="619">
        <f t="shared" si="2"/>
        <v>0</v>
      </c>
      <c r="I50" s="620">
        <f t="shared" si="2"/>
        <v>0</v>
      </c>
      <c r="J50" s="577"/>
      <c r="K50" s="577"/>
      <c r="L50" s="615"/>
      <c r="M50" s="615"/>
      <c r="N50" s="615"/>
      <c r="O50" s="602"/>
      <c r="P50" s="602"/>
    </row>
    <row r="51" spans="1:16" ht="15.75" thickBot="1">
      <c r="A51" s="621" t="s">
        <v>275</v>
      </c>
      <c r="B51" s="622">
        <f t="shared" ref="B51:I51" si="3">$B$47*P31</f>
        <v>15167.647058823532</v>
      </c>
      <c r="C51" s="622">
        <f t="shared" si="3"/>
        <v>73.361344537815114</v>
      </c>
      <c r="D51" s="622">
        <f t="shared" si="3"/>
        <v>0</v>
      </c>
      <c r="E51" s="622">
        <f t="shared" si="3"/>
        <v>0</v>
      </c>
      <c r="F51" s="622">
        <f t="shared" si="3"/>
        <v>0</v>
      </c>
      <c r="G51" s="622">
        <f t="shared" si="3"/>
        <v>0</v>
      </c>
      <c r="H51" s="622">
        <f t="shared" si="3"/>
        <v>0</v>
      </c>
      <c r="I51" s="623">
        <f t="shared" si="3"/>
        <v>0</v>
      </c>
      <c r="J51" s="577"/>
      <c r="K51" s="577"/>
      <c r="L51" s="615"/>
      <c r="M51" s="615"/>
      <c r="N51" s="615"/>
      <c r="O51" s="602"/>
      <c r="P51" s="602"/>
    </row>
    <row r="52" spans="1:16">
      <c r="J52" s="561"/>
      <c r="K52" s="561"/>
      <c r="L52" s="561"/>
      <c r="M52" s="561"/>
      <c r="N52" s="561"/>
    </row>
    <row r="53" spans="1:16">
      <c r="J53" s="561"/>
      <c r="K53" s="561"/>
      <c r="L53" s="561"/>
      <c r="M53" s="561"/>
      <c r="N53"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16210.884</v>
      </c>
      <c r="D10" s="639">
        <f ca="1">tertiair!C16</f>
        <v>35.357142857142861</v>
      </c>
      <c r="E10" s="639">
        <f ca="1">tertiair!D16</f>
        <v>15211.591363634403</v>
      </c>
      <c r="F10" s="639">
        <f>tertiair!E16</f>
        <v>170.10114070468518</v>
      </c>
      <c r="G10" s="639">
        <f ca="1">tertiair!F16</f>
        <v>2915.1128285159075</v>
      </c>
      <c r="H10" s="639">
        <f>tertiair!G16</f>
        <v>0</v>
      </c>
      <c r="I10" s="639">
        <f>tertiair!H16</f>
        <v>0</v>
      </c>
      <c r="J10" s="639">
        <f>tertiair!I16</f>
        <v>0</v>
      </c>
      <c r="K10" s="639">
        <f>tertiair!J16</f>
        <v>0</v>
      </c>
      <c r="L10" s="639">
        <f>tertiair!K16</f>
        <v>0</v>
      </c>
      <c r="M10" s="639">
        <f ca="1">tertiair!L16</f>
        <v>0</v>
      </c>
      <c r="N10" s="639">
        <f>tertiair!M16</f>
        <v>0</v>
      </c>
      <c r="O10" s="639">
        <f ca="1">tertiair!N16</f>
        <v>780.49212400436318</v>
      </c>
      <c r="P10" s="639">
        <f>tertiair!O16</f>
        <v>0</v>
      </c>
      <c r="Q10" s="640">
        <f>tertiair!P16</f>
        <v>38.133333333333333</v>
      </c>
      <c r="R10" s="642">
        <f ca="1">SUM(C10:Q10)</f>
        <v>35361.671933049838</v>
      </c>
      <c r="S10" s="68"/>
    </row>
    <row r="11" spans="1:19" s="443" customFormat="1">
      <c r="A11" s="753" t="s">
        <v>214</v>
      </c>
      <c r="B11" s="758"/>
      <c r="C11" s="639">
        <f>huishoudens!B8</f>
        <v>28469.943815998544</v>
      </c>
      <c r="D11" s="639">
        <f>huishoudens!C8</f>
        <v>0</v>
      </c>
      <c r="E11" s="639">
        <f>huishoudens!D8</f>
        <v>57294.768917715126</v>
      </c>
      <c r="F11" s="639">
        <f>huishoudens!E8</f>
        <v>1198.0994135130813</v>
      </c>
      <c r="G11" s="639">
        <f>huishoudens!F8</f>
        <v>36526.572680944766</v>
      </c>
      <c r="H11" s="639">
        <f>huishoudens!G8</f>
        <v>0</v>
      </c>
      <c r="I11" s="639">
        <f>huishoudens!H8</f>
        <v>0</v>
      </c>
      <c r="J11" s="639">
        <f>huishoudens!I8</f>
        <v>0</v>
      </c>
      <c r="K11" s="639">
        <f>huishoudens!J8</f>
        <v>662.76193376366336</v>
      </c>
      <c r="L11" s="639">
        <f>huishoudens!K8</f>
        <v>0</v>
      </c>
      <c r="M11" s="639">
        <f>huishoudens!L8</f>
        <v>0</v>
      </c>
      <c r="N11" s="639">
        <f>huishoudens!M8</f>
        <v>0</v>
      </c>
      <c r="O11" s="639">
        <f>huishoudens!N8</f>
        <v>7784.9477188579604</v>
      </c>
      <c r="P11" s="639">
        <f>huishoudens!O8</f>
        <v>65.660000000000011</v>
      </c>
      <c r="Q11" s="640">
        <f>huishoudens!P8</f>
        <v>305.06666666666666</v>
      </c>
      <c r="R11" s="642">
        <f>SUM(C11:Q11)</f>
        <v>132307.82114745982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16719.345000000001</v>
      </c>
      <c r="D13" s="639">
        <f>industrie!C18</f>
        <v>0</v>
      </c>
      <c r="E13" s="639">
        <f>industrie!D18</f>
        <v>16987.448949500711</v>
      </c>
      <c r="F13" s="639">
        <f>industrie!E18</f>
        <v>482.66475402549213</v>
      </c>
      <c r="G13" s="639">
        <f>industrie!F18</f>
        <v>4063.4138810333407</v>
      </c>
      <c r="H13" s="639">
        <f>industrie!G18</f>
        <v>0</v>
      </c>
      <c r="I13" s="639">
        <f>industrie!H18</f>
        <v>0</v>
      </c>
      <c r="J13" s="639">
        <f>industrie!I18</f>
        <v>0</v>
      </c>
      <c r="K13" s="639">
        <f>industrie!J18</f>
        <v>4.4343545530295048</v>
      </c>
      <c r="L13" s="639">
        <f>industrie!K18</f>
        <v>0</v>
      </c>
      <c r="M13" s="639">
        <f>industrie!L18</f>
        <v>0</v>
      </c>
      <c r="N13" s="639">
        <f>industrie!M18</f>
        <v>0</v>
      </c>
      <c r="O13" s="639">
        <f>industrie!N18</f>
        <v>5148.2712663393804</v>
      </c>
      <c r="P13" s="639">
        <f>industrie!O18</f>
        <v>0</v>
      </c>
      <c r="Q13" s="640">
        <f>industrie!P18</f>
        <v>0</v>
      </c>
      <c r="R13" s="642">
        <f>SUM(C13:Q13)</f>
        <v>43405.578205451959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61400.172815998543</v>
      </c>
      <c r="D16" s="672">
        <f t="shared" ref="D16:R16" ca="1" si="0">SUM(D9:D15)</f>
        <v>35.357142857142861</v>
      </c>
      <c r="E16" s="672">
        <f t="shared" ca="1" si="0"/>
        <v>89493.809230850238</v>
      </c>
      <c r="F16" s="672">
        <f t="shared" si="0"/>
        <v>1850.8653082432586</v>
      </c>
      <c r="G16" s="672">
        <f t="shared" ca="1" si="0"/>
        <v>43505.099390494011</v>
      </c>
      <c r="H16" s="672">
        <f t="shared" si="0"/>
        <v>0</v>
      </c>
      <c r="I16" s="672">
        <f t="shared" si="0"/>
        <v>0</v>
      </c>
      <c r="J16" s="672">
        <f t="shared" si="0"/>
        <v>0</v>
      </c>
      <c r="K16" s="672">
        <f t="shared" si="0"/>
        <v>667.19628831669286</v>
      </c>
      <c r="L16" s="672">
        <f t="shared" si="0"/>
        <v>0</v>
      </c>
      <c r="M16" s="672">
        <f t="shared" ca="1" si="0"/>
        <v>0</v>
      </c>
      <c r="N16" s="672">
        <f t="shared" si="0"/>
        <v>0</v>
      </c>
      <c r="O16" s="672">
        <f t="shared" ca="1" si="0"/>
        <v>13713.711109201704</v>
      </c>
      <c r="P16" s="672">
        <f t="shared" si="0"/>
        <v>65.660000000000011</v>
      </c>
      <c r="Q16" s="672">
        <f t="shared" si="0"/>
        <v>343.2</v>
      </c>
      <c r="R16" s="672">
        <f t="shared" ca="1" si="0"/>
        <v>211075.0712859616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7.3116523373405613</v>
      </c>
      <c r="D19" s="639">
        <f>transport!C54</f>
        <v>0</v>
      </c>
      <c r="E19" s="639">
        <f>transport!D54</f>
        <v>0</v>
      </c>
      <c r="F19" s="639">
        <f>transport!E54</f>
        <v>0</v>
      </c>
      <c r="G19" s="639">
        <f>transport!F54</f>
        <v>0</v>
      </c>
      <c r="H19" s="639">
        <f>transport!G54</f>
        <v>1458.3235144755186</v>
      </c>
      <c r="I19" s="639">
        <f>transport!H54</f>
        <v>0</v>
      </c>
      <c r="J19" s="639">
        <f>transport!I54</f>
        <v>0</v>
      </c>
      <c r="K19" s="639">
        <f>transport!J54</f>
        <v>0</v>
      </c>
      <c r="L19" s="639">
        <f>transport!K54</f>
        <v>0</v>
      </c>
      <c r="M19" s="639">
        <f>transport!L54</f>
        <v>0</v>
      </c>
      <c r="N19" s="639">
        <f>transport!M54</f>
        <v>64.456346162675715</v>
      </c>
      <c r="O19" s="639">
        <f>transport!N54</f>
        <v>0</v>
      </c>
      <c r="P19" s="639">
        <f>transport!O54</f>
        <v>0</v>
      </c>
      <c r="Q19" s="640">
        <f>transport!P54</f>
        <v>0</v>
      </c>
      <c r="R19" s="642">
        <f>SUM(C19:Q19)</f>
        <v>1530.0915129755349</v>
      </c>
      <c r="S19" s="68"/>
    </row>
    <row r="20" spans="1:19" s="443" customFormat="1">
      <c r="A20" s="753" t="s">
        <v>296</v>
      </c>
      <c r="B20" s="758"/>
      <c r="C20" s="639">
        <f>transport!B14</f>
        <v>10.637723678296977</v>
      </c>
      <c r="D20" s="639">
        <f>transport!C14</f>
        <v>0</v>
      </c>
      <c r="E20" s="639">
        <f>transport!D14</f>
        <v>12.311695161893386</v>
      </c>
      <c r="F20" s="639">
        <f>transport!E14</f>
        <v>899.53898797167324</v>
      </c>
      <c r="G20" s="639">
        <f>transport!F14</f>
        <v>0</v>
      </c>
      <c r="H20" s="639">
        <f>transport!G14</f>
        <v>204059.68722325334</v>
      </c>
      <c r="I20" s="639">
        <f>transport!H14</f>
        <v>32510.36135998528</v>
      </c>
      <c r="J20" s="639">
        <f>transport!I14</f>
        <v>0</v>
      </c>
      <c r="K20" s="639">
        <f>transport!J14</f>
        <v>0</v>
      </c>
      <c r="L20" s="639">
        <f>transport!K14</f>
        <v>0</v>
      </c>
      <c r="M20" s="639">
        <f>transport!L14</f>
        <v>0</v>
      </c>
      <c r="N20" s="639">
        <f>transport!M14</f>
        <v>10568.919489416094</v>
      </c>
      <c r="O20" s="639">
        <f>transport!N14</f>
        <v>0</v>
      </c>
      <c r="P20" s="639">
        <f>transport!O14</f>
        <v>0</v>
      </c>
      <c r="Q20" s="640">
        <f>transport!P14</f>
        <v>0</v>
      </c>
      <c r="R20" s="642">
        <f>SUM(C20:Q20)</f>
        <v>248061.45647946658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17.94937601563754</v>
      </c>
      <c r="D22" s="756">
        <f t="shared" ref="D22:R22" si="1">SUM(D18:D21)</f>
        <v>0</v>
      </c>
      <c r="E22" s="756">
        <f t="shared" si="1"/>
        <v>12.311695161893386</v>
      </c>
      <c r="F22" s="756">
        <f t="shared" si="1"/>
        <v>899.53898797167324</v>
      </c>
      <c r="G22" s="756">
        <f t="shared" si="1"/>
        <v>0</v>
      </c>
      <c r="H22" s="756">
        <f t="shared" si="1"/>
        <v>205518.01073772885</v>
      </c>
      <c r="I22" s="756">
        <f t="shared" si="1"/>
        <v>32510.36135998528</v>
      </c>
      <c r="J22" s="756">
        <f t="shared" si="1"/>
        <v>0</v>
      </c>
      <c r="K22" s="756">
        <f t="shared" si="1"/>
        <v>0</v>
      </c>
      <c r="L22" s="756">
        <f t="shared" si="1"/>
        <v>0</v>
      </c>
      <c r="M22" s="756">
        <f t="shared" si="1"/>
        <v>0</v>
      </c>
      <c r="N22" s="756">
        <f t="shared" si="1"/>
        <v>10633.375835578769</v>
      </c>
      <c r="O22" s="756">
        <f t="shared" si="1"/>
        <v>0</v>
      </c>
      <c r="P22" s="756">
        <f t="shared" si="1"/>
        <v>0</v>
      </c>
      <c r="Q22" s="756">
        <f t="shared" si="1"/>
        <v>0</v>
      </c>
      <c r="R22" s="756">
        <f t="shared" si="1"/>
        <v>249591.54799244212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2563.2109999999998</v>
      </c>
      <c r="D24" s="639">
        <f>+landbouw!C8</f>
        <v>12919.5</v>
      </c>
      <c r="E24" s="639">
        <f>+landbouw!D8</f>
        <v>7898.7561058362335</v>
      </c>
      <c r="F24" s="639">
        <f>+landbouw!E8</f>
        <v>25.312175150949106</v>
      </c>
      <c r="G24" s="639">
        <f>+landbouw!F8</f>
        <v>8551.550116424869</v>
      </c>
      <c r="H24" s="639">
        <f>+landbouw!G8</f>
        <v>0</v>
      </c>
      <c r="I24" s="639">
        <f>+landbouw!H8</f>
        <v>0</v>
      </c>
      <c r="J24" s="639">
        <f>+landbouw!I8</f>
        <v>0</v>
      </c>
      <c r="K24" s="639">
        <f>+landbouw!J8</f>
        <v>255.73065882622137</v>
      </c>
      <c r="L24" s="639">
        <f>+landbouw!K8</f>
        <v>0</v>
      </c>
      <c r="M24" s="639">
        <f>+landbouw!L8</f>
        <v>0</v>
      </c>
      <c r="N24" s="639">
        <f>+landbouw!M8</f>
        <v>0</v>
      </c>
      <c r="O24" s="639">
        <f>+landbouw!N8</f>
        <v>0</v>
      </c>
      <c r="P24" s="639">
        <f>+landbouw!O8</f>
        <v>0</v>
      </c>
      <c r="Q24" s="640">
        <f>+landbouw!P8</f>
        <v>0</v>
      </c>
      <c r="R24" s="642">
        <f>SUM(C24:Q24)</f>
        <v>32214.060056238275</v>
      </c>
      <c r="S24" s="68"/>
    </row>
    <row r="25" spans="1:19" s="443" customFormat="1" ht="15" thickBot="1">
      <c r="A25" s="775" t="s">
        <v>847</v>
      </c>
      <c r="B25" s="941"/>
      <c r="C25" s="942">
        <f>IF(Onbekend_ele_kWh="---",0,Onbekend_ele_kWh)/1000+IF(REST_rest_ele_kWh="---",0,REST_rest_ele_kWh)/1000</f>
        <v>535.947</v>
      </c>
      <c r="D25" s="942"/>
      <c r="E25" s="942">
        <f>IF(onbekend_gas_kWh="---",0,onbekend_gas_kWh)/1000+IF(REST_rest_gas_kWh="---",0,REST_rest_gas_kWh)/1000</f>
        <v>2536.1173097351102</v>
      </c>
      <c r="F25" s="942"/>
      <c r="G25" s="942"/>
      <c r="H25" s="942"/>
      <c r="I25" s="942"/>
      <c r="J25" s="942"/>
      <c r="K25" s="942"/>
      <c r="L25" s="942"/>
      <c r="M25" s="942"/>
      <c r="N25" s="942"/>
      <c r="O25" s="942"/>
      <c r="P25" s="942"/>
      <c r="Q25" s="943"/>
      <c r="R25" s="642">
        <f>SUM(C25:Q25)</f>
        <v>3072.0643097351103</v>
      </c>
      <c r="S25" s="68"/>
    </row>
    <row r="26" spans="1:19" s="443" customFormat="1" ht="15.75" thickBot="1">
      <c r="A26" s="645" t="s">
        <v>848</v>
      </c>
      <c r="B26" s="761"/>
      <c r="C26" s="756">
        <f>SUM(C24:C25)</f>
        <v>3099.1579999999999</v>
      </c>
      <c r="D26" s="756">
        <f t="shared" ref="D26:R26" si="2">SUM(D24:D25)</f>
        <v>12919.5</v>
      </c>
      <c r="E26" s="756">
        <f t="shared" si="2"/>
        <v>10434.873415571343</v>
      </c>
      <c r="F26" s="756">
        <f t="shared" si="2"/>
        <v>25.312175150949106</v>
      </c>
      <c r="G26" s="756">
        <f t="shared" si="2"/>
        <v>8551.550116424869</v>
      </c>
      <c r="H26" s="756">
        <f t="shared" si="2"/>
        <v>0</v>
      </c>
      <c r="I26" s="756">
        <f t="shared" si="2"/>
        <v>0</v>
      </c>
      <c r="J26" s="756">
        <f t="shared" si="2"/>
        <v>0</v>
      </c>
      <c r="K26" s="756">
        <f t="shared" si="2"/>
        <v>255.73065882622137</v>
      </c>
      <c r="L26" s="756">
        <f t="shared" si="2"/>
        <v>0</v>
      </c>
      <c r="M26" s="756">
        <f t="shared" si="2"/>
        <v>0</v>
      </c>
      <c r="N26" s="756">
        <f t="shared" si="2"/>
        <v>0</v>
      </c>
      <c r="O26" s="756">
        <f t="shared" si="2"/>
        <v>0</v>
      </c>
      <c r="P26" s="756">
        <f t="shared" si="2"/>
        <v>0</v>
      </c>
      <c r="Q26" s="756">
        <f t="shared" si="2"/>
        <v>0</v>
      </c>
      <c r="R26" s="756">
        <f t="shared" si="2"/>
        <v>35286.124365973388</v>
      </c>
      <c r="S26" s="68"/>
    </row>
    <row r="27" spans="1:19" s="443" customFormat="1" ht="17.25" thickTop="1" thickBot="1">
      <c r="A27" s="646" t="s">
        <v>109</v>
      </c>
      <c r="B27" s="748"/>
      <c r="C27" s="647">
        <f ca="1">C22+C16+C26</f>
        <v>64517.280192014186</v>
      </c>
      <c r="D27" s="647">
        <f t="shared" ref="D27:R27" ca="1" si="3">D22+D16+D26</f>
        <v>12954.857142857143</v>
      </c>
      <c r="E27" s="647">
        <f t="shared" ca="1" si="3"/>
        <v>99940.994341583471</v>
      </c>
      <c r="F27" s="647">
        <f t="shared" si="3"/>
        <v>2775.7164713658813</v>
      </c>
      <c r="G27" s="647">
        <f t="shared" ca="1" si="3"/>
        <v>52056.649506918882</v>
      </c>
      <c r="H27" s="647">
        <f t="shared" si="3"/>
        <v>205518.01073772885</v>
      </c>
      <c r="I27" s="647">
        <f t="shared" si="3"/>
        <v>32510.36135998528</v>
      </c>
      <c r="J27" s="647">
        <f t="shared" si="3"/>
        <v>0</v>
      </c>
      <c r="K27" s="647">
        <f t="shared" si="3"/>
        <v>922.92694714291429</v>
      </c>
      <c r="L27" s="647">
        <f t="shared" si="3"/>
        <v>0</v>
      </c>
      <c r="M27" s="647">
        <f t="shared" ca="1" si="3"/>
        <v>0</v>
      </c>
      <c r="N27" s="647">
        <f t="shared" si="3"/>
        <v>10633.375835578769</v>
      </c>
      <c r="O27" s="647">
        <f t="shared" ca="1" si="3"/>
        <v>13713.711109201704</v>
      </c>
      <c r="P27" s="647">
        <f t="shared" si="3"/>
        <v>65.660000000000011</v>
      </c>
      <c r="Q27" s="647">
        <f t="shared" si="3"/>
        <v>343.2</v>
      </c>
      <c r="R27" s="647">
        <f t="shared" ca="1" si="3"/>
        <v>495952.7436443771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3395.4662772960733</v>
      </c>
      <c r="D40" s="639">
        <f ca="1">tertiair!C20</f>
        <v>8.3620761623426692</v>
      </c>
      <c r="E40" s="639">
        <f ca="1">tertiair!D20</f>
        <v>3072.7414554541497</v>
      </c>
      <c r="F40" s="639">
        <f>tertiair!E20</f>
        <v>38.612958939963534</v>
      </c>
      <c r="G40" s="639">
        <f ca="1">tertiair!F20</f>
        <v>778.33512521374735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7293.517893066276</v>
      </c>
    </row>
    <row r="41" spans="1:18">
      <c r="A41" s="766" t="s">
        <v>214</v>
      </c>
      <c r="B41" s="773"/>
      <c r="C41" s="639">
        <f ca="1">huishoudens!B12</f>
        <v>5963.1994247652956</v>
      </c>
      <c r="D41" s="639">
        <f ca="1">huishoudens!C12</f>
        <v>0</v>
      </c>
      <c r="E41" s="639">
        <f>huishoudens!D12</f>
        <v>11573.543321378456</v>
      </c>
      <c r="F41" s="639">
        <f>huishoudens!E12</f>
        <v>271.96856686746946</v>
      </c>
      <c r="G41" s="639">
        <f>huishoudens!F12</f>
        <v>9752.5949058122533</v>
      </c>
      <c r="H41" s="639">
        <f>huishoudens!G12</f>
        <v>0</v>
      </c>
      <c r="I41" s="639">
        <f>huishoudens!H12</f>
        <v>0</v>
      </c>
      <c r="J41" s="639">
        <f>huishoudens!I12</f>
        <v>0</v>
      </c>
      <c r="K41" s="639">
        <f>huishoudens!J12</f>
        <v>234.61772455233682</v>
      </c>
      <c r="L41" s="639">
        <f>huishoudens!K12</f>
        <v>0</v>
      </c>
      <c r="M41" s="639">
        <f>huishoudens!L12</f>
        <v>0</v>
      </c>
      <c r="N41" s="639">
        <f>huishoudens!M12</f>
        <v>0</v>
      </c>
      <c r="O41" s="639">
        <f>huishoudens!N12</f>
        <v>0</v>
      </c>
      <c r="P41" s="639">
        <f>huishoudens!O12</f>
        <v>0</v>
      </c>
      <c r="Q41" s="714">
        <f>huishoudens!P12</f>
        <v>0</v>
      </c>
      <c r="R41" s="794">
        <f t="shared" ca="1" si="4"/>
        <v>27795.923943375808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3501.9664643815054</v>
      </c>
      <c r="D43" s="639">
        <f ca="1">industrie!C22</f>
        <v>0</v>
      </c>
      <c r="E43" s="639">
        <f>industrie!D22</f>
        <v>3431.464687799144</v>
      </c>
      <c r="F43" s="639">
        <f>industrie!E22</f>
        <v>109.56489916378672</v>
      </c>
      <c r="G43" s="639">
        <f>industrie!F22</f>
        <v>1084.9315062359019</v>
      </c>
      <c r="H43" s="639">
        <f>industrie!G22</f>
        <v>0</v>
      </c>
      <c r="I43" s="639">
        <f>industrie!H22</f>
        <v>0</v>
      </c>
      <c r="J43" s="639">
        <f>industrie!I22</f>
        <v>0</v>
      </c>
      <c r="K43" s="639">
        <f>industrie!J22</f>
        <v>1.5697615117724446</v>
      </c>
      <c r="L43" s="639">
        <f>industrie!K22</f>
        <v>0</v>
      </c>
      <c r="M43" s="639">
        <f>industrie!L22</f>
        <v>0</v>
      </c>
      <c r="N43" s="639">
        <f>industrie!M22</f>
        <v>0</v>
      </c>
      <c r="O43" s="639">
        <f>industrie!N22</f>
        <v>0</v>
      </c>
      <c r="P43" s="639">
        <f>industrie!O22</f>
        <v>0</v>
      </c>
      <c r="Q43" s="714">
        <f>industrie!P22</f>
        <v>0</v>
      </c>
      <c r="R43" s="793">
        <f t="shared" ca="1" si="4"/>
        <v>8129.49731909211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12860.632166442874</v>
      </c>
      <c r="D46" s="672">
        <f t="shared" ref="D46:Q46" ca="1" si="5">SUM(D39:D45)</f>
        <v>8.3620761623426692</v>
      </c>
      <c r="E46" s="672">
        <f t="shared" ca="1" si="5"/>
        <v>18077.74946463175</v>
      </c>
      <c r="F46" s="672">
        <f t="shared" si="5"/>
        <v>420.14642497121969</v>
      </c>
      <c r="G46" s="672">
        <f t="shared" ca="1" si="5"/>
        <v>11615.861537261902</v>
      </c>
      <c r="H46" s="672">
        <f t="shared" si="5"/>
        <v>0</v>
      </c>
      <c r="I46" s="672">
        <f t="shared" si="5"/>
        <v>0</v>
      </c>
      <c r="J46" s="672">
        <f t="shared" si="5"/>
        <v>0</v>
      </c>
      <c r="K46" s="672">
        <f t="shared" si="5"/>
        <v>236.18748606410927</v>
      </c>
      <c r="L46" s="672">
        <f t="shared" si="5"/>
        <v>0</v>
      </c>
      <c r="M46" s="672">
        <f t="shared" ca="1" si="5"/>
        <v>0</v>
      </c>
      <c r="N46" s="672">
        <f t="shared" si="5"/>
        <v>0</v>
      </c>
      <c r="O46" s="672">
        <f t="shared" ca="1" si="5"/>
        <v>0</v>
      </c>
      <c r="P46" s="672">
        <f t="shared" si="5"/>
        <v>0</v>
      </c>
      <c r="Q46" s="672">
        <f t="shared" si="5"/>
        <v>0</v>
      </c>
      <c r="R46" s="672">
        <f ca="1">SUM(R39:R45)</f>
        <v>43218.939155534194</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1.5314691624931056</v>
      </c>
      <c r="D49" s="639">
        <f ca="1">transport!C58</f>
        <v>0</v>
      </c>
      <c r="E49" s="639">
        <f>transport!D58</f>
        <v>0</v>
      </c>
      <c r="F49" s="639">
        <f>transport!E58</f>
        <v>0</v>
      </c>
      <c r="G49" s="639">
        <f>transport!F58</f>
        <v>0</v>
      </c>
      <c r="H49" s="639">
        <f>transport!G58</f>
        <v>389.37237836496348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390.90384752745661</v>
      </c>
    </row>
    <row r="50" spans="1:18">
      <c r="A50" s="769" t="s">
        <v>296</v>
      </c>
      <c r="B50" s="779"/>
      <c r="C50" s="948">
        <f ca="1">transport!B18</f>
        <v>2.2281346296014042</v>
      </c>
      <c r="D50" s="948">
        <f>transport!C18</f>
        <v>0</v>
      </c>
      <c r="E50" s="948">
        <f>transport!D18</f>
        <v>2.4869624227024643</v>
      </c>
      <c r="F50" s="948">
        <f>transport!E18</f>
        <v>204.19535026956984</v>
      </c>
      <c r="G50" s="948">
        <f>transport!F18</f>
        <v>0</v>
      </c>
      <c r="H50" s="948">
        <f>transport!G18</f>
        <v>54483.936488608641</v>
      </c>
      <c r="I50" s="948">
        <f>transport!H18</f>
        <v>8095.079978636335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62787.926914566851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3.7596037920945098</v>
      </c>
      <c r="D52" s="672">
        <f t="shared" ref="D52:Q52" ca="1" si="6">SUM(D48:D51)</f>
        <v>0</v>
      </c>
      <c r="E52" s="672">
        <f t="shared" si="6"/>
        <v>2.4869624227024643</v>
      </c>
      <c r="F52" s="672">
        <f t="shared" si="6"/>
        <v>204.19535026956984</v>
      </c>
      <c r="G52" s="672">
        <f t="shared" si="6"/>
        <v>0</v>
      </c>
      <c r="H52" s="672">
        <f t="shared" si="6"/>
        <v>54873.308866973603</v>
      </c>
      <c r="I52" s="672">
        <f t="shared" si="6"/>
        <v>8095.079978636335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63178.830762094309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536.87982173546766</v>
      </c>
      <c r="D54" s="948">
        <f ca="1">+landbouw!C12</f>
        <v>3055.5026297200106</v>
      </c>
      <c r="E54" s="948">
        <f>+landbouw!D12</f>
        <v>1595.5487333789192</v>
      </c>
      <c r="F54" s="948">
        <f>+landbouw!E12</f>
        <v>5.7458637592654469</v>
      </c>
      <c r="G54" s="948">
        <f>+landbouw!F12</f>
        <v>2283.2638810854401</v>
      </c>
      <c r="H54" s="948">
        <f>+landbouw!G12</f>
        <v>0</v>
      </c>
      <c r="I54" s="948">
        <f>+landbouw!H12</f>
        <v>0</v>
      </c>
      <c r="J54" s="948">
        <f>+landbouw!I12</f>
        <v>0</v>
      </c>
      <c r="K54" s="948">
        <f>+landbouw!J12</f>
        <v>90.528653224482355</v>
      </c>
      <c r="L54" s="948">
        <f>+landbouw!K12</f>
        <v>0</v>
      </c>
      <c r="M54" s="948">
        <f>+landbouw!L12</f>
        <v>0</v>
      </c>
      <c r="N54" s="948">
        <f>+landbouw!M12</f>
        <v>0</v>
      </c>
      <c r="O54" s="948">
        <f>+landbouw!N12</f>
        <v>0</v>
      </c>
      <c r="P54" s="948">
        <f>+landbouw!O12</f>
        <v>0</v>
      </c>
      <c r="Q54" s="949">
        <f>+landbouw!P12</f>
        <v>0</v>
      </c>
      <c r="R54" s="671">
        <f ca="1">SUM(C54:Q54)</f>
        <v>7567.4695829035845</v>
      </c>
    </row>
    <row r="55" spans="1:18" ht="15" thickBot="1">
      <c r="A55" s="769" t="s">
        <v>847</v>
      </c>
      <c r="B55" s="779"/>
      <c r="C55" s="948">
        <f ca="1">C25*'EF ele_warmte'!B12</f>
        <v>112.25729361322914</v>
      </c>
      <c r="D55" s="948"/>
      <c r="E55" s="948">
        <f>E25*EF_CO2_aardgas</f>
        <v>512.29569656649232</v>
      </c>
      <c r="F55" s="948"/>
      <c r="G55" s="948"/>
      <c r="H55" s="948"/>
      <c r="I55" s="948"/>
      <c r="J55" s="948"/>
      <c r="K55" s="948"/>
      <c r="L55" s="948"/>
      <c r="M55" s="948"/>
      <c r="N55" s="948"/>
      <c r="O55" s="948"/>
      <c r="P55" s="948"/>
      <c r="Q55" s="949"/>
      <c r="R55" s="671">
        <f ca="1">SUM(C55:Q55)</f>
        <v>624.55299017972152</v>
      </c>
    </row>
    <row r="56" spans="1:18" ht="15.75" thickBot="1">
      <c r="A56" s="767" t="s">
        <v>848</v>
      </c>
      <c r="B56" s="780"/>
      <c r="C56" s="672">
        <f ca="1">SUM(C54:C55)</f>
        <v>649.13711534869685</v>
      </c>
      <c r="D56" s="672">
        <f t="shared" ref="D56:Q56" ca="1" si="7">SUM(D54:D55)</f>
        <v>3055.5026297200106</v>
      </c>
      <c r="E56" s="672">
        <f t="shared" si="7"/>
        <v>2107.8444299454113</v>
      </c>
      <c r="F56" s="672">
        <f t="shared" si="7"/>
        <v>5.7458637592654469</v>
      </c>
      <c r="G56" s="672">
        <f t="shared" si="7"/>
        <v>2283.2638810854401</v>
      </c>
      <c r="H56" s="672">
        <f t="shared" si="7"/>
        <v>0</v>
      </c>
      <c r="I56" s="672">
        <f t="shared" si="7"/>
        <v>0</v>
      </c>
      <c r="J56" s="672">
        <f t="shared" si="7"/>
        <v>0</v>
      </c>
      <c r="K56" s="672">
        <f t="shared" si="7"/>
        <v>90.528653224482355</v>
      </c>
      <c r="L56" s="672">
        <f t="shared" si="7"/>
        <v>0</v>
      </c>
      <c r="M56" s="672">
        <f t="shared" si="7"/>
        <v>0</v>
      </c>
      <c r="N56" s="672">
        <f t="shared" si="7"/>
        <v>0</v>
      </c>
      <c r="O56" s="672">
        <f t="shared" si="7"/>
        <v>0</v>
      </c>
      <c r="P56" s="672">
        <f t="shared" si="7"/>
        <v>0</v>
      </c>
      <c r="Q56" s="673">
        <f t="shared" si="7"/>
        <v>0</v>
      </c>
      <c r="R56" s="674">
        <f ca="1">SUM(R54:R55)</f>
        <v>8192.0225730833063</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13513.528885583664</v>
      </c>
      <c r="D61" s="680">
        <f t="shared" ref="D61:Q61" ca="1" si="8">D46+D52+D56</f>
        <v>3063.8647058823535</v>
      </c>
      <c r="E61" s="680">
        <f t="shared" ca="1" si="8"/>
        <v>20188.080856999863</v>
      </c>
      <c r="F61" s="680">
        <f t="shared" si="8"/>
        <v>630.08763900005499</v>
      </c>
      <c r="G61" s="680">
        <f t="shared" ca="1" si="8"/>
        <v>13899.125418347343</v>
      </c>
      <c r="H61" s="680">
        <f t="shared" si="8"/>
        <v>54873.308866973603</v>
      </c>
      <c r="I61" s="680">
        <f t="shared" si="8"/>
        <v>8095.079978636335</v>
      </c>
      <c r="J61" s="680">
        <f t="shared" si="8"/>
        <v>0</v>
      </c>
      <c r="K61" s="680">
        <f t="shared" si="8"/>
        <v>326.71613928859165</v>
      </c>
      <c r="L61" s="680">
        <f t="shared" si="8"/>
        <v>0</v>
      </c>
      <c r="M61" s="680">
        <f t="shared" ca="1" si="8"/>
        <v>0</v>
      </c>
      <c r="N61" s="680">
        <f t="shared" si="8"/>
        <v>0</v>
      </c>
      <c r="O61" s="680">
        <f t="shared" ca="1" si="8"/>
        <v>0</v>
      </c>
      <c r="P61" s="680">
        <f t="shared" si="8"/>
        <v>0</v>
      </c>
      <c r="Q61" s="680">
        <f t="shared" si="8"/>
        <v>0</v>
      </c>
      <c r="R61" s="680">
        <f ca="1">R46+R52+R56</f>
        <v>114589.7924907118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0.20945596040882611</v>
      </c>
      <c r="D63" s="724">
        <f t="shared" ca="1" si="9"/>
        <v>0.23650316418746939</v>
      </c>
      <c r="E63" s="950">
        <f t="shared" ca="1" si="9"/>
        <v>0.20200000000000001</v>
      </c>
      <c r="F63" s="724">
        <f t="shared" si="9"/>
        <v>0.22699999999999998</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4006.2395066475847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43.649999999999991</v>
      </c>
      <c r="C76" s="690">
        <f>'lokale energieproductie'!B8*IFERROR(SUM(D76:H76)/SUM(D76:O76),0)</f>
        <v>9024.75</v>
      </c>
      <c r="D76" s="960">
        <f>'lokale energieproductie'!C8</f>
        <v>10617.352941176472</v>
      </c>
      <c r="E76" s="961">
        <f>'lokale energieproductie'!D8</f>
        <v>0</v>
      </c>
      <c r="F76" s="961">
        <f>'lokale energieproductie'!E8</f>
        <v>0</v>
      </c>
      <c r="G76" s="961">
        <f>'lokale energieproductie'!F8</f>
        <v>0</v>
      </c>
      <c r="H76" s="961">
        <f>'lokale energieproductie'!G8</f>
        <v>0</v>
      </c>
      <c r="I76" s="961">
        <f>'lokale energieproductie'!I8</f>
        <v>0</v>
      </c>
      <c r="J76" s="961">
        <f>'lokale energieproductie'!J8</f>
        <v>51.35294117647058</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2144.7052941176476</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4049.8895066475848</v>
      </c>
      <c r="C78" s="695">
        <f>SUM(C72:C77)</f>
        <v>9024.75</v>
      </c>
      <c r="D78" s="696">
        <f t="shared" ref="D78:H78" si="10">SUM(D76:D77)</f>
        <v>10617.352941176472</v>
      </c>
      <c r="E78" s="696">
        <f t="shared" si="10"/>
        <v>0</v>
      </c>
      <c r="F78" s="696">
        <f t="shared" si="10"/>
        <v>0</v>
      </c>
      <c r="G78" s="696">
        <f t="shared" si="10"/>
        <v>0</v>
      </c>
      <c r="H78" s="696">
        <f t="shared" si="10"/>
        <v>0</v>
      </c>
      <c r="I78" s="696">
        <f>SUM(I76:I77)</f>
        <v>0</v>
      </c>
      <c r="J78" s="696">
        <f>SUM(J76:J77)</f>
        <v>51.35294117647058</v>
      </c>
      <c r="K78" s="696">
        <f t="shared" ref="K78:L78" si="11">SUM(K76:K77)</f>
        <v>0</v>
      </c>
      <c r="L78" s="696">
        <f t="shared" si="11"/>
        <v>0</v>
      </c>
      <c r="M78" s="696">
        <f>SUM(M76:M77)</f>
        <v>0</v>
      </c>
      <c r="N78" s="696">
        <f>SUM(N76:N77)</f>
        <v>0</v>
      </c>
      <c r="O78" s="804">
        <f>SUM(O76:O77)</f>
        <v>0</v>
      </c>
      <c r="P78" s="697">
        <v>0</v>
      </c>
      <c r="Q78" s="697">
        <f>SUM(Q76:Q77)</f>
        <v>2144.7052941176476</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62.357142857142833</v>
      </c>
      <c r="C87" s="706">
        <f>'lokale energieproductie'!B17*IFERROR(SUM(D87:H87)/SUM(D87:O87),0)</f>
        <v>12892.5</v>
      </c>
      <c r="D87" s="717">
        <f>'lokale energieproductie'!C17</f>
        <v>15167.647058823532</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73.361344537815114</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3063.8647058823535</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62.357142857142833</v>
      </c>
      <c r="C90" s="695">
        <f>SUM(C87:C89)</f>
        <v>12892.5</v>
      </c>
      <c r="D90" s="695">
        <f t="shared" ref="D90:H90" si="12">SUM(D87:D89)</f>
        <v>15167.647058823532</v>
      </c>
      <c r="E90" s="695">
        <f t="shared" si="12"/>
        <v>0</v>
      </c>
      <c r="F90" s="695">
        <f t="shared" si="12"/>
        <v>0</v>
      </c>
      <c r="G90" s="695">
        <f t="shared" si="12"/>
        <v>0</v>
      </c>
      <c r="H90" s="695">
        <f t="shared" si="12"/>
        <v>0</v>
      </c>
      <c r="I90" s="695">
        <f>SUM(I87:I89)</f>
        <v>0</v>
      </c>
      <c r="J90" s="695">
        <f>SUM(J87:J89)</f>
        <v>73.361344537815114</v>
      </c>
      <c r="K90" s="695">
        <f t="shared" ref="K90:L90" si="13">SUM(K87:K89)</f>
        <v>0</v>
      </c>
      <c r="L90" s="695">
        <f t="shared" si="13"/>
        <v>0</v>
      </c>
      <c r="M90" s="695">
        <f>SUM(M87:M89)</f>
        <v>0</v>
      </c>
      <c r="N90" s="695">
        <f>SUM(N87:N89)</f>
        <v>0</v>
      </c>
      <c r="O90" s="695">
        <f>SUM(O87:O89)</f>
        <v>0</v>
      </c>
      <c r="P90" s="695">
        <v>0</v>
      </c>
      <c r="Q90" s="695">
        <f>SUM(Q87:Q89)</f>
        <v>3063.8647058823535</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28469.943815998544</v>
      </c>
      <c r="C4" s="447">
        <f>huishoudens!C8</f>
        <v>0</v>
      </c>
      <c r="D4" s="447">
        <f>huishoudens!D8</f>
        <v>57294.768917715126</v>
      </c>
      <c r="E4" s="447">
        <f>huishoudens!E8</f>
        <v>1198.0994135130813</v>
      </c>
      <c r="F4" s="447">
        <f>huishoudens!F8</f>
        <v>36526.572680944766</v>
      </c>
      <c r="G4" s="447">
        <f>huishoudens!G8</f>
        <v>0</v>
      </c>
      <c r="H4" s="447">
        <f>huishoudens!H8</f>
        <v>0</v>
      </c>
      <c r="I4" s="447">
        <f>huishoudens!I8</f>
        <v>0</v>
      </c>
      <c r="J4" s="447">
        <f>huishoudens!J8</f>
        <v>662.76193376366336</v>
      </c>
      <c r="K4" s="447">
        <f>huishoudens!K8</f>
        <v>0</v>
      </c>
      <c r="L4" s="447">
        <f>huishoudens!L8</f>
        <v>0</v>
      </c>
      <c r="M4" s="447">
        <f>huishoudens!M8</f>
        <v>0</v>
      </c>
      <c r="N4" s="447">
        <f>huishoudens!N8</f>
        <v>7784.9477188579604</v>
      </c>
      <c r="O4" s="447">
        <f>huishoudens!O8</f>
        <v>65.660000000000011</v>
      </c>
      <c r="P4" s="448">
        <f>huishoudens!P8</f>
        <v>305.06666666666666</v>
      </c>
      <c r="Q4" s="449">
        <f>SUM(B4:P4)</f>
        <v>132307.82114745982</v>
      </c>
    </row>
    <row r="5" spans="1:17">
      <c r="A5" s="446" t="s">
        <v>149</v>
      </c>
      <c r="B5" s="447">
        <f ca="1">tertiair!B16</f>
        <v>15150.16</v>
      </c>
      <c r="C5" s="447">
        <f ca="1">tertiair!C16</f>
        <v>35.357142857142861</v>
      </c>
      <c r="D5" s="447">
        <f ca="1">tertiair!D16</f>
        <v>15211.591363634403</v>
      </c>
      <c r="E5" s="447">
        <f>tertiair!E16</f>
        <v>170.10114070468518</v>
      </c>
      <c r="F5" s="447">
        <f ca="1">tertiair!F16</f>
        <v>2915.1128285159075</v>
      </c>
      <c r="G5" s="447">
        <f>tertiair!G16</f>
        <v>0</v>
      </c>
      <c r="H5" s="447">
        <f>tertiair!H16</f>
        <v>0</v>
      </c>
      <c r="I5" s="447">
        <f>tertiair!I16</f>
        <v>0</v>
      </c>
      <c r="J5" s="447">
        <f>tertiair!J16</f>
        <v>0</v>
      </c>
      <c r="K5" s="447">
        <f>tertiair!K16</f>
        <v>0</v>
      </c>
      <c r="L5" s="447">
        <f ca="1">tertiair!L16</f>
        <v>0</v>
      </c>
      <c r="M5" s="447">
        <f>tertiair!M16</f>
        <v>0</v>
      </c>
      <c r="N5" s="447">
        <f ca="1">tertiair!N16</f>
        <v>780.49212400436318</v>
      </c>
      <c r="O5" s="447">
        <f>tertiair!O16</f>
        <v>0</v>
      </c>
      <c r="P5" s="448">
        <f>tertiair!P16</f>
        <v>38.133333333333333</v>
      </c>
      <c r="Q5" s="446">
        <f t="shared" ref="Q5:Q14" ca="1" si="0">SUM(B5:P5)</f>
        <v>34300.947933049836</v>
      </c>
    </row>
    <row r="6" spans="1:17">
      <c r="A6" s="446" t="s">
        <v>187</v>
      </c>
      <c r="B6" s="447">
        <f>'openbare verlichting'!B8</f>
        <v>1060.7239999999999</v>
      </c>
      <c r="C6" s="447"/>
      <c r="D6" s="447"/>
      <c r="E6" s="447"/>
      <c r="F6" s="447"/>
      <c r="G6" s="447"/>
      <c r="H6" s="447"/>
      <c r="I6" s="447"/>
      <c r="J6" s="447"/>
      <c r="K6" s="447"/>
      <c r="L6" s="447"/>
      <c r="M6" s="447"/>
      <c r="N6" s="447"/>
      <c r="O6" s="447"/>
      <c r="P6" s="448"/>
      <c r="Q6" s="446">
        <f t="shared" si="0"/>
        <v>1060.7239999999999</v>
      </c>
    </row>
    <row r="7" spans="1:17">
      <c r="A7" s="446" t="s">
        <v>105</v>
      </c>
      <c r="B7" s="447">
        <f>landbouw!B8</f>
        <v>2563.2109999999998</v>
      </c>
      <c r="C7" s="447">
        <f>landbouw!C8</f>
        <v>12919.5</v>
      </c>
      <c r="D7" s="447">
        <f>landbouw!D8</f>
        <v>7898.7561058362335</v>
      </c>
      <c r="E7" s="447">
        <f>landbouw!E8</f>
        <v>25.312175150949106</v>
      </c>
      <c r="F7" s="447">
        <f>landbouw!F8</f>
        <v>8551.550116424869</v>
      </c>
      <c r="G7" s="447">
        <f>landbouw!G8</f>
        <v>0</v>
      </c>
      <c r="H7" s="447">
        <f>landbouw!H8</f>
        <v>0</v>
      </c>
      <c r="I7" s="447">
        <f>landbouw!I8</f>
        <v>0</v>
      </c>
      <c r="J7" s="447">
        <f>landbouw!J8</f>
        <v>255.73065882622137</v>
      </c>
      <c r="K7" s="447">
        <f>landbouw!K8</f>
        <v>0</v>
      </c>
      <c r="L7" s="447">
        <f>landbouw!L8</f>
        <v>0</v>
      </c>
      <c r="M7" s="447">
        <f>landbouw!M8</f>
        <v>0</v>
      </c>
      <c r="N7" s="447">
        <f>landbouw!N8</f>
        <v>0</v>
      </c>
      <c r="O7" s="447">
        <f>landbouw!O8</f>
        <v>0</v>
      </c>
      <c r="P7" s="448">
        <f>landbouw!P8</f>
        <v>0</v>
      </c>
      <c r="Q7" s="446">
        <f t="shared" si="0"/>
        <v>32214.060056238275</v>
      </c>
    </row>
    <row r="8" spans="1:17">
      <c r="A8" s="446" t="s">
        <v>640</v>
      </c>
      <c r="B8" s="447">
        <f>industrie!B18</f>
        <v>16719.345000000001</v>
      </c>
      <c r="C8" s="447">
        <f>industrie!C18</f>
        <v>0</v>
      </c>
      <c r="D8" s="447">
        <f>industrie!D18</f>
        <v>16987.448949500711</v>
      </c>
      <c r="E8" s="447">
        <f>industrie!E18</f>
        <v>482.66475402549213</v>
      </c>
      <c r="F8" s="447">
        <f>industrie!F18</f>
        <v>4063.4138810333407</v>
      </c>
      <c r="G8" s="447">
        <f>industrie!G18</f>
        <v>0</v>
      </c>
      <c r="H8" s="447">
        <f>industrie!H18</f>
        <v>0</v>
      </c>
      <c r="I8" s="447">
        <f>industrie!I18</f>
        <v>0</v>
      </c>
      <c r="J8" s="447">
        <f>industrie!J18</f>
        <v>4.4343545530295048</v>
      </c>
      <c r="K8" s="447">
        <f>industrie!K18</f>
        <v>0</v>
      </c>
      <c r="L8" s="447">
        <f>industrie!L18</f>
        <v>0</v>
      </c>
      <c r="M8" s="447">
        <f>industrie!M18</f>
        <v>0</v>
      </c>
      <c r="N8" s="447">
        <f>industrie!N18</f>
        <v>5148.2712663393804</v>
      </c>
      <c r="O8" s="447">
        <f>industrie!O18</f>
        <v>0</v>
      </c>
      <c r="P8" s="448">
        <f>industrie!P18</f>
        <v>0</v>
      </c>
      <c r="Q8" s="446">
        <f t="shared" si="0"/>
        <v>43405.578205451959</v>
      </c>
    </row>
    <row r="9" spans="1:17" s="452" customFormat="1">
      <c r="A9" s="450" t="s">
        <v>560</v>
      </c>
      <c r="B9" s="451">
        <f>transport!B14</f>
        <v>10.637723678296977</v>
      </c>
      <c r="C9" s="451">
        <f>transport!C14</f>
        <v>0</v>
      </c>
      <c r="D9" s="451">
        <f>transport!D14</f>
        <v>12.311695161893386</v>
      </c>
      <c r="E9" s="451">
        <f>transport!E14</f>
        <v>899.53898797167324</v>
      </c>
      <c r="F9" s="451">
        <f>transport!F14</f>
        <v>0</v>
      </c>
      <c r="G9" s="451">
        <f>transport!G14</f>
        <v>204059.68722325334</v>
      </c>
      <c r="H9" s="451">
        <f>transport!H14</f>
        <v>32510.36135998528</v>
      </c>
      <c r="I9" s="451">
        <f>transport!I14</f>
        <v>0</v>
      </c>
      <c r="J9" s="451">
        <f>transport!J14</f>
        <v>0</v>
      </c>
      <c r="K9" s="451">
        <f>transport!K14</f>
        <v>0</v>
      </c>
      <c r="L9" s="451">
        <f>transport!L14</f>
        <v>0</v>
      </c>
      <c r="M9" s="451">
        <f>transport!M14</f>
        <v>10568.919489416094</v>
      </c>
      <c r="N9" s="451">
        <f>transport!N14</f>
        <v>0</v>
      </c>
      <c r="O9" s="451">
        <f>transport!O14</f>
        <v>0</v>
      </c>
      <c r="P9" s="451">
        <f>transport!P14</f>
        <v>0</v>
      </c>
      <c r="Q9" s="450">
        <f>SUM(B9:P9)</f>
        <v>248061.45647946658</v>
      </c>
    </row>
    <row r="10" spans="1:17">
      <c r="A10" s="446" t="s">
        <v>550</v>
      </c>
      <c r="B10" s="447">
        <f>transport!B54</f>
        <v>7.3116523373405613</v>
      </c>
      <c r="C10" s="447">
        <f>transport!C54</f>
        <v>0</v>
      </c>
      <c r="D10" s="447">
        <f>transport!D54</f>
        <v>0</v>
      </c>
      <c r="E10" s="447">
        <f>transport!E54</f>
        <v>0</v>
      </c>
      <c r="F10" s="447">
        <f>transport!F54</f>
        <v>0</v>
      </c>
      <c r="G10" s="447">
        <f>transport!G54</f>
        <v>1458.3235144755186</v>
      </c>
      <c r="H10" s="447">
        <f>transport!H54</f>
        <v>0</v>
      </c>
      <c r="I10" s="447">
        <f>transport!I54</f>
        <v>0</v>
      </c>
      <c r="J10" s="447">
        <f>transport!J54</f>
        <v>0</v>
      </c>
      <c r="K10" s="447">
        <f>transport!K54</f>
        <v>0</v>
      </c>
      <c r="L10" s="447">
        <f>transport!L54</f>
        <v>0</v>
      </c>
      <c r="M10" s="447">
        <f>transport!M54</f>
        <v>64.456346162675715</v>
      </c>
      <c r="N10" s="447">
        <f>transport!N54</f>
        <v>0</v>
      </c>
      <c r="O10" s="447">
        <f>transport!O54</f>
        <v>0</v>
      </c>
      <c r="P10" s="448">
        <f>transport!P54</f>
        <v>0</v>
      </c>
      <c r="Q10" s="446">
        <f t="shared" si="0"/>
        <v>1530.0915129755349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535.947</v>
      </c>
      <c r="C14" s="454"/>
      <c r="D14" s="454">
        <f>'SEAP template'!E25</f>
        <v>2536.1173097351102</v>
      </c>
      <c r="E14" s="454"/>
      <c r="F14" s="454"/>
      <c r="G14" s="454"/>
      <c r="H14" s="454"/>
      <c r="I14" s="454"/>
      <c r="J14" s="454"/>
      <c r="K14" s="454"/>
      <c r="L14" s="454"/>
      <c r="M14" s="454"/>
      <c r="N14" s="454"/>
      <c r="O14" s="454"/>
      <c r="P14" s="455"/>
      <c r="Q14" s="446">
        <f t="shared" si="0"/>
        <v>3072.0643097351103</v>
      </c>
    </row>
    <row r="15" spans="1:17" s="459" customFormat="1">
      <c r="A15" s="456" t="s">
        <v>554</v>
      </c>
      <c r="B15" s="457">
        <f ca="1">SUM(B4:B14)</f>
        <v>64517.280192014186</v>
      </c>
      <c r="C15" s="457">
        <f t="shared" ref="C15:Q15" ca="1" si="1">SUM(C4:C14)</f>
        <v>12954.857142857143</v>
      </c>
      <c r="D15" s="457">
        <f t="shared" ca="1" si="1"/>
        <v>99940.994341583471</v>
      </c>
      <c r="E15" s="457">
        <f t="shared" si="1"/>
        <v>2775.7164713658808</v>
      </c>
      <c r="F15" s="457">
        <f t="shared" ca="1" si="1"/>
        <v>52056.649506918882</v>
      </c>
      <c r="G15" s="457">
        <f t="shared" si="1"/>
        <v>205518.01073772885</v>
      </c>
      <c r="H15" s="457">
        <f t="shared" si="1"/>
        <v>32510.36135998528</v>
      </c>
      <c r="I15" s="457">
        <f t="shared" si="1"/>
        <v>0</v>
      </c>
      <c r="J15" s="457">
        <f t="shared" si="1"/>
        <v>922.92694714291417</v>
      </c>
      <c r="K15" s="457">
        <f t="shared" si="1"/>
        <v>0</v>
      </c>
      <c r="L15" s="457">
        <f t="shared" ca="1" si="1"/>
        <v>0</v>
      </c>
      <c r="M15" s="457">
        <f t="shared" si="1"/>
        <v>10633.375835578769</v>
      </c>
      <c r="N15" s="457">
        <f t="shared" ca="1" si="1"/>
        <v>13713.711109201704</v>
      </c>
      <c r="O15" s="457">
        <f t="shared" si="1"/>
        <v>65.660000000000011</v>
      </c>
      <c r="P15" s="457">
        <f t="shared" si="1"/>
        <v>343.2</v>
      </c>
      <c r="Q15" s="457">
        <f t="shared" ca="1" si="1"/>
        <v>495952.74364437704</v>
      </c>
    </row>
    <row r="17" spans="1:17">
      <c r="A17" s="460" t="s">
        <v>555</v>
      </c>
      <c r="B17" s="729">
        <f ca="1">huishoudens!B10</f>
        <v>0.20945596040882614</v>
      </c>
      <c r="C17" s="729">
        <f ca="1">huishoudens!C10</f>
        <v>0.23650316418746939</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5963.1994247652956</v>
      </c>
      <c r="C22" s="447">
        <f t="shared" ref="C22:C32" ca="1" si="3">C4*$C$17</f>
        <v>0</v>
      </c>
      <c r="D22" s="447">
        <f t="shared" ref="D22:D32" si="4">D4*$D$17</f>
        <v>11573.543321378456</v>
      </c>
      <c r="E22" s="447">
        <f t="shared" ref="E22:E32" si="5">E4*$E$17</f>
        <v>271.96856686746946</v>
      </c>
      <c r="F22" s="447">
        <f t="shared" ref="F22:F32" si="6">F4*$F$17</f>
        <v>9752.5949058122533</v>
      </c>
      <c r="G22" s="447">
        <f t="shared" ref="G22:G32" si="7">G4*$G$17</f>
        <v>0</v>
      </c>
      <c r="H22" s="447">
        <f t="shared" ref="H22:H32" si="8">H4*$H$17</f>
        <v>0</v>
      </c>
      <c r="I22" s="447">
        <f t="shared" ref="I22:I32" si="9">I4*$I$17</f>
        <v>0</v>
      </c>
      <c r="J22" s="447">
        <f t="shared" ref="J22:J32" si="10">J4*$J$17</f>
        <v>234.61772455233682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27795.923943375808</v>
      </c>
    </row>
    <row r="23" spans="1:17">
      <c r="A23" s="446" t="s">
        <v>149</v>
      </c>
      <c r="B23" s="447">
        <f t="shared" ca="1" si="2"/>
        <v>3173.2913131473815</v>
      </c>
      <c r="C23" s="447">
        <f t="shared" ca="1" si="3"/>
        <v>8.3620761623426692</v>
      </c>
      <c r="D23" s="447">
        <f t="shared" ca="1" si="4"/>
        <v>3072.7414554541497</v>
      </c>
      <c r="E23" s="447">
        <f t="shared" si="5"/>
        <v>38.612958939963534</v>
      </c>
      <c r="F23" s="447">
        <f t="shared" ca="1" si="6"/>
        <v>778.33512521374735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7071.3429289175847</v>
      </c>
    </row>
    <row r="24" spans="1:17">
      <c r="A24" s="446" t="s">
        <v>187</v>
      </c>
      <c r="B24" s="447">
        <f t="shared" ca="1" si="2"/>
        <v>222.17496414869169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222.17496414869169</v>
      </c>
    </row>
    <row r="25" spans="1:17">
      <c r="A25" s="446" t="s">
        <v>105</v>
      </c>
      <c r="B25" s="447">
        <f t="shared" ca="1" si="2"/>
        <v>536.87982173546766</v>
      </c>
      <c r="C25" s="447">
        <f t="shared" ca="1" si="3"/>
        <v>3055.5026297200106</v>
      </c>
      <c r="D25" s="447">
        <f t="shared" si="4"/>
        <v>1595.5487333789192</v>
      </c>
      <c r="E25" s="447">
        <f t="shared" si="5"/>
        <v>5.7458637592654469</v>
      </c>
      <c r="F25" s="447">
        <f t="shared" si="6"/>
        <v>2283.2638810854401</v>
      </c>
      <c r="G25" s="447">
        <f t="shared" si="7"/>
        <v>0</v>
      </c>
      <c r="H25" s="447">
        <f t="shared" si="8"/>
        <v>0</v>
      </c>
      <c r="I25" s="447">
        <f t="shared" si="9"/>
        <v>0</v>
      </c>
      <c r="J25" s="447">
        <f t="shared" si="10"/>
        <v>90.528653224482355</v>
      </c>
      <c r="K25" s="447">
        <f t="shared" si="11"/>
        <v>0</v>
      </c>
      <c r="L25" s="447">
        <f t="shared" si="12"/>
        <v>0</v>
      </c>
      <c r="M25" s="447">
        <f t="shared" si="13"/>
        <v>0</v>
      </c>
      <c r="N25" s="447">
        <f t="shared" si="14"/>
        <v>0</v>
      </c>
      <c r="O25" s="447">
        <f t="shared" si="15"/>
        <v>0</v>
      </c>
      <c r="P25" s="448">
        <f t="shared" si="16"/>
        <v>0</v>
      </c>
      <c r="Q25" s="446">
        <f t="shared" ca="1" si="17"/>
        <v>7567.4695829035845</v>
      </c>
    </row>
    <row r="26" spans="1:17">
      <c r="A26" s="446" t="s">
        <v>640</v>
      </c>
      <c r="B26" s="447">
        <f t="shared" ca="1" si="2"/>
        <v>3501.9664643815054</v>
      </c>
      <c r="C26" s="447">
        <f t="shared" ca="1" si="3"/>
        <v>0</v>
      </c>
      <c r="D26" s="447">
        <f t="shared" si="4"/>
        <v>3431.464687799144</v>
      </c>
      <c r="E26" s="447">
        <f t="shared" si="5"/>
        <v>109.56489916378672</v>
      </c>
      <c r="F26" s="447">
        <f t="shared" si="6"/>
        <v>1084.9315062359019</v>
      </c>
      <c r="G26" s="447">
        <f t="shared" si="7"/>
        <v>0</v>
      </c>
      <c r="H26" s="447">
        <f t="shared" si="8"/>
        <v>0</v>
      </c>
      <c r="I26" s="447">
        <f t="shared" si="9"/>
        <v>0</v>
      </c>
      <c r="J26" s="447">
        <f t="shared" si="10"/>
        <v>1.5697615117724446</v>
      </c>
      <c r="K26" s="447">
        <f t="shared" si="11"/>
        <v>0</v>
      </c>
      <c r="L26" s="447">
        <f t="shared" si="12"/>
        <v>0</v>
      </c>
      <c r="M26" s="447">
        <f t="shared" si="13"/>
        <v>0</v>
      </c>
      <c r="N26" s="447">
        <f t="shared" si="14"/>
        <v>0</v>
      </c>
      <c r="O26" s="447">
        <f t="shared" si="15"/>
        <v>0</v>
      </c>
      <c r="P26" s="448">
        <f t="shared" si="16"/>
        <v>0</v>
      </c>
      <c r="Q26" s="446">
        <f t="shared" ca="1" si="17"/>
        <v>8129.49731909211</v>
      </c>
    </row>
    <row r="27" spans="1:17" s="452" customFormat="1">
      <c r="A27" s="450" t="s">
        <v>560</v>
      </c>
      <c r="B27" s="723">
        <f t="shared" ca="1" si="2"/>
        <v>2.2281346296014042</v>
      </c>
      <c r="C27" s="451">
        <f t="shared" ca="1" si="3"/>
        <v>0</v>
      </c>
      <c r="D27" s="451">
        <f t="shared" si="4"/>
        <v>2.4869624227024643</v>
      </c>
      <c r="E27" s="451">
        <f t="shared" si="5"/>
        <v>204.19535026956984</v>
      </c>
      <c r="F27" s="451">
        <f t="shared" si="6"/>
        <v>0</v>
      </c>
      <c r="G27" s="451">
        <f t="shared" si="7"/>
        <v>54483.936488608641</v>
      </c>
      <c r="H27" s="451">
        <f t="shared" si="8"/>
        <v>8095.079978636335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62787.926914566851</v>
      </c>
    </row>
    <row r="28" spans="1:17">
      <c r="A28" s="446" t="s">
        <v>550</v>
      </c>
      <c r="B28" s="447">
        <f t="shared" ca="1" si="2"/>
        <v>1.5314691624931056</v>
      </c>
      <c r="C28" s="447">
        <f t="shared" ca="1" si="3"/>
        <v>0</v>
      </c>
      <c r="D28" s="447">
        <f t="shared" si="4"/>
        <v>0</v>
      </c>
      <c r="E28" s="447">
        <f t="shared" si="5"/>
        <v>0</v>
      </c>
      <c r="F28" s="447">
        <f t="shared" si="6"/>
        <v>0</v>
      </c>
      <c r="G28" s="447">
        <f t="shared" si="7"/>
        <v>389.37237836496348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390.90384752745661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112.25729361322914</v>
      </c>
      <c r="C32" s="447">
        <f t="shared" ca="1" si="3"/>
        <v>0</v>
      </c>
      <c r="D32" s="447">
        <f t="shared" si="4"/>
        <v>512.29569656649232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624.55299017972152</v>
      </c>
    </row>
    <row r="33" spans="1:17" s="459" customFormat="1">
      <c r="A33" s="456" t="s">
        <v>554</v>
      </c>
      <c r="B33" s="457">
        <f ca="1">SUM(B22:B32)</f>
        <v>13513.528885583666</v>
      </c>
      <c r="C33" s="457">
        <f t="shared" ref="C33:Q33" ca="1" si="18">SUM(C22:C32)</f>
        <v>3063.8647058823535</v>
      </c>
      <c r="D33" s="457">
        <f t="shared" ca="1" si="18"/>
        <v>20188.080856999866</v>
      </c>
      <c r="E33" s="457">
        <f t="shared" si="18"/>
        <v>630.08763900005499</v>
      </c>
      <c r="F33" s="457">
        <f t="shared" ca="1" si="18"/>
        <v>13899.125418347343</v>
      </c>
      <c r="G33" s="457">
        <f t="shared" si="18"/>
        <v>54873.308866973603</v>
      </c>
      <c r="H33" s="457">
        <f t="shared" si="18"/>
        <v>8095.079978636335</v>
      </c>
      <c r="I33" s="457">
        <f t="shared" si="18"/>
        <v>0</v>
      </c>
      <c r="J33" s="457">
        <f t="shared" si="18"/>
        <v>326.71613928859165</v>
      </c>
      <c r="K33" s="457">
        <f t="shared" si="18"/>
        <v>0</v>
      </c>
      <c r="L33" s="457">
        <f t="shared" ca="1" si="18"/>
        <v>0</v>
      </c>
      <c r="M33" s="457">
        <f t="shared" si="18"/>
        <v>0</v>
      </c>
      <c r="N33" s="457">
        <f t="shared" ca="1" si="18"/>
        <v>0</v>
      </c>
      <c r="O33" s="457">
        <f t="shared" si="18"/>
        <v>0</v>
      </c>
      <c r="P33" s="457">
        <f t="shared" si="18"/>
        <v>0</v>
      </c>
      <c r="Q33" s="457">
        <f t="shared" ca="1" si="18"/>
        <v>114589.79249071181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4006.2395066475847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43.649999999999991</v>
      </c>
      <c r="C8" s="977">
        <f>'SEAP template'!C76</f>
        <v>9024.75</v>
      </c>
      <c r="D8" s="977">
        <f>'SEAP template'!D76</f>
        <v>10617.352941176472</v>
      </c>
      <c r="E8" s="977">
        <f>'SEAP template'!E76</f>
        <v>0</v>
      </c>
      <c r="F8" s="977">
        <f>'SEAP template'!F76</f>
        <v>0</v>
      </c>
      <c r="G8" s="977">
        <f>'SEAP template'!G76</f>
        <v>0</v>
      </c>
      <c r="H8" s="977">
        <f>'SEAP template'!H76</f>
        <v>0</v>
      </c>
      <c r="I8" s="977">
        <f>'SEAP template'!I76</f>
        <v>0</v>
      </c>
      <c r="J8" s="977">
        <f>'SEAP template'!J76</f>
        <v>51.35294117647058</v>
      </c>
      <c r="K8" s="977">
        <f>'SEAP template'!K76</f>
        <v>0</v>
      </c>
      <c r="L8" s="977">
        <f>'SEAP template'!L76</f>
        <v>0</v>
      </c>
      <c r="M8" s="977">
        <f>'SEAP template'!M76</f>
        <v>0</v>
      </c>
      <c r="N8" s="977">
        <f>'SEAP template'!N76</f>
        <v>0</v>
      </c>
      <c r="O8" s="977">
        <f>'SEAP template'!O76</f>
        <v>0</v>
      </c>
      <c r="P8" s="978">
        <f>'SEAP template'!Q76</f>
        <v>2144.7052941176476</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4049.8895066475848</v>
      </c>
      <c r="C10" s="981">
        <f>SUM(C4:C9)</f>
        <v>9024.75</v>
      </c>
      <c r="D10" s="981">
        <f t="shared" ref="D10:H10" si="0">SUM(D8:D9)</f>
        <v>10617.352941176472</v>
      </c>
      <c r="E10" s="981">
        <f t="shared" si="0"/>
        <v>0</v>
      </c>
      <c r="F10" s="981">
        <f t="shared" si="0"/>
        <v>0</v>
      </c>
      <c r="G10" s="981">
        <f t="shared" si="0"/>
        <v>0</v>
      </c>
      <c r="H10" s="981">
        <f t="shared" si="0"/>
        <v>0</v>
      </c>
      <c r="I10" s="981">
        <f>SUM(I8:I9)</f>
        <v>0</v>
      </c>
      <c r="J10" s="981">
        <f>SUM(J8:J9)</f>
        <v>51.35294117647058</v>
      </c>
      <c r="K10" s="981">
        <f t="shared" ref="K10:L10" si="1">SUM(K8:K9)</f>
        <v>0</v>
      </c>
      <c r="L10" s="981">
        <f t="shared" si="1"/>
        <v>0</v>
      </c>
      <c r="M10" s="981">
        <f>SUM(M8:M9)</f>
        <v>0</v>
      </c>
      <c r="N10" s="981">
        <f>SUM(N8:N9)</f>
        <v>0</v>
      </c>
      <c r="O10" s="981">
        <f>SUM(O8:O9)</f>
        <v>0</v>
      </c>
      <c r="P10" s="981">
        <f>SUM(P8:P9)</f>
        <v>2144.7052941176476</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0.20945596040882614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62.357142857142833</v>
      </c>
      <c r="C17" s="984">
        <f>'SEAP template'!C87</f>
        <v>12892.5</v>
      </c>
      <c r="D17" s="978">
        <f>'SEAP template'!D87</f>
        <v>15167.647058823532</v>
      </c>
      <c r="E17" s="978">
        <f>'SEAP template'!E87</f>
        <v>0</v>
      </c>
      <c r="F17" s="978">
        <f>'SEAP template'!F87</f>
        <v>0</v>
      </c>
      <c r="G17" s="978">
        <f>'SEAP template'!G87</f>
        <v>0</v>
      </c>
      <c r="H17" s="978">
        <f>'SEAP template'!H87</f>
        <v>0</v>
      </c>
      <c r="I17" s="978">
        <f>'SEAP template'!I87</f>
        <v>0</v>
      </c>
      <c r="J17" s="978">
        <f>'SEAP template'!J87</f>
        <v>73.361344537815114</v>
      </c>
      <c r="K17" s="978">
        <f>'SEAP template'!K87</f>
        <v>0</v>
      </c>
      <c r="L17" s="978">
        <f>'SEAP template'!L87</f>
        <v>0</v>
      </c>
      <c r="M17" s="978">
        <f>'SEAP template'!M87</f>
        <v>0</v>
      </c>
      <c r="N17" s="978">
        <f>'SEAP template'!N87</f>
        <v>0</v>
      </c>
      <c r="O17" s="978">
        <f>'SEAP template'!O87</f>
        <v>0</v>
      </c>
      <c r="P17" s="978">
        <f>'SEAP template'!Q87</f>
        <v>3063.8647058823535</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62.357142857142833</v>
      </c>
      <c r="C20" s="981">
        <f>SUM(C17:C19)</f>
        <v>12892.5</v>
      </c>
      <c r="D20" s="981">
        <f t="shared" ref="D20:H20" si="2">SUM(D17:D19)</f>
        <v>15167.647058823532</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3063.8647058823535</v>
      </c>
    </row>
    <row r="22" spans="1:16">
      <c r="A22" s="460" t="s">
        <v>867</v>
      </c>
      <c r="B22" s="729" t="s">
        <v>861</v>
      </c>
      <c r="C22" s="729">
        <f ca="1">'EF ele_warmte'!B22</f>
        <v>0.23650316418746939</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0.20945596040882614</v>
      </c>
      <c r="C17" s="496">
        <f ca="1">'EF ele_warmte'!B22</f>
        <v>0.23650316418746939</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2022-07-26T12:27:43Z</dcterms:modified>
</cp:coreProperties>
</file>