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59A7726C-3FFF-4B44-8FF4-8B0D76D559D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<sst xmlns="http://schemas.openxmlformats.org/spreadsheetml/2006/main" count="2502" uniqueCount="948">
  <si>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</si>
  <si>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</si>
  <si>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</si>
  <si>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</si>
  <si>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</si>
  <si>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</si>
  <si>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</si>
  <si>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</si>
  <si>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</si>
  <si>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</si>
  <si>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</si>
  <si>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</si>
  <si>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</si>
  <si>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</si>
  <si>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</si>
  <si>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</si>
  <si>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</si>
  <si>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</si>
  <si>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</si>
  <si>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</si>
  <si>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</si>
  <si>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</si>
  <si>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</si>
  <si>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</si>
  <si>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</si>
  <si>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</si>
  <si>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</si>
  <si>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</si>
  <si>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</si>
  <si>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</si>
  <si>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</si>
  <si>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</si>
  <si>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</si>
  <si>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</si>
  <si>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</si>
  <si>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</si>
  <si>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</si>
  <si>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</si>
  <si>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</si>
  <si>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</si>
  <si>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</si>
  <si>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</si>
  <si>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</si>
  <si>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</si>
  <si>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</si>
  <si>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</si>
  <si>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</si>
  <si>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</si>
  <si>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</si>
  <si>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</si>
  <si>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</si>
  <si>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</si>
  <si>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</si>
  <si>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</si>
  <si>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</si>
  <si>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</si>
  <si>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</si>
  <si>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</si>
  <si>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</si>
  <si>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</si>
  <si>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</si>
  <si>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</si>
  <si>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</si>
  <si>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</si>
  <si>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</si>
  <si>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</si>
  <si>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</si>
  <si>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</si>
  <si>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</si>
  <si>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</si>
  <si>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</si>
  <si>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</si>
  <si>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</si>
  <si>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</si>
  <si>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</si>
  <si>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</si>
  <si>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</si>
  <si>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</si>
  <si>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</si>
  <si>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</si>
  <si>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</si>
  <si>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</si>
  <si>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</si>
  <si>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</si>
  <si>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</si>
  <si>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</si>
  <si>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</si>
  <si>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</si>
  <si>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</si>
  <si>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</si>
  <si>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</si>
  <si>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</si>
  <si>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</si>
  <si>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</si>
  <si>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</si>
  <si>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</si>
  <si>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</si>
  <si>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</si>
  <si>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</si>
  <si>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</si>
  <si>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</si>
  <si>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</si>
  <si>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</si>
  <si>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</si>
  <si>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</si>
  <si>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</si>
  <si>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</si>
  <si>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</si>
  <si>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</si>
  <si>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</si>
  <si>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</si>
  <si>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</si>
  <si>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</si>
  <si>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</si>
  <si>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</si>
  <si>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</si>
  <si>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</si>
  <si>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</si>
  <si>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</si>
  <si>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</si>
  <si>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</si>
  <si>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</si>
  <si>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</si>
  <si>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</si>
  <si>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</si>
  <si>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</si>
  <si>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</si>
  <si>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</si>
  <si>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</si>
  <si>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</si>
  <si>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</si>
  <si>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</si>
  <si>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</si>
  <si>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</si>
  <si>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</si>
  <si>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</si>
  <si>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</si>
  <si>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</si>
  <si>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</si>
  <si>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</si>
  <si>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</si>
  <si>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</si>
  <si>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</si>
  <si>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</si>
  <si>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</si>
  <si>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</si>
  <si>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</si>
  <si>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</si>
  <si>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</si>
  <si>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</si>
  <si>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</si>
  <si>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</si>
  <si>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</si>
  <si>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</si>
  <si>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</si>
  <si>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</si>
  <si>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</si>
  <si>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</si>
  <si>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</si>
  <si>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</si>
  <si>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</si>
  <si>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</si>
  <si>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</si>
  <si>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</si>
  <si>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</si>
  <si>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</si>
  <si>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</si>
  <si>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</si>
  <si>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</si>
  <si>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</si>
  <si>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</si>
  <si>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</si>
  <si>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</si>
  <si>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</si>
  <si>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</si>
  <si>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</si>
  <si>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</si>
  <si>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</si>
  <si>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</si>
  <si>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</si>
  <si>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</si>
  <si>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</si>
  <si>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</si>
  <si>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</si>
  <si>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</si>
  <si>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</si>
  <si>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</si>
  <si>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</si>
  <si>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</si>
  <si>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</si>
  <si>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</si>
  <si>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</si>
  <si>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</si>
  <si>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</si>
  <si>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</si>
  <si>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</si>
  <si>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</si>
  <si>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</si>
  <si>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</si>
  <si>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</si>
  <si>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</si>
  <si>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</si>
  <si>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</si>
  <si>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</si>
  <si>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</si>
  <si>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</si>
  <si>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</si>
  <si>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</si>
  <si>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</si>
  <si>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</si>
  <si>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</si>
  <si>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</si>
  <si>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</si>
  <si>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</si>
  <si>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</si>
  <si>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</si>
  <si>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</si>
  <si>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</si>
  <si>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</si>
  <si>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</si>
  <si>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</si>
  <si>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</si>
  <si>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</si>
  <si>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</si>
  <si>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</si>
  <si>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</si>
  <si>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</si>
  <si>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</si>
  <si>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</si>
  <si>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</si>
  <si>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</si>
  <si>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</si>
  <si>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</si>
  <si>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</si>
  <si>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</si>
  <si>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</si>
  <si>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</si>
  <si>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</si>
  <si>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</si>
  <si>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</si>
  <si>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</si>
  <si>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</si>
  <si>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</si>
  <si>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</si>
  <si>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</si>
  <si>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</si>
  <si>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</si>
  <si>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</si>
  <si>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</si>
  <si>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</si>
  <si>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</si>
  <si>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</si>
  <si>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</si>
  <si>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</si>
  <si>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</si>
  <si>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</si>
  <si>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</si>
  <si>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</si>
  <si>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</si>
  <si>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</si>
  <si>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</si>
  <si>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</si>
  <si>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</si>
  <si>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</si>
  <si>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</si>
  <si>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</si>
  <si>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</si>
  <si>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</si>
  <si>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</si>
  <si>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</si>
  <si>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</si>
  <si>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</si>
  <si>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</si>
  <si>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</si>
  <si>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</si>
  <si>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</si>
  <si>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</si>
  <si>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</si>
  <si>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</si>
  <si>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</si>
  <si>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</si>
  <si>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</si>
  <si>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</si>
  <si>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</si>
  <si>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</si>
  <si>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</si>
  <si>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</si>
  <si>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</si>
  <si>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</si>
  <si>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</si>
  <si>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</si>
  <si>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</si>
  <si>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</si>
  <si>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</si>
  <si>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</si>
  <si>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</si>
  <si>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</si>
  <si>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</si>
  <si>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</si>
  <si>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</si>
  <si>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</si>
  <si>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</si>
  <si>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</si>
  <si>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</si>
  <si>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</si>
  <si>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</si>
  <si>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</si>
  <si>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</si>
  <si>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</si>
  <si>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</si>
  <si>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</si>
  <si>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</si>
  <si>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</si>
  <si>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</si>
  <si>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</si>
  <si>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</si>
  <si>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</si>
  <si>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</si>
  <si>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</si>
  <si>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</si>
  <si>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</si>
  <si>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</si>
  <si>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</si>
  <si>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</si>
  <si>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</si>
  <si>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</si>
  <si>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</si>
  <si>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</si>
  <si>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</si>
  <si>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</si>
  <si>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</si>
  <si>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</si>
  <si>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</si>
  <si>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</si>
  <si>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</si>
  <si>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</si>
  <si>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</si>
  <si>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</si>
  <si>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</si>
  <si>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</si>
  <si>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</si>
  <si>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</si>
  <si>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</si>
  <si>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</si>
  <si>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</si>
  <si>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</si>
  <si>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</si>
  <si>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</si>
  <si>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</si>
  <si>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</si>
  <si>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</si>
  <si>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</si>
  <si>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</si>
  <si>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</si>
  <si>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</si>
  <si>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</si>
  <si>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</si>
  <si>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</si>
  <si>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</si>
  <si>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</si>
  <si>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</si>
  <si>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</si>
  <si>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</si>
  <si>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</si>
  <si>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</si>
  <si>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</si>
  <si>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</si>
  <si>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</si>
  <si>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</si>
  <si>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</si>
  <si>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</si>
  <si>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</si>
  <si>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</si>
  <si>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</si>
  <si>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</si>
  <si>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</si>
  <si>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</si>
  <si>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</si>
  <si>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</si>
  <si>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</si>
  <si>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</si>
  <si>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</si>
  <si>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</si>
  <si>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</si>
  <si>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</si>
  <si>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</si>
  <si>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</si>
  <si>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</si>
  <si>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</si>
  <si>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</si>
  <si>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</si>
  <si>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</si>
  <si>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</si>
  <si>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</si>
  <si>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</si>
  <si>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</si>
  <si>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</si>
  <si>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</si>
  <si>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</si>
  <si>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</si>
  <si>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</si>
  <si>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</si>
  <si>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</si>
  <si>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</si>
  <si>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</si>
  <si>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</si>
  <si>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</si>
  <si>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</si>
  <si>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</si>
  <si>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</si>
  <si>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</si>
  <si>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</si>
  <si>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</si>
  <si>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</si>
  <si>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</si>
  <si>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</si>
  <si>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</si>
  <si>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</si>
  <si>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</si>
  <si>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</si>
  <si>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</si>
  <si>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</si>
  <si>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</si>
  <si>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</si>
  <si>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</si>
  <si>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</si>
  <si>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</si>
  <si>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</si>
  <si>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</si>
  <si>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</si>
  <si>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</si>
  <si>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</si>
  <si>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</si>
  <si>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</si>
  <si>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</si>
  <si>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</si>
  <si>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</si>
  <si>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</si>
  <si>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</si>
  <si>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</si>
  <si>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</si>
  <si>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</si>
  <si>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</si>
  <si>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</si>
  <si>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</si>
  <si>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</si>
  <si>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</si>
  <si>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</si>
  <si>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</si>
  <si>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</si>
  <si>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</si>
  <si>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</si>
  <si>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</si>
  <si>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</si>
  <si>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</si>
  <si>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</si>
  <si>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</si>
  <si>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</si>
  <si>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</si>
  <si>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</si>
  <si>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</si>
  <si>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</si>
  <si>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</si>
  <si>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</si>
  <si>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</si>
  <si>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</si>
  <si>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</si>
  <si>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</si>
  <si>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</si>
  <si>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</si>
  <si>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</si>
  <si>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</si>
  <si>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</si>
  <si>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</si>
  <si>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</si>
  <si>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</si>
  <si>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</si>
  <si>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</si>
  <si>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</si>
  <si>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</si>
  <si>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</si>
  <si>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</si>
  <si>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</si>
  <si>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</si>
  <si>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</si>
  <si>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</si>
  <si>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</si>
  <si>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</si>
  <si>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</si>
  <si>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</si>
  <si>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</si>
  <si>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</si>
  <si>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</si>
  <si>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</si>
  <si>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</si>
  <si>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</si>
  <si>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</si>
  <si>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</si>
  <si>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</si>
  <si>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</si>
  <si>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</si>
  <si>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</si>
  <si>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</si>
  <si>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</si>
  <si>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</si>
  <si>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</si>
  <si>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</si>
  <si>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</si>
  <si>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</si>
  <si>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</si>
  <si>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</si>
  <si>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</si>
  <si>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</si>
  <si>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</si>
  <si>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</si>
  <si>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</si>
  <si>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</si>
  <si>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</si>
  <si>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</si>
  <si>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</si>
  <si>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</si>
  <si>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</si>
  <si>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</si>
  <si>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</si>
  <si>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</si>
  <si>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</si>
  <si>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</si>
  <si>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</si>
  <si>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</si>
  <si>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</si>
  <si>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</si>
  <si>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</si>
  <si>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</si>
  <si>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</si>
  <si>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</si>
  <si>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</si>
  <si>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</si>
  <si>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</si>
  <si>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</si>
  <si>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</si>
  <si>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</si>
  <si>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</si>
  <si>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</si>
  <si>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</si>
  <si>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</si>
  <si>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</si>
  <si>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</si>
  <si>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</si>
  <si>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</si>
  <si>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</si>
  <si>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</si>
  <si>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</si>
  <si>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</si>
  <si>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</si>
  <si>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</si>
  <si>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</si>
  <si>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</si>
  <si>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</si>
  <si>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</si>
  <si>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</si>
  <si>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</si>
  <si>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</si>
  <si>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</si>
  <si>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</si>
  <si>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</si>
  <si>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</si>
  <si>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</si>
  <si>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</si>
  <si>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</si>
  <si>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</si>
  <si>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</si>
  <si>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</si>
  <si>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</si>
  <si>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</si>
  <si>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</si>
  <si>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</si>
  <si>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</si>
  <si>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</si>
  <si>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</si>
  <si>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</si>
  <si>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</si>
  <si>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</si>
  <si>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</si>
  <si>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</si>
  <si>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</si>
  <si>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</si>
  <si>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</si>
  <si>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</si>
  <si>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</si>
  <si>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</si>
  <si>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</si>
  <si>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</si>
  <si>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</si>
  <si>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</si>
  <si>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</si>
  <si>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</si>
  <si>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</si>
  <si>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</si>
  <si>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</si>
  <si>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</si>
  <si>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</si>
  <si>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</si>
  <si>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</si>
  <si>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</si>
  <si>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</si>
  <si>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</si>
  <si>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</si>
  <si>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</si>
  <si>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</si>
  <si>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</si>
  <si>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</si>
  <si>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</si>
  <si>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</si>
  <si>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</si>
  <si>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</si>
  <si>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</si>
  <si>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</si>
  <si>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</si>
  <si>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</si>
  <si>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</si>
  <si>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</si>
  <si>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</si>
  <si>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</si>
  <si>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</si>
  <si>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</si>
  <si>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</si>
  <si>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</si>
  <si>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</si>
  <si>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</si>
  <si>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</si>
  <si>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</si>
  <si>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</si>
  <si>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</si>
  <si>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</si>
  <si>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</si>
  <si>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</si>
  <si>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</si>
  <si>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</si>
  <si>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</si>
  <si>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</si>
  <si>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</si>
  <si>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</si>
  <si>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</si>
  <si>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</si>
  <si>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</si>
  <si>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</si>
  <si>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</si>
  <si>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</si>
  <si>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</si>
  <si>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</si>
  <si>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</si>
  <si>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</si>
  <si>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</si>
  <si>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</si>
  <si>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</si>
  <si>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</si>
  <si>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</si>
  <si>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</si>
  <si>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</si>
  <si>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</si>
  <si>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</si>
  <si>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</si>
  <si>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</si>
  <si>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</si>
  <si>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</si>
  <si>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</si>
  <si>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</si>
  <si>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</si>
  <si>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</si>
  <si>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</si>
  <si>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</si>
  <si>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</si>
  <si>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</si>
  <si>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</si>
  <si>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</si>
  <si>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</si>
  <si>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</si>
  <si>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</si>
  <si>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</si>
  <si>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</si>
  <si>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</si>
  <si>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</si>
  <si>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</si>
  <si>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</si>
  <si>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</si>
  <si>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</si>
  <si>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</si>
  <si>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</si>
  <si>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</si>
  <si>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</si>
  <si>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</si>
  <si>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</si>
  <si>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</si>
  <si>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</si>
  <si>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</si>
  <si>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</si>
  <si>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</si>
  <si>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</si>
  <si>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</si>
  <si>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</si>
  <si>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</si>
  <si>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</si>
  <si>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</si>
  <si>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</si>
  <si>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</si>
  <si>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</si>
  <si>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</si>
  <si>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</si>
  <si>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</si>
  <si>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</si>
  <si>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</si>
  <si>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</si>
  <si>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</si>
  <si>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</si>
  <si>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</si>
  <si>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</si>
  <si>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</si>
  <si>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</si>
  <si>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</si>
  <si>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</si>
  <si>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</si>
  <si>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</si>
  <si>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</si>
  <si>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</si>
  <si>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</si>
  <si>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</si>
  <si>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</si>
  <si>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</si>
  <si>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</si>
  <si>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</si>
  <si>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</si>
  <si>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</si>
  <si>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</si>
  <si>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</si>
  <si>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</si>
  <si>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</si>
  <si>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</si>
  <si>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</si>
  <si>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</si>
  <si>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</si>
  <si>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</si>
  <si>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</si>
  <si>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</si>
  <si>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</si>
  <si>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</si>
  <si>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</si>
  <si>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</si>
  <si>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</si>
  <si>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</si>
  <si>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</si>
  <si>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</si>
  <si>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</si>
  <si>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</si>
  <si>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</si>
  <si>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</si>
  <si>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</si>
  <si>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</si>
  <si>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</si>
  <si>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</si>
  <si>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</si>
  <si>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</si>
  <si>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</si>
  <si>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</si>
  <si>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</si>
  <si>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</si>
  <si>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</si>
  <si>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</si>
  <si>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</si>
  <si>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</si>
  <si>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</si>
  <si>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</si>
  <si>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</si>
  <si>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</si>
  <si>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</si>
  <si>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</si>
  <si>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</si>
  <si>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</si>
  <si>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</si>
  <si>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</si>
  <si>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</si>
  <si>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</si>
  <si>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</si>
  <si>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</si>
  <si>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</si>
  <si>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</si>
  <si>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</si>
  <si>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</si>
  <si>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</si>
  <si>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</si>
  <si>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</si>
  <si>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</si>
  <si>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</si>
  <si>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</si>
  <si>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</si>
  <si>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</si>
  <si>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</si>
  <si>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</si>
  <si>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</si>
  <si>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</si>
  <si>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</si>
  <si>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</si>
  <si>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</si>
  <si>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</si>
  <si>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</si>
  <si>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</si>
  <si>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</si>
  <si>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</si>
  <si>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</si>
  <si>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</si>
  <si>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</si>
  <si>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</si>
  <si>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</si>
  <si>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</si>
  <si>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</si>
  <si>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</si>
  <si>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</si>
  <si>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</si>
  <si>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</si>
  <si>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</si>
  <si>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</si>
  <si>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</si>
  <si>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</si>
  <si>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</si>
  <si>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</si>
  <si>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</si>
  <si>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</si>
  <si>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</si>
  <si>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</si>
  <si>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</si>
  <si>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</si>
  <si>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</si>
  <si>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</si>
  <si>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</si>
  <si>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</si>
  <si>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</si>
  <si>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</si>
  <si>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</si>
  <si>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</si>
  <si>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</si>
  <si>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</si>
  <si>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</si>
  <si>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</si>
  <si>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</si>
  <si>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</si>
  <si>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</si>
  <si>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</si>
  <si>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</si>
  <si>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</si>
  <si>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</si>
  <si>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</si>
  <si>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</si>
  <si>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</si>
  <si>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</si>
  <si>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</si>
  <si>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</si>
  <si>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</si>
  <si>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</si>
  <si>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</si>
  <si>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</si>
  <si>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</si>
  <si>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</si>
  <si>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</si>
  <si>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</si>
  <si>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</si>
  <si>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</si>
  <si>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</si>
  <si>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</si>
  <si>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</si>
  <si>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</si>
  <si>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</si>
  <si>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</si>
  <si>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</si>
  <si>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</si>
  <si>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</si>
  <si>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</si>
  <si>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</si>
  <si>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</si>
  <si>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</si>
  <si>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</si>
  <si>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</si>
  <si>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</si>
  <si>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</si>
  <si>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</si>
  <si>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</si>
  <si>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</si>
  <si>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</si>
  <si>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</si>
  <si>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</si>
  <si>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</si>
  <si>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</si>
  <si>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</si>
  <si>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</si>
  <si>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</si>
  <si>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</si>
  <si>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</si>
  <si>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</si>
  <si>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</si>
  <si>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</si>
  <si>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</si>
  <si>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</si>
  <si>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</si>
  <si>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</si>
  <si>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</si>
  <si>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</si>
  <si>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</si>
  <si>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</si>
  <si>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</si>
  <si>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</si>
  <si>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</si>
  <si>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</si>
  <si>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</si>
  <si>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</si>
  <si>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</si>
  <si>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</si>
  <si>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</si>
  <si>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</si>
  <si>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</si>
  <si>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</si>
  <si>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</si>
  <si>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</si>
  <si>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</si>
  <si>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</si>
  <si>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</si>
  <si>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</si>
  <si>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</si>
  <si>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</si>
  <si>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</si>
  <si>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</si>
  <si>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</si>
  <si>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</si>
  <si>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</si>
  <si>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</si>
  <si>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</si>
  <si>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</si>
  <si>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</si>
  <si>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</si>
  <si>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</si>
  <si>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24045</t>
  </si>
  <si>
    <t>HULDENBERG</t>
  </si>
  <si>
    <t>Paarden&amp;pony's 200 - 600 kg</t>
  </si>
  <si>
    <t>Paarden&amp;pony's &lt; 200 kg</t>
  </si>
  <si>
    <t>vloeibaar gas (MWh)</t>
  </si>
  <si>
    <t>interne verbrandingsmotor</t>
  </si>
  <si>
    <t>WKK interne verbrandinsgmotor (gas)</t>
  </si>
  <si>
    <t>IVERLEK</t>
  </si>
  <si>
    <t>biogas - stortgas</t>
  </si>
  <si>
    <t>niet WKK interne verbrandingsmotor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</si>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</sst>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4CADB32-2436-4347-AB3C-C70D260A1AC4}"/>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24045</v>
      </c>
      <c r="B6" s="384"/>
      <c r="C6" s="385"/>
    </row>
    <row r="7" spans="1:7" s="382" customFormat="1" ht="15.75" customHeight="1">
      <c r="A7" s="386" t="str">
        <f>txtMunicipality</f>
        <v>HULDENBERG</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0.18055302933136322</v>
      </c>
      <c r="C17" s="496">
        <f ca="1">'EF ele_warmte'!B22</f>
        <v>0.23764705882352949</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0.18055302933136322</v>
      </c>
      <c r="C29" s="497">
        <f ca="1">'EF ele_warmte'!B22</f>
        <v>0.23764705882352949</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3692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1879</v>
      </c>
      <c r="C14" s="327"/>
      <c r="D14" s="327"/>
      <c r="E14" s="327"/>
      <c r="F14" s="327"/>
    </row>
    <row r="15" spans="1:6">
      <c r="A15" s="1258" t="s">
        <v>177</v>
      </c>
      <c r="B15" s="1259">
        <v>9</v>
      </c>
      <c r="C15" s="327"/>
      <c r="D15" s="327"/>
      <c r="E15" s="327"/>
      <c r="F15" s="327"/>
    </row>
    <row r="16" spans="1:6">
      <c r="A16" s="1258" t="s">
        <v>6</v>
      </c>
      <c r="B16" s="1259">
        <v>349</v>
      </c>
      <c r="C16" s="327"/>
      <c r="D16" s="327"/>
      <c r="E16" s="327"/>
      <c r="F16" s="327"/>
    </row>
    <row r="17" spans="1:6">
      <c r="A17" s="1258" t="s">
        <v>7</v>
      </c>
      <c r="B17" s="1259">
        <v>460</v>
      </c>
      <c r="C17" s="327"/>
      <c r="D17" s="327"/>
      <c r="E17" s="327"/>
      <c r="F17" s="327"/>
    </row>
    <row r="18" spans="1:6">
      <c r="A18" s="1258" t="s">
        <v>8</v>
      </c>
      <c r="B18" s="1259">
        <v>650</v>
      </c>
      <c r="C18" s="327"/>
      <c r="D18" s="327"/>
      <c r="E18" s="327"/>
      <c r="F18" s="327"/>
    </row>
    <row r="19" spans="1:6">
      <c r="A19" s="1258" t="s">
        <v>9</v>
      </c>
      <c r="B19" s="1259">
        <v>538</v>
      </c>
      <c r="C19" s="327"/>
      <c r="D19" s="327"/>
      <c r="E19" s="327"/>
      <c r="F19" s="327"/>
    </row>
    <row r="20" spans="1:6">
      <c r="A20" s="1258" t="s">
        <v>10</v>
      </c>
      <c r="B20" s="1259">
        <v>432</v>
      </c>
      <c r="C20" s="327"/>
      <c r="D20" s="327"/>
      <c r="E20" s="327"/>
      <c r="F20" s="327"/>
    </row>
    <row r="21" spans="1:6">
      <c r="A21" s="1258" t="s">
        <v>11</v>
      </c>
      <c r="B21" s="1259">
        <v>0</v>
      </c>
      <c r="C21" s="327"/>
      <c r="D21" s="327"/>
      <c r="E21" s="327"/>
      <c r="F21" s="327"/>
    </row>
    <row r="22" spans="1:6">
      <c r="A22" s="1258" t="s">
        <v>12</v>
      </c>
      <c r="B22" s="1259">
        <v>767</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248</v>
      </c>
      <c r="C26" s="327"/>
      <c r="D26" s="327"/>
      <c r="E26" s="327"/>
      <c r="F26" s="327"/>
    </row>
    <row r="27" spans="1:6">
      <c r="A27" s="1258" t="s">
        <v>17</v>
      </c>
      <c r="B27" s="1259">
        <v>1</v>
      </c>
      <c r="C27" s="327"/>
      <c r="D27" s="327"/>
      <c r="E27" s="327"/>
      <c r="F27" s="327"/>
    </row>
    <row r="28" spans="1:6">
      <c r="A28" s="1258" t="s">
        <v>18</v>
      </c>
      <c r="B28" s="1260">
        <v>12</v>
      </c>
      <c r="C28" s="327"/>
      <c r="D28" s="327"/>
      <c r="E28" s="327"/>
      <c r="F28" s="327"/>
    </row>
    <row r="29" spans="1:6">
      <c r="A29" s="1258" t="s">
        <v>939</v>
      </c>
      <c r="B29" s="1260">
        <v>71</v>
      </c>
      <c r="C29" s="327"/>
      <c r="D29" s="327"/>
      <c r="E29" s="327"/>
      <c r="F29" s="327"/>
    </row>
    <row r="30" spans="1:6">
      <c r="A30" s="1253" t="s">
        <v>940</v>
      </c>
      <c r="B30" s="1261">
        <v>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7</v>
      </c>
      <c r="F36" s="1259">
        <v>9202.2459626056007</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12733.750037440001</v>
      </c>
    </row>
    <row r="39" spans="1:6">
      <c r="A39" s="1258" t="s">
        <v>29</v>
      </c>
      <c r="B39" s="1258" t="s">
        <v>30</v>
      </c>
      <c r="C39" s="1259">
        <v>1310</v>
      </c>
      <c r="D39" s="1259">
        <v>28272718.115075801</v>
      </c>
      <c r="E39" s="1259">
        <v>3603</v>
      </c>
      <c r="F39" s="1259">
        <v>17196207.241755601</v>
      </c>
    </row>
    <row r="40" spans="1:6">
      <c r="A40" s="1258" t="s">
        <v>29</v>
      </c>
      <c r="B40" s="1258" t="s">
        <v>28</v>
      </c>
      <c r="C40" s="1259">
        <v>0</v>
      </c>
      <c r="D40" s="1259">
        <v>0</v>
      </c>
      <c r="E40" s="1259">
        <v>0</v>
      </c>
      <c r="F40" s="1259">
        <v>0</v>
      </c>
    </row>
    <row r="41" spans="1:6">
      <c r="A41" s="1258" t="s">
        <v>31</v>
      </c>
      <c r="B41" s="1258" t="s">
        <v>32</v>
      </c>
      <c r="C41" s="1259">
        <v>0</v>
      </c>
      <c r="D41" s="1259">
        <v>0</v>
      </c>
      <c r="E41" s="1259">
        <v>50</v>
      </c>
      <c r="F41" s="1259">
        <v>440915.25848130003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22873.959380934401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11</v>
      </c>
      <c r="D48" s="1259">
        <v>259817.36322855801</v>
      </c>
      <c r="E48" s="1259">
        <v>22</v>
      </c>
      <c r="F48" s="1259">
        <v>454549.996044853</v>
      </c>
    </row>
    <row r="49" spans="1:6">
      <c r="A49" s="1258" t="s">
        <v>31</v>
      </c>
      <c r="B49" s="1258" t="s">
        <v>39</v>
      </c>
      <c r="C49" s="1259">
        <v>0</v>
      </c>
      <c r="D49" s="1259">
        <v>0</v>
      </c>
      <c r="E49" s="1259">
        <v>0</v>
      </c>
      <c r="F49" s="1259">
        <v>0</v>
      </c>
    </row>
    <row r="50" spans="1:6">
      <c r="A50" s="1258" t="s">
        <v>31</v>
      </c>
      <c r="B50" s="1258" t="s">
        <v>40</v>
      </c>
      <c r="C50" s="1259">
        <v>3</v>
      </c>
      <c r="D50" s="1259">
        <v>384912.43219714501</v>
      </c>
      <c r="E50" s="1259">
        <v>5</v>
      </c>
      <c r="F50" s="1259">
        <v>172041.74809432699</v>
      </c>
    </row>
    <row r="51" spans="1:6">
      <c r="A51" s="1258" t="s">
        <v>41</v>
      </c>
      <c r="B51" s="1258" t="s">
        <v>42</v>
      </c>
      <c r="C51" s="1259">
        <v>3</v>
      </c>
      <c r="D51" s="1259">
        <v>47171.954051143599</v>
      </c>
      <c r="E51" s="1259">
        <v>45</v>
      </c>
      <c r="F51" s="1259">
        <v>389886.93063713802</v>
      </c>
    </row>
    <row r="52" spans="1:6">
      <c r="A52" s="1258" t="s">
        <v>41</v>
      </c>
      <c r="B52" s="1258" t="s">
        <v>28</v>
      </c>
      <c r="C52" s="1259">
        <v>1</v>
      </c>
      <c r="D52" s="1259">
        <v>11583.219116373601</v>
      </c>
      <c r="E52" s="1259">
        <v>3</v>
      </c>
      <c r="F52" s="1259">
        <v>11268.9128735261</v>
      </c>
    </row>
    <row r="53" spans="1:6">
      <c r="A53" s="1258" t="s">
        <v>43</v>
      </c>
      <c r="B53" s="1258" t="s">
        <v>44</v>
      </c>
      <c r="C53" s="1259">
        <v>28</v>
      </c>
      <c r="D53" s="1259">
        <v>719898.09257619898</v>
      </c>
      <c r="E53" s="1259">
        <v>80</v>
      </c>
      <c r="F53" s="1259">
        <v>473992.57752898498</v>
      </c>
    </row>
    <row r="54" spans="1:6">
      <c r="A54" s="1258" t="s">
        <v>45</v>
      </c>
      <c r="B54" s="1258" t="s">
        <v>46</v>
      </c>
      <c r="C54" s="1259">
        <v>0</v>
      </c>
      <c r="D54" s="1259">
        <v>0</v>
      </c>
      <c r="E54" s="1259">
        <v>1</v>
      </c>
      <c r="F54" s="1259">
        <v>738147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10</v>
      </c>
      <c r="D57" s="1259">
        <v>460309.28907360701</v>
      </c>
      <c r="E57" s="1259">
        <v>30</v>
      </c>
      <c r="F57" s="1259">
        <v>3634447.8963068002</v>
      </c>
    </row>
    <row r="58" spans="1:6">
      <c r="A58" s="1258" t="s">
        <v>48</v>
      </c>
      <c r="B58" s="1258" t="s">
        <v>50</v>
      </c>
      <c r="C58" s="1259">
        <v>7</v>
      </c>
      <c r="D58" s="1259">
        <v>222011.33393697199</v>
      </c>
      <c r="E58" s="1259">
        <v>14</v>
      </c>
      <c r="F58" s="1259">
        <v>1260635.32849577</v>
      </c>
    </row>
    <row r="59" spans="1:6">
      <c r="A59" s="1258" t="s">
        <v>48</v>
      </c>
      <c r="B59" s="1258" t="s">
        <v>51</v>
      </c>
      <c r="C59" s="1259">
        <v>14</v>
      </c>
      <c r="D59" s="1259">
        <v>396494.22077696101</v>
      </c>
      <c r="E59" s="1259">
        <v>57</v>
      </c>
      <c r="F59" s="1259">
        <v>1265570.6239437901</v>
      </c>
    </row>
    <row r="60" spans="1:6">
      <c r="A60" s="1258" t="s">
        <v>48</v>
      </c>
      <c r="B60" s="1258" t="s">
        <v>52</v>
      </c>
      <c r="C60" s="1259">
        <v>16</v>
      </c>
      <c r="D60" s="1259">
        <v>685807.17727576895</v>
      </c>
      <c r="E60" s="1259">
        <v>29</v>
      </c>
      <c r="F60" s="1259">
        <v>498800.70358791901</v>
      </c>
    </row>
    <row r="61" spans="1:6">
      <c r="A61" s="1258" t="s">
        <v>48</v>
      </c>
      <c r="B61" s="1258" t="s">
        <v>53</v>
      </c>
      <c r="C61" s="1259">
        <v>52</v>
      </c>
      <c r="D61" s="1259">
        <v>3500608.8961346401</v>
      </c>
      <c r="E61" s="1259">
        <v>156</v>
      </c>
      <c r="F61" s="1259">
        <v>1512110.2722214099</v>
      </c>
    </row>
    <row r="62" spans="1:6">
      <c r="A62" s="1258" t="s">
        <v>48</v>
      </c>
      <c r="B62" s="1258" t="s">
        <v>54</v>
      </c>
      <c r="C62" s="1259">
        <v>0</v>
      </c>
      <c r="D62" s="1259">
        <v>0</v>
      </c>
      <c r="E62" s="1259">
        <v>0</v>
      </c>
      <c r="F62" s="1259">
        <v>0</v>
      </c>
    </row>
    <row r="63" spans="1:6">
      <c r="A63" s="1258" t="s">
        <v>48</v>
      </c>
      <c r="B63" s="1258" t="s">
        <v>28</v>
      </c>
      <c r="C63" s="1259">
        <v>55</v>
      </c>
      <c r="D63" s="1259">
        <v>3830340.6684302101</v>
      </c>
      <c r="E63" s="1259">
        <v>68</v>
      </c>
      <c r="F63" s="1259">
        <v>896872.17315762804</v>
      </c>
    </row>
    <row r="64" spans="1:6">
      <c r="A64" s="1258" t="s">
        <v>55</v>
      </c>
      <c r="B64" s="1258" t="s">
        <v>56</v>
      </c>
      <c r="C64" s="1259">
        <v>0</v>
      </c>
      <c r="D64" s="1259">
        <v>0</v>
      </c>
      <c r="E64" s="1259">
        <v>0</v>
      </c>
      <c r="F64" s="1259">
        <v>0</v>
      </c>
    </row>
    <row r="65" spans="1:6">
      <c r="A65" s="1258" t="s">
        <v>55</v>
      </c>
      <c r="B65" s="1258" t="s">
        <v>28</v>
      </c>
      <c r="C65" s="1259">
        <v>1</v>
      </c>
      <c r="D65" s="1259">
        <v>39287.973080130003</v>
      </c>
      <c r="E65" s="1259">
        <v>2</v>
      </c>
      <c r="F65" s="1259">
        <v>222495.85622348799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35713476</v>
      </c>
      <c r="E73" s="445"/>
      <c r="F73" s="327"/>
    </row>
    <row r="74" spans="1:6">
      <c r="A74" s="1258" t="s">
        <v>63</v>
      </c>
      <c r="B74" s="1258" t="s">
        <v>724</v>
      </c>
      <c r="C74" s="1271" t="s">
        <v>718</v>
      </c>
      <c r="D74" s="1259">
        <v>1421389.292709328</v>
      </c>
      <c r="E74" s="445"/>
      <c r="F74" s="327"/>
    </row>
    <row r="75" spans="1:6">
      <c r="A75" s="1258" t="s">
        <v>64</v>
      </c>
      <c r="B75" s="1258" t="s">
        <v>723</v>
      </c>
      <c r="C75" s="1271" t="s">
        <v>719</v>
      </c>
      <c r="D75" s="1259">
        <v>33944445</v>
      </c>
      <c r="E75" s="445"/>
      <c r="F75" s="327"/>
    </row>
    <row r="76" spans="1:6">
      <c r="A76" s="1258" t="s">
        <v>64</v>
      </c>
      <c r="B76" s="1258" t="s">
        <v>724</v>
      </c>
      <c r="C76" s="1271" t="s">
        <v>720</v>
      </c>
      <c r="D76" s="1259">
        <v>840579.292709328</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679877.41458134411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1554.6360252217094</v>
      </c>
      <c r="C91" s="327"/>
      <c r="D91" s="327"/>
      <c r="E91" s="327"/>
      <c r="F91" s="327"/>
    </row>
    <row r="92" spans="1:6">
      <c r="A92" s="1253" t="s">
        <v>68</v>
      </c>
      <c r="B92" s="1254">
        <v>74.128083349480747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519</v>
      </c>
      <c r="C97" s="327"/>
      <c r="D97" s="327"/>
      <c r="E97" s="327"/>
      <c r="F97" s="327"/>
    </row>
    <row r="98" spans="1:6">
      <c r="A98" s="1258" t="s">
        <v>71</v>
      </c>
      <c r="B98" s="1259">
        <v>1</v>
      </c>
      <c r="C98" s="327"/>
      <c r="D98" s="327"/>
      <c r="E98" s="327"/>
      <c r="F98" s="327"/>
    </row>
    <row r="99" spans="1:6">
      <c r="A99" s="1258" t="s">
        <v>72</v>
      </c>
      <c r="B99" s="1259">
        <v>94</v>
      </c>
      <c r="C99" s="327"/>
      <c r="D99" s="327"/>
      <c r="E99" s="327"/>
      <c r="F99" s="327"/>
    </row>
    <row r="100" spans="1:6">
      <c r="A100" s="1258" t="s">
        <v>73</v>
      </c>
      <c r="B100" s="1259">
        <v>266</v>
      </c>
      <c r="C100" s="327"/>
      <c r="D100" s="327"/>
      <c r="E100" s="327"/>
      <c r="F100" s="327"/>
    </row>
    <row r="101" spans="1:6">
      <c r="A101" s="1258" t="s">
        <v>74</v>
      </c>
      <c r="B101" s="1259">
        <v>58</v>
      </c>
      <c r="C101" s="327"/>
      <c r="D101" s="327"/>
      <c r="E101" s="327"/>
      <c r="F101" s="327"/>
    </row>
    <row r="102" spans="1:6">
      <c r="A102" s="1258" t="s">
        <v>75</v>
      </c>
      <c r="B102" s="1259">
        <v>47</v>
      </c>
      <c r="C102" s="327"/>
      <c r="D102" s="327"/>
      <c r="E102" s="327"/>
      <c r="F102" s="327"/>
    </row>
    <row r="103" spans="1:6">
      <c r="A103" s="1258" t="s">
        <v>76</v>
      </c>
      <c r="B103" s="1259">
        <v>96</v>
      </c>
      <c r="C103" s="327"/>
      <c r="D103" s="327"/>
      <c r="E103" s="327"/>
      <c r="F103" s="327"/>
    </row>
    <row r="104" spans="1:6">
      <c r="A104" s="1258" t="s">
        <v>77</v>
      </c>
      <c r="B104" s="1259">
        <v>2219</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8</v>
      </c>
      <c r="C123" s="1259">
        <v>7</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51</v>
      </c>
      <c r="C129" s="327"/>
      <c r="D129" s="327"/>
      <c r="E129" s="327"/>
      <c r="F129" s="327"/>
    </row>
    <row r="130" spans="1:6">
      <c r="A130" s="1258" t="s">
        <v>284</v>
      </c>
      <c r="B130" s="1259">
        <v>3</v>
      </c>
      <c r="C130" s="327"/>
      <c r="D130" s="327"/>
      <c r="E130" s="327"/>
      <c r="F130" s="327"/>
    </row>
    <row r="131" spans="1:6">
      <c r="A131" s="1258" t="s">
        <v>285</v>
      </c>
      <c r="B131" s="1259">
        <v>0</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35456.609063921715</v>
      </c>
      <c r="C3" s="44" t="s">
        <v>163</v>
      </c>
      <c r="D3" s="44"/>
      <c r="E3" s="157"/>
      <c r="F3" s="44"/>
      <c r="G3" s="44"/>
      <c r="H3" s="44"/>
      <c r="I3" s="44"/>
      <c r="J3" s="44"/>
      <c r="K3" s="97"/>
    </row>
    <row r="4" spans="1:11">
      <c r="A4" s="352" t="s">
        <v>164</v>
      </c>
      <c r="B4" s="50">
        <f>IF(ISERROR('SEAP template'!B78+'SEAP template'!C78),0,'SEAP template'!B78+'SEAP template'!C78)</f>
        <v>6547.2641085711903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12.832941176470593</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0.18055302933136322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18.332773109243703</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77.142857142857139</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0.23764705882352949</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738.14700000000005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738.14700000000005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0.18055302933136322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133.27467694185776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17196.207241755601</v>
      </c>
      <c r="C5" s="18">
        <f>IF(ISERROR('Eigen informatie GS &amp; warmtenet'!B57),0,'Eigen informatie GS &amp; warmtenet'!B57)</f>
        <v>0</v>
      </c>
      <c r="D5" s="31">
        <f>(SUM(HH_hh_gas_kWh,HH_rest_gas_kWh)/1000)*0.902</f>
        <v>25501.991739798374</v>
      </c>
      <c r="E5" s="18">
        <f>B32*B41</f>
        <v>1264.6749398554623</v>
      </c>
      <c r="F5" s="18">
        <f>B36*B45</f>
        <v>38556.267190673847</v>
      </c>
      <c r="G5" s="19"/>
      <c r="H5" s="18"/>
      <c r="I5" s="18"/>
      <c r="J5" s="18">
        <f>B35*B44+C35*C44</f>
        <v>699.5900334041014</v>
      </c>
      <c r="K5" s="18"/>
      <c r="L5" s="18"/>
      <c r="M5" s="18"/>
      <c r="N5" s="18">
        <f>B34*B43+C34*C43</f>
        <v>5705.5619074172764</v>
      </c>
      <c r="O5" s="18">
        <f>B52*B53*B54</f>
        <v>90.673333333333346</v>
      </c>
      <c r="P5" s="18">
        <f>B60*B61*B62/1000-B60*B61*B62/1000/B63</f>
        <v>305.06666666666666</v>
      </c>
    </row>
    <row r="6" spans="1:16">
      <c r="A6" s="17" t="s">
        <v>597</v>
      </c>
      <c r="B6" s="731">
        <f>kWh_PV_kleiner_dan_10kW</f>
        <v>1554.6360252217094</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18750.84326697731</v>
      </c>
      <c r="C8" s="22">
        <f>C5</f>
        <v>0</v>
      </c>
      <c r="D8" s="22">
        <f>D5</f>
        <v>25501.991739798374</v>
      </c>
      <c r="E8" s="22">
        <f>E5</f>
        <v>1264.6749398554623</v>
      </c>
      <c r="F8" s="22">
        <f>F5</f>
        <v>38556.267190673847</v>
      </c>
      <c r="G8" s="22"/>
      <c r="H8" s="22"/>
      <c r="I8" s="22"/>
      <c r="J8" s="22">
        <f>J5</f>
        <v>699.5900334041014</v>
      </c>
      <c r="K8" s="22"/>
      <c r="L8" s="22">
        <f>L5</f>
        <v>0</v>
      </c>
      <c r="M8" s="22">
        <f>M5</f>
        <v>0</v>
      </c>
      <c r="N8" s="22">
        <f>N5</f>
        <v>5705.5619074172764</v>
      </c>
      <c r="O8" s="22">
        <f>O5</f>
        <v>90.673333333333346</v>
      </c>
      <c r="P8" s="22">
        <f>P5</f>
        <v>305.06666666666666</v>
      </c>
    </row>
    <row r="9" spans="1:16">
      <c r="B9" s="20"/>
      <c r="C9" s="20"/>
      <c r="D9" s="258"/>
      <c r="E9" s="20"/>
      <c r="F9" s="20"/>
      <c r="G9" s="20"/>
      <c r="H9" s="20"/>
      <c r="I9" s="20"/>
      <c r="J9" s="20"/>
      <c r="K9" s="20"/>
      <c r="L9" s="20"/>
      <c r="M9" s="20"/>
      <c r="N9" s="20"/>
      <c r="O9" s="20"/>
      <c r="P9" s="20"/>
    </row>
    <row r="10" spans="1:16">
      <c r="A10" s="25" t="s">
        <v>207</v>
      </c>
      <c r="B10" s="26">
        <f ca="1">'EF ele_warmte'!B12</f>
        <v>0.18055302933136322</v>
      </c>
      <c r="C10" s="26">
        <f ca="1">'EF ele_warmte'!B22</f>
        <v>0.23764705882352949</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3385.5215543703489</v>
      </c>
      <c r="C12" s="24">
        <f ca="1">C10*C8</f>
        <v>0</v>
      </c>
      <c r="D12" s="24">
        <f>D8*D10</f>
        <v>5151.4023314392716</v>
      </c>
      <c r="E12" s="24">
        <f>E10*E8</f>
        <v>287.08121134718994</v>
      </c>
      <c r="F12" s="24">
        <f>F10*F8</f>
        <v>10294.523339909918</v>
      </c>
      <c r="G12" s="24"/>
      <c r="H12" s="24"/>
      <c r="I12" s="24"/>
      <c r="J12" s="24">
        <f>J10*J8</f>
        <v>247.65487182505188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3692</v>
      </c>
      <c r="C26" s="37"/>
      <c r="D26" s="228"/>
    </row>
    <row r="27" spans="1:5" s="16" customFormat="1">
      <c r="A27" s="230" t="s">
        <v>623</v>
      </c>
      <c r="B27" s="38">
        <f>SUM(HH_hh_gas_aantal,HH_rest_gas_aantal)</f>
        <v>1310</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1244.5</v>
      </c>
      <c r="C31" s="35" t="s">
        <v>104</v>
      </c>
      <c r="D31" s="174"/>
    </row>
    <row r="32" spans="1:5">
      <c r="A32" s="171" t="s">
        <v>72</v>
      </c>
      <c r="B32" s="34">
        <f>IF((B21*($B$26-($B$27-0.05*$B$27)-$B$60))&lt;0,0,B21*($B$26-($B$27-0.05*$B$27)-$B$60))</f>
        <v>59.754916276988617</v>
      </c>
      <c r="C32" s="35" t="s">
        <v>104</v>
      </c>
      <c r="D32" s="174"/>
    </row>
    <row r="33" spans="1:6">
      <c r="A33" s="171" t="s">
        <v>73</v>
      </c>
      <c r="B33" s="34">
        <f>IF((B22*($B$26-($B$27-0.05*$B$27)-$B$60))&lt;0,0,B22*($B$26-($B$27-0.05*$B$27)-$B$60))</f>
        <v>402.22066947063115</v>
      </c>
      <c r="C33" s="35" t="s">
        <v>104</v>
      </c>
      <c r="D33" s="174"/>
    </row>
    <row r="34" spans="1:6">
      <c r="A34" s="171" t="s">
        <v>74</v>
      </c>
      <c r="B34" s="34">
        <f>IF((B24*($B$26-($B$27-0.05*$B$27)-$B$60))&lt;0,0,B24*($B$26-($B$27-0.05*$B$27)-$B$60))</f>
        <v>102.01163982126567</v>
      </c>
      <c r="C34" s="34">
        <f>B26*C24</f>
        <v>755.02259375421477</v>
      </c>
      <c r="D34" s="233"/>
    </row>
    <row r="35" spans="1:6">
      <c r="A35" s="171" t="s">
        <v>76</v>
      </c>
      <c r="B35" s="34">
        <f>IF((B19*($B$26-($B$27-0.05*$B$27)-$B$60))&lt;0,0,B19*($B$26-($B$27-0.05*$B$27)-$B$60))</f>
        <v>37.924699435467367</v>
      </c>
      <c r="C35" s="34">
        <f>B35/2</f>
        <v>18.962349717733684</v>
      </c>
      <c r="D35" s="233"/>
    </row>
    <row r="36" spans="1:6">
      <c r="A36" s="171" t="s">
        <v>77</v>
      </c>
      <c r="B36" s="34">
        <f>IF((B18*($B$26-($B$27-0.05*$B$27)-$B$60))&lt;0,0,B18*($B$26-($B$27-0.05*$B$27)-$B$60))</f>
        <v>1829.5880749956466</v>
      </c>
      <c r="C36" s="35" t="s">
        <v>104</v>
      </c>
      <c r="D36" s="174"/>
    </row>
    <row r="37" spans="1:6">
      <c r="A37" s="171" t="s">
        <v>78</v>
      </c>
      <c r="B37" s="34">
        <f>B60</f>
        <v>16</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58</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16</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9068.4369977133174</v>
      </c>
      <c r="C5" s="18">
        <f>IF(ISERROR('Eigen informatie GS &amp; warmtenet'!B58),0,'Eigen informatie GS &amp; warmtenet'!B58)</f>
        <v>0</v>
      </c>
      <c r="D5" s="31">
        <f>SUM(D6:D12)</f>
        <v>8204.2055702365997</v>
      </c>
      <c r="E5" s="18">
        <f>SUM(E6:E12)</f>
        <v>73.406154981126662</v>
      </c>
      <c r="F5" s="18">
        <f>SUM(F6:F12)</f>
        <v>2155.664105787971</v>
      </c>
      <c r="G5" s="19"/>
      <c r="H5" s="18"/>
      <c r="I5" s="18"/>
      <c r="J5" s="18">
        <f>SUM(J6:J12)</f>
        <v>0</v>
      </c>
      <c r="K5" s="18"/>
      <c r="L5" s="18"/>
      <c r="M5" s="18"/>
      <c r="N5" s="18">
        <f>SUM(N6:N12)</f>
        <v>1804.808808676308</v>
      </c>
      <c r="O5" s="18">
        <f>B38*B39*B40</f>
        <v>4.6900000000000004</v>
      </c>
      <c r="P5" s="18">
        <f>B46*B47*B48/1000-B46*B47*B48/1000/B49</f>
        <v>0</v>
      </c>
      <c r="R5" s="33"/>
    </row>
    <row r="6" spans="1:18">
      <c r="A6" s="33" t="s">
        <v>53</v>
      </c>
      <c r="B6" s="38">
        <f>B26</f>
        <v>1512.11027222141</v>
      </c>
      <c r="C6" s="34"/>
      <c r="D6" s="38">
        <f>IF(ISERROR(TER_kantoor_gas_kWh/1000),0,TER_kantoor_gas_kWh/1000)*0.902</f>
        <v>3157.5492243134454</v>
      </c>
      <c r="E6" s="34">
        <f>$C$26*'E Balans VL '!I12/100/3.6*1000000</f>
        <v>2.470077600563473</v>
      </c>
      <c r="F6" s="34">
        <f>$C$26*('E Balans VL '!L12+'E Balans VL '!N12)/100/3.6*1000000</f>
        <v>177.64578373387673</v>
      </c>
      <c r="G6" s="35"/>
      <c r="H6" s="34"/>
      <c r="I6" s="34"/>
      <c r="J6" s="34">
        <f>$C$26*('E Balans VL '!D12+'E Balans VL '!E12)/100/3.6*1000000</f>
        <v>0</v>
      </c>
      <c r="K6" s="34"/>
      <c r="L6" s="34"/>
      <c r="M6" s="34"/>
      <c r="N6" s="34">
        <f>$C$26*'E Balans VL '!Y12/100/3.6*1000000</f>
        <v>11.010096784551635</v>
      </c>
      <c r="O6" s="34"/>
      <c r="P6" s="34"/>
      <c r="R6" s="33"/>
    </row>
    <row r="7" spans="1:18">
      <c r="A7" s="33" t="s">
        <v>52</v>
      </c>
      <c r="B7" s="38">
        <f t="shared" ref="B7:B12" si="0">B27</f>
        <v>498.80070358791903</v>
      </c>
      <c r="C7" s="34"/>
      <c r="D7" s="38">
        <f>IF(ISERROR(TER_horeca_gas_kWh/1000),0,TER_horeca_gas_kWh/1000)*0.902</f>
        <v>618.59807390274364</v>
      </c>
      <c r="E7" s="34">
        <f>$C$27*'E Balans VL '!I9/100/3.6*1000000</f>
        <v>25.806425278915462</v>
      </c>
      <c r="F7" s="34">
        <f>$C$27*('E Balans VL '!L9+'E Balans VL '!N9)/100/3.6*1000000</f>
        <v>113.48489726730303</v>
      </c>
      <c r="G7" s="35"/>
      <c r="H7" s="34"/>
      <c r="I7" s="34"/>
      <c r="J7" s="34">
        <f>$C$27*('E Balans VL '!D9+'E Balans VL '!E9)/100/3.6*1000000</f>
        <v>0</v>
      </c>
      <c r="K7" s="34"/>
      <c r="L7" s="34"/>
      <c r="M7" s="34"/>
      <c r="N7" s="34">
        <f>$C$27*'E Balans VL '!Y9/100/3.6*1000000</f>
        <v>5.2514995981830799E-2</v>
      </c>
      <c r="O7" s="34"/>
      <c r="P7" s="34"/>
      <c r="R7" s="33"/>
    </row>
    <row r="8" spans="1:18">
      <c r="A8" s="6" t="s">
        <v>51</v>
      </c>
      <c r="B8" s="38">
        <f t="shared" si="0"/>
        <v>1265.57062394379</v>
      </c>
      <c r="C8" s="34"/>
      <c r="D8" s="38">
        <f>IF(ISERROR(TER_handel_gas_kWh/1000),0,TER_handel_gas_kWh/1000)*0.902</f>
        <v>357.63778714081883</v>
      </c>
      <c r="E8" s="34">
        <f>$C$28*'E Balans VL '!I13/100/3.6*1000000</f>
        <v>6.6477210451222684</v>
      </c>
      <c r="F8" s="34">
        <f>$C$28*('E Balans VL '!L13+'E Balans VL '!N13)/100/3.6*1000000</f>
        <v>238.60244705759499</v>
      </c>
      <c r="G8" s="35"/>
      <c r="H8" s="34"/>
      <c r="I8" s="34"/>
      <c r="J8" s="34">
        <f>$C$28*('E Balans VL '!D13+'E Balans VL '!E13)/100/3.6*1000000</f>
        <v>0</v>
      </c>
      <c r="K8" s="34"/>
      <c r="L8" s="34"/>
      <c r="M8" s="34"/>
      <c r="N8" s="34">
        <f>$C$28*'E Balans VL '!Y13/100/3.6*1000000</f>
        <v>6.2741221566402343</v>
      </c>
      <c r="O8" s="34"/>
      <c r="P8" s="34"/>
      <c r="R8" s="33"/>
    </row>
    <row r="9" spans="1:18">
      <c r="A9" s="33" t="s">
        <v>50</v>
      </c>
      <c r="B9" s="38">
        <f t="shared" si="0"/>
        <v>1260.63532849577</v>
      </c>
      <c r="C9" s="34"/>
      <c r="D9" s="38">
        <f>IF(ISERROR(TER_gezond_gas_kWh/1000),0,TER_gezond_gas_kWh/1000)*0.902</f>
        <v>200.25422321114874</v>
      </c>
      <c r="E9" s="34">
        <f>$C$29*'E Balans VL '!I10/100/3.6*1000000</f>
        <v>1.1191208077395975</v>
      </c>
      <c r="F9" s="34">
        <f>$C$29*('E Balans VL '!L10+'E Balans VL '!N10)/100/3.6*1000000</f>
        <v>391.8246287130732</v>
      </c>
      <c r="G9" s="35"/>
      <c r="H9" s="34"/>
      <c r="I9" s="34"/>
      <c r="J9" s="34">
        <f>$C$29*('E Balans VL '!D10+'E Balans VL '!E10)/100/3.6*1000000</f>
        <v>0</v>
      </c>
      <c r="K9" s="34"/>
      <c r="L9" s="34"/>
      <c r="M9" s="34"/>
      <c r="N9" s="34">
        <f>$C$29*'E Balans VL '!Y10/100/3.6*1000000</f>
        <v>9.7308338978165754</v>
      </c>
      <c r="O9" s="34"/>
      <c r="P9" s="34"/>
      <c r="R9" s="33"/>
    </row>
    <row r="10" spans="1:18">
      <c r="A10" s="33" t="s">
        <v>49</v>
      </c>
      <c r="B10" s="38">
        <f t="shared" si="0"/>
        <v>3634.4478963068</v>
      </c>
      <c r="C10" s="34"/>
      <c r="D10" s="38">
        <f>IF(ISERROR(TER_ander_gas_kWh/1000),0,TER_ander_gas_kWh/1000)*0.902</f>
        <v>415.19897874439357</v>
      </c>
      <c r="E10" s="34">
        <f>$C$30*'E Balans VL '!I14/100/3.6*1000000</f>
        <v>29.644137640838036</v>
      </c>
      <c r="F10" s="34">
        <f>$C$30*('E Balans VL '!L14+'E Balans VL '!N14)/100/3.6*1000000</f>
        <v>1059.3740841494853</v>
      </c>
      <c r="G10" s="35"/>
      <c r="H10" s="34"/>
      <c r="I10" s="34"/>
      <c r="J10" s="34">
        <f>$C$30*('E Balans VL '!D14+'E Balans VL '!E14)/100/3.6*1000000</f>
        <v>0</v>
      </c>
      <c r="K10" s="34"/>
      <c r="L10" s="34"/>
      <c r="M10" s="34"/>
      <c r="N10" s="34">
        <f>$C$30*'E Balans VL '!Y14/100/3.6*1000000</f>
        <v>1726.2007400545633</v>
      </c>
      <c r="O10" s="34"/>
      <c r="P10" s="34"/>
      <c r="R10" s="33"/>
    </row>
    <row r="11" spans="1:18">
      <c r="A11" s="33" t="s">
        <v>54</v>
      </c>
      <c r="B11" s="38">
        <f t="shared" si="0"/>
        <v>0</v>
      </c>
      <c r="C11" s="34"/>
      <c r="D11" s="38">
        <f>IF(ISERROR(TER_onderwijs_gas_kWh/1000),0,TER_onderwijs_gas_kWh/1000)*0.902</f>
        <v>0</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896.87217315762803</v>
      </c>
      <c r="C12" s="34"/>
      <c r="D12" s="38">
        <f>IF(ISERROR(TER_rest_gas_kWh/1000),0,TER_rest_gas_kWh/1000)*0.902</f>
        <v>3454.9672829240494</v>
      </c>
      <c r="E12" s="34">
        <f>$C$32*'E Balans VL '!I8/100/3.6*1000000</f>
        <v>7.7186726079478163</v>
      </c>
      <c r="F12" s="34">
        <f>$C$32*('E Balans VL '!L8+'E Balans VL '!N8)/100/3.6*1000000</f>
        <v>174.73226486663779</v>
      </c>
      <c r="G12" s="35"/>
      <c r="H12" s="34"/>
      <c r="I12" s="34"/>
      <c r="J12" s="34">
        <f>$C$32*('E Balans VL '!D8+'E Balans VL '!E8)/100/3.6*1000000</f>
        <v>0</v>
      </c>
      <c r="K12" s="34"/>
      <c r="L12" s="34"/>
      <c r="M12" s="34"/>
      <c r="N12" s="34">
        <f>$C$32*'E Balans VL '!Y8/100/3.6*1000000</f>
        <v>51.540500786754301</v>
      </c>
      <c r="O12" s="34"/>
      <c r="P12" s="34"/>
      <c r="R12" s="33"/>
    </row>
    <row r="13" spans="1:18">
      <c r="A13" s="17" t="s">
        <v>488</v>
      </c>
      <c r="B13" s="246">
        <f ca="1">'lokale energieproductie'!N38+'lokale energieproductie'!N31</f>
        <v>4918.5</v>
      </c>
      <c r="C13" s="246">
        <f ca="1">'lokale energieproductie'!O38+'lokale energieproductie'!O31</f>
        <v>77.142857142857139</v>
      </c>
      <c r="D13" s="305">
        <f ca="1">('lokale energieproductie'!P31+'lokale energieproductie'!P38)*(-1)</f>
        <v>-154.28571428571431</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-13898.571428571429</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13986.936997713317</v>
      </c>
      <c r="C16" s="22">
        <f t="shared" ca="1" si="1"/>
        <v>77.142857142857139</v>
      </c>
      <c r="D16" s="22">
        <f t="shared" ca="1" si="1"/>
        <v>8049.919855950885</v>
      </c>
      <c r="E16" s="22">
        <f t="shared" si="1"/>
        <v>73.406154981126662</v>
      </c>
      <c r="F16" s="22">
        <f t="shared" ca="1" si="1"/>
        <v>2155.664105787971</v>
      </c>
      <c r="G16" s="22">
        <f t="shared" si="1"/>
        <v>0</v>
      </c>
      <c r="H16" s="22">
        <f t="shared" si="1"/>
        <v>0</v>
      </c>
      <c r="I16" s="22">
        <f t="shared" si="1"/>
        <v>0</v>
      </c>
      <c r="J16" s="22">
        <f t="shared" si="1"/>
        <v>0</v>
      </c>
      <c r="K16" s="22">
        <f t="shared" si="1"/>
        <v>0</v>
      </c>
      <c r="L16" s="22">
        <f t="shared" ca="1" si="1"/>
        <v>0</v>
      </c>
      <c r="M16" s="22">
        <f t="shared" si="1"/>
        <v>0</v>
      </c>
      <c r="N16" s="22">
        <f t="shared" ca="1" si="1"/>
        <v>0</v>
      </c>
      <c r="O16" s="22">
        <f>O5</f>
        <v>4.6900000000000004</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0.18055302933136322</v>
      </c>
      <c r="C18" s="26">
        <f ca="1">'EF ele_warmte'!B22</f>
        <v>0.23764705882352949</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2525.383846004062</v>
      </c>
      <c r="C20" s="24">
        <f t="shared" ref="C20:P20" ca="1" si="2">C16*C18</f>
        <v>18.332773109243703</v>
      </c>
      <c r="D20" s="24">
        <f t="shared" ca="1" si="2"/>
        <v>1626.0838109020788</v>
      </c>
      <c r="E20" s="24">
        <f t="shared" si="2"/>
        <v>16.663197180715752</v>
      </c>
      <c r="F20" s="24">
        <f t="shared" ca="1" si="2"/>
        <v>575.56231624538827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1512.11027222141</v>
      </c>
      <c r="C26" s="40">
        <f>IF(ISERROR(B26*3.6/1000000/'E Balans VL '!Z12*100),0,B26*3.6/1000000/'E Balans VL '!Z12*100)</f>
        <v>3.204926243065262E-2</v>
      </c>
      <c r="D26" s="236" t="s">
        <v>660</v>
      </c>
      <c r="F26" s="6"/>
    </row>
    <row r="27" spans="1:18">
      <c r="A27" s="231" t="s">
        <v>52</v>
      </c>
      <c r="B27" s="34">
        <f>IF(ISERROR(TER_horeca_ele_kWh/1000),0,TER_horeca_ele_kWh/1000)</f>
        <v>498.80070358791903</v>
      </c>
      <c r="C27" s="40">
        <f>IF(ISERROR(B27*3.6/1000000/'E Balans VL '!Z9*100),0,B27*3.6/1000000/'E Balans VL '!Z9*100)</f>
        <v>3.9141611911923578E-2</v>
      </c>
      <c r="D27" s="236" t="s">
        <v>660</v>
      </c>
      <c r="F27" s="6"/>
    </row>
    <row r="28" spans="1:18">
      <c r="A28" s="171" t="s">
        <v>51</v>
      </c>
      <c r="B28" s="34">
        <f>IF(ISERROR(TER_handel_ele_kWh/1000),0,TER_handel_ele_kWh/1000)</f>
        <v>1265.57062394379</v>
      </c>
      <c r="C28" s="40">
        <f>IF(ISERROR(B28*3.6/1000000/'E Balans VL '!Z13*100),0,B28*3.6/1000000/'E Balans VL '!Z13*100)</f>
        <v>3.5342888282661064E-2</v>
      </c>
      <c r="D28" s="236" t="s">
        <v>660</v>
      </c>
      <c r="F28" s="6"/>
    </row>
    <row r="29" spans="1:18">
      <c r="A29" s="231" t="s">
        <v>50</v>
      </c>
      <c r="B29" s="34">
        <f>IF(ISERROR(TER_gezond_ele_kWh/1000),0,TER_gezond_ele_kWh/1000)</f>
        <v>1260.63532849577</v>
      </c>
      <c r="C29" s="40">
        <f>IF(ISERROR(B29*3.6/1000000/'E Balans VL '!Z10*100),0,B29*3.6/1000000/'E Balans VL '!Z10*100)</f>
        <v>0.14446796092567962</v>
      </c>
      <c r="D29" s="236" t="s">
        <v>660</v>
      </c>
      <c r="F29" s="6"/>
    </row>
    <row r="30" spans="1:18">
      <c r="A30" s="231" t="s">
        <v>49</v>
      </c>
      <c r="B30" s="34">
        <f>IF(ISERROR(TER_ander_ele_kWh/1000),0,TER_ander_ele_kWh/1000)</f>
        <v>3634.4478963068</v>
      </c>
      <c r="C30" s="40">
        <f>IF(ISERROR(B30*3.6/1000000/'E Balans VL '!Z14*100),0,B30*3.6/1000000/'E Balans VL '!Z14*100)</f>
        <v>0.27101003051812156</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896.87217315762803</v>
      </c>
      <c r="C32" s="40">
        <f>IF(ISERROR(B32*3.6/1000000/'E Balans VL '!Z8*100),0,B32*3.6/1000000/'E Balans VL '!Z8*100)</f>
        <v>7.3896688956522636E-3</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3</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1090.3809620014144</v>
      </c>
      <c r="C5" s="18">
        <f>IF(ISERROR('Eigen informatie GS &amp; warmtenet'!B59),0,'Eigen informatie GS &amp; warmtenet'!B59)</f>
        <v>0</v>
      </c>
      <c r="D5" s="31">
        <f>SUM(D6:D15)</f>
        <v>581.54627547398411</v>
      </c>
      <c r="E5" s="18">
        <f>SUM(E6:E15)</f>
        <v>8.5329313641381308</v>
      </c>
      <c r="F5" s="18">
        <f>SUM(F6:F15)</f>
        <v>462.4038864446095</v>
      </c>
      <c r="G5" s="19"/>
      <c r="H5" s="18"/>
      <c r="I5" s="18"/>
      <c r="J5" s="18">
        <f>SUM(J6:J15)</f>
        <v>2.7033110694326541</v>
      </c>
      <c r="K5" s="18"/>
      <c r="L5" s="18"/>
      <c r="M5" s="18"/>
      <c r="N5" s="18">
        <f>SUM(N6:N15)</f>
        <v>49.985633036199424</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22.873959380934402</v>
      </c>
      <c r="C8" s="34"/>
      <c r="D8" s="38">
        <f>IF( ISERROR(IND_metaal_Gas_kWH/1000),0,IND_metaal_Gas_kWH/1000)*0.902</f>
        <v>0</v>
      </c>
      <c r="E8" s="34">
        <f>C30*'E Balans VL '!I18/100/3.6*1000000</f>
        <v>0.20830902591209438</v>
      </c>
      <c r="F8" s="34">
        <f>C30*'E Balans VL '!L18/100/3.6*1000000+C30*'E Balans VL '!N18/100/3.6*1000000</f>
        <v>3.0169015345141834</v>
      </c>
      <c r="G8" s="35"/>
      <c r="H8" s="34"/>
      <c r="I8" s="34"/>
      <c r="J8" s="41">
        <f>C30*'E Balans VL '!D18/100/3.6*1000000+C30*'E Balans VL '!E18/100/3.6*1000000</f>
        <v>0.37509972205422404</v>
      </c>
      <c r="K8" s="34"/>
      <c r="L8" s="34"/>
      <c r="M8" s="34"/>
      <c r="N8" s="34">
        <f>C30*'E Balans VL '!Y18/100/3.6*1000000</f>
        <v>7.860871173521651E-2</v>
      </c>
      <c r="O8" s="34"/>
      <c r="P8" s="34"/>
      <c r="R8" s="33"/>
    </row>
    <row r="9" spans="1:18">
      <c r="A9" s="6" t="s">
        <v>32</v>
      </c>
      <c r="B9" s="38">
        <f t="shared" si="0"/>
        <v>440.91525848130004</v>
      </c>
      <c r="C9" s="34"/>
      <c r="D9" s="38">
        <f>IF( ISERROR(IND_andere_gas_kWh/1000),0,IND_andere_gas_kWh/1000)*0.902</f>
        <v>0</v>
      </c>
      <c r="E9" s="34">
        <f>C31*'E Balans VL '!I19/100/3.6*1000000</f>
        <v>2.5485560833573908</v>
      </c>
      <c r="F9" s="34">
        <f>C31*'E Balans VL '!L19/100/3.6*1000000+C31*'E Balans VL '!N19/100/3.6*1000000</f>
        <v>350.76930412456426</v>
      </c>
      <c r="G9" s="35"/>
      <c r="H9" s="34"/>
      <c r="I9" s="34"/>
      <c r="J9" s="41">
        <f>C31*'E Balans VL '!D19/100/3.6*1000000+C31*'E Balans VL '!E19/100/3.6*1000000</f>
        <v>4.1705685904356929E-2</v>
      </c>
      <c r="K9" s="34"/>
      <c r="L9" s="34"/>
      <c r="M9" s="34"/>
      <c r="N9" s="34">
        <f>C31*'E Balans VL '!Y19/100/3.6*1000000</f>
        <v>33.406003336036505</v>
      </c>
      <c r="O9" s="34"/>
      <c r="P9" s="34"/>
      <c r="R9" s="33"/>
    </row>
    <row r="10" spans="1:18">
      <c r="A10" s="6" t="s">
        <v>40</v>
      </c>
      <c r="B10" s="38">
        <f t="shared" si="0"/>
        <v>172.041748094327</v>
      </c>
      <c r="C10" s="34"/>
      <c r="D10" s="38">
        <f>IF( ISERROR(IND_voed_gas_kWh/1000),0,IND_voed_gas_kWh/1000)*0.902</f>
        <v>347.19101384182477</v>
      </c>
      <c r="E10" s="34">
        <f>C32*'E Balans VL '!I20/100/3.6*1000000</f>
        <v>1.6916204710126965</v>
      </c>
      <c r="F10" s="34">
        <f>C32*'E Balans VL '!L20/100/3.6*1000000+C32*'E Balans VL '!N20/100/3.6*1000000</f>
        <v>19.107481725633395</v>
      </c>
      <c r="G10" s="35"/>
      <c r="H10" s="34"/>
      <c r="I10" s="34"/>
      <c r="J10" s="41">
        <f>C32*'E Balans VL '!D20/100/3.6*1000000+C32*'E Balans VL '!E20/100/3.6*1000000</f>
        <v>6.7809463149378507E-4</v>
      </c>
      <c r="K10" s="34"/>
      <c r="L10" s="34"/>
      <c r="M10" s="34"/>
      <c r="N10" s="34">
        <f>C32*'E Balans VL '!Y20/100/3.6*1000000</f>
        <v>2.5475336044285553</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454.549996044853</v>
      </c>
      <c r="C15" s="34"/>
      <c r="D15" s="38">
        <f>IF( ISERROR(IND_rest_gas_kWh/1000),0,IND_rest_gas_kWh/1000)*0.902</f>
        <v>234.35526163215934</v>
      </c>
      <c r="E15" s="34">
        <f>C37*'E Balans VL '!I15/100/3.6*1000000</f>
        <v>4.0844457838559487</v>
      </c>
      <c r="F15" s="34">
        <f>C37*'E Balans VL '!L15/100/3.6*1000000+C37*'E Balans VL '!N15/100/3.6*1000000</f>
        <v>89.510199059897587</v>
      </c>
      <c r="G15" s="35"/>
      <c r="H15" s="34"/>
      <c r="I15" s="34"/>
      <c r="J15" s="41">
        <f>C37*'E Balans VL '!D15/100/3.6*1000000+C37*'E Balans VL '!E15/100/3.6*1000000</f>
        <v>2.2858275668425794</v>
      </c>
      <c r="K15" s="34"/>
      <c r="L15" s="34"/>
      <c r="M15" s="34"/>
      <c r="N15" s="34">
        <f>C37*'E Balans VL '!Y15/100/3.6*1000000</f>
        <v>13.953487383999146</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1090.3809620014144</v>
      </c>
      <c r="C18" s="22">
        <f>C5+C16</f>
        <v>0</v>
      </c>
      <c r="D18" s="22">
        <f>MAX((D5+D16),0)</f>
        <v>581.54627547398411</v>
      </c>
      <c r="E18" s="22">
        <f>MAX((E5+E16),0)</f>
        <v>8.5329313641381308</v>
      </c>
      <c r="F18" s="22">
        <f>MAX((F5+F16),0)</f>
        <v>462.4038864446095</v>
      </c>
      <c r="G18" s="22"/>
      <c r="H18" s="22"/>
      <c r="I18" s="22"/>
      <c r="J18" s="22">
        <f>MAX((J5+J16),0)</f>
        <v>2.7033110694326541</v>
      </c>
      <c r="K18" s="22"/>
      <c r="L18" s="22">
        <f>MAX((L5+L16),0)</f>
        <v>0</v>
      </c>
      <c r="M18" s="22"/>
      <c r="N18" s="22">
        <f>MAX((N5+N16),0)</f>
        <v>49.985633036199424</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0.18055302933136322</v>
      </c>
      <c r="C20" s="26">
        <f ca="1">'EF ele_warmte'!B22</f>
        <v>0.23764705882352949</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196.87158581460142</v>
      </c>
      <c r="C22" s="24">
        <f ca="1">C18*C20</f>
        <v>0</v>
      </c>
      <c r="D22" s="24">
        <f>D18*D20</f>
        <v>117.4723476457448</v>
      </c>
      <c r="E22" s="24">
        <f>E18*E20</f>
        <v>1.9369754196593558</v>
      </c>
      <c r="F22" s="24">
        <f>F18*F20</f>
        <v>123.46183768071074</v>
      </c>
      <c r="G22" s="24"/>
      <c r="H22" s="24"/>
      <c r="I22" s="24"/>
      <c r="J22" s="24">
        <f>J18*J20</f>
        <v>0.95697211857915954</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22.873959380934402</v>
      </c>
      <c r="C30" s="40">
        <f>IF(ISERROR(B30*3.6/1000000/'E Balans VL '!Z18*100),0,B30*3.6/1000000/'E Balans VL '!Z18*100)</f>
        <v>1.2727828826949493E-3</v>
      </c>
      <c r="D30" s="236" t="s">
        <v>660</v>
      </c>
    </row>
    <row r="31" spans="1:18">
      <c r="A31" s="6" t="s">
        <v>32</v>
      </c>
      <c r="B31" s="38">
        <f>IF( ISERROR(IND_ander_ele_kWh/1000),0,IND_ander_ele_kWh/1000)</f>
        <v>440.91525848130004</v>
      </c>
      <c r="C31" s="40">
        <f>IF(ISERROR(B31*3.6/1000000/'E Balans VL '!Z19*100),0,B31*3.6/1000000/'E Balans VL '!Z19*100)</f>
        <v>2.0496992389854602E-2</v>
      </c>
      <c r="D31" s="236" t="s">
        <v>660</v>
      </c>
    </row>
    <row r="32" spans="1:18">
      <c r="A32" s="171" t="s">
        <v>40</v>
      </c>
      <c r="B32" s="38">
        <f>IF( ISERROR(IND_voed_ele_kWh/1000),0,IND_voed_ele_kWh/1000)</f>
        <v>172.041748094327</v>
      </c>
      <c r="C32" s="40">
        <f>IF(ISERROR(B32*3.6/1000000/'E Balans VL '!Z20*100),0,B32*3.6/1000000/'E Balans VL '!Z20*100)</f>
        <v>6.0813283421093959E-3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454.549996044853</v>
      </c>
      <c r="C37" s="40">
        <f>IF(ISERROR(B37*3.6/1000000/'E Balans VL '!Z15*100),0,B37*3.6/1000000/'E Balans VL '!Z15*100)</f>
        <v>3.4325239420193972E-3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401.15584351066411</v>
      </c>
      <c r="C5" s="18">
        <f>'Eigen informatie GS &amp; warmtenet'!B60</f>
        <v>0</v>
      </c>
      <c r="D5" s="31">
        <f>IF(ISERROR(SUM(LB_lb_gas_kWh,LB_rest_gas_kWh)/1000),0,SUM(LB_lb_gas_kWh,LB_rest_gas_kWh)/1000)*0.902</f>
        <v>52.997166197100512</v>
      </c>
      <c r="E5" s="18">
        <f>B17*'E Balans VL '!I25/3.6*1000000/100</f>
        <v>3.9614869684035612</v>
      </c>
      <c r="F5" s="18">
        <f>B17*('E Balans VL '!L25/3.6*1000000+'E Balans VL '!N25/3.6*1000000)/100</f>
        <v>1338.3620389730445</v>
      </c>
      <c r="G5" s="19"/>
      <c r="H5" s="18"/>
      <c r="I5" s="18"/>
      <c r="J5" s="18">
        <f>('E Balans VL '!D25+'E Balans VL '!E25)/3.6*1000000*landbouw!B17/100</f>
        <v>40.023177238616213</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401.15584351066411</v>
      </c>
      <c r="C8" s="22">
        <f>C5+C6</f>
        <v>0</v>
      </c>
      <c r="D8" s="22">
        <f>MAX((D5+D6),0)</f>
        <v>52.997166197100512</v>
      </c>
      <c r="E8" s="22">
        <f>MAX((E5+E6),0)</f>
        <v>3.9614869684035612</v>
      </c>
      <c r="F8" s="22">
        <f>MAX((F5+F6),0)</f>
        <v>1338.3620389730445</v>
      </c>
      <c r="G8" s="22"/>
      <c r="H8" s="22"/>
      <c r="I8" s="22"/>
      <c r="J8" s="22">
        <f>MAX((J5+J6),0)</f>
        <v>40.023177238616213</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0.18055302933136322</v>
      </c>
      <c r="C10" s="32">
        <f ca="1">'EF ele_warmte'!B22</f>
        <v>0.23764705882352949</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72.429902779828694</v>
      </c>
      <c r="C12" s="24">
        <f ca="1">C8*C10</f>
        <v>0</v>
      </c>
      <c r="D12" s="24">
        <f>D8*D10</f>
        <v>10.705427571814305</v>
      </c>
      <c r="E12" s="24">
        <f>E8*E10</f>
        <v>0.89925754182760842</v>
      </c>
      <c r="F12" s="24">
        <f>F8*F10</f>
        <v>357.34266440580291</v>
      </c>
      <c r="G12" s="24"/>
      <c r="H12" s="24"/>
      <c r="I12" s="24"/>
      <c r="J12" s="24">
        <f>J8*J10</f>
        <v>14.168204742470138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5.4310090945881385E-2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143.43984346168369</v>
      </c>
      <c r="C26" s="246">
        <f>B26*'GWP N2O_CH4'!B5</f>
        <v>3012.2367126953577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20.211399065567658</v>
      </c>
      <c r="C27" s="246">
        <f>B27*'GWP N2O_CH4'!B5</f>
        <v>424.43938037692084</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2.2612217134695038</v>
      </c>
      <c r="C28" s="246">
        <f>B28*'GWP N2O_CH4'!B4</f>
        <v>700.97873117554616</v>
      </c>
      <c r="D28" s="51"/>
    </row>
    <row r="29" spans="1:4">
      <c r="A29" s="42" t="s">
        <v>266</v>
      </c>
      <c r="B29" s="246">
        <f>B34*'ha_N2O bodem landbouw'!B4</f>
        <v>10.363370560929937</v>
      </c>
      <c r="C29" s="246">
        <f>B29*'GWP N2O_CH4'!B4</f>
        <v>3212.6448738882805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2.7977838097804804E-3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1.0122757393782835E-5</v>
      </c>
      <c r="C5" s="433" t="s">
        <v>204</v>
      </c>
      <c r="D5" s="418">
        <f>SUM(D6:D11)</f>
        <v>1.5221760671868283E-5</v>
      </c>
      <c r="E5" s="418">
        <f>SUM(E6:E11)</f>
        <v>9.5180839711282912E-4</v>
      </c>
      <c r="F5" s="431" t="s">
        <v>204</v>
      </c>
      <c r="G5" s="418">
        <f>SUM(G6:G11)</f>
        <v>0.16933313645189216</v>
      </c>
      <c r="H5" s="418">
        <f>SUM(H6:H11)</f>
        <v>3.8111414966066168E-2</v>
      </c>
      <c r="I5" s="433" t="s">
        <v>204</v>
      </c>
      <c r="J5" s="433" t="s">
        <v>204</v>
      </c>
      <c r="K5" s="433" t="s">
        <v>204</v>
      </c>
      <c r="L5" s="433" t="s">
        <v>204</v>
      </c>
      <c r="M5" s="418">
        <f>SUM(M6:M11)</f>
        <v>9.2803075836803035E-3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5.0142899206855489E-6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5.8156641028431778E-6</v>
      </c>
      <c r="E6" s="421">
        <f>vkm_GW_PW*SUMIFS(TableVerdeelsleutelVkm[LPG],TableVerdeelsleutelVkm[Voertuigtype],"Lichte voertuigen")*SUMIFS(TableECFTransport[EnergieConsumptieFactor (PJ per km)],TableECFTransport[Index],CONCATENATE($A6,"_LPG_LPG"))</f>
        <v>3.7642656439457265E-4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5.9351833251508647E-2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1.5007900200887608E-2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3.3283466401380114E-3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8.3200628692294446E-8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1.3763125068645476E-2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4.2892734679264795E-7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6.1241689839062563E-4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4.9760637682471341E-6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9.4060965690251062E-6</v>
      </c>
      <c r="E8" s="421">
        <f>vkm_NGW_PW*SUMIFS(TableVerdeelsleutelVkm[LPG],TableVerdeelsleutelVkm[Voertuigtype],"Lichte voertuigen")*SUMIFS(TableECFTransport[EnergieConsumptieFactor (PJ per km)],TableECFTransport[Index],CONCATENATE($A8,"_LPG_LPG"))</f>
        <v>5.7538183271825646E-4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8.5780888653783346E-2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2.3102779665578839E-2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4.8751175160780345E-3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4.9203076157857505E-8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1.0437289477954696E-2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3.061722529238733E-7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4.644265290736326E-4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2.8118770538285651</v>
      </c>
      <c r="C14" s="22"/>
      <c r="D14" s="22">
        <f t="shared" ref="D14:M14" si="0">((D5)*10^9/3600)+D12</f>
        <v>4.2282668532967458</v>
      </c>
      <c r="E14" s="22">
        <f t="shared" si="0"/>
        <v>264.39122142023029</v>
      </c>
      <c r="F14" s="22"/>
      <c r="G14" s="22">
        <f t="shared" si="0"/>
        <v>47036.982347747828</v>
      </c>
      <c r="H14" s="22">
        <f t="shared" si="0"/>
        <v>10586.504157240603</v>
      </c>
      <c r="I14" s="22"/>
      <c r="J14" s="22"/>
      <c r="K14" s="22"/>
      <c r="L14" s="22"/>
      <c r="M14" s="22">
        <f t="shared" si="0"/>
        <v>2577.8632176889732</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0.18055302933136322</v>
      </c>
      <c r="C16" s="57">
        <f ca="1">'EF ele_warmte'!B22</f>
        <v>0.23764705882352949</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0.50769292017609613</v>
      </c>
      <c r="C18" s="24"/>
      <c r="D18" s="24">
        <f t="shared" ref="D18:M18" si="1">D14*D16</f>
        <v>0.8541099043659427</v>
      </c>
      <c r="E18" s="24">
        <f t="shared" si="1"/>
        <v>60.016807262392277</v>
      </c>
      <c r="F18" s="24"/>
      <c r="G18" s="24">
        <f t="shared" si="1"/>
        <v>12558.874286848672</v>
      </c>
      <c r="H18" s="24">
        <f t="shared" si="1"/>
        <v>2636.03953515291</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4.4425940890273715E-5</v>
      </c>
      <c r="C50" s="316">
        <f t="shared" ref="C50:P50" si="2">SUM(C51:C52)</f>
        <v>0</v>
      </c>
      <c r="D50" s="316">
        <f t="shared" si="2"/>
        <v>0</v>
      </c>
      <c r="E50" s="316">
        <f t="shared" si="2"/>
        <v>0</v>
      </c>
      <c r="F50" s="316">
        <f t="shared" si="2"/>
        <v>0</v>
      </c>
      <c r="G50" s="316">
        <f t="shared" si="2"/>
        <v>8.8608417446377763E-3</v>
      </c>
      <c r="H50" s="316">
        <f t="shared" si="2"/>
        <v>0</v>
      </c>
      <c r="I50" s="316">
        <f t="shared" si="2"/>
        <v>0</v>
      </c>
      <c r="J50" s="316">
        <f t="shared" si="2"/>
        <v>0</v>
      </c>
      <c r="K50" s="316">
        <f t="shared" si="2"/>
        <v>0</v>
      </c>
      <c r="L50" s="316">
        <f t="shared" si="2"/>
        <v>0</v>
      </c>
      <c r="M50" s="316">
        <f t="shared" si="2"/>
        <v>3.9163976793617547E-4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4.4425940890273715E-5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8.8608417446377763E-3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3.9163976793617547E-4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12.340539136187143</v>
      </c>
      <c r="C54" s="22">
        <f t="shared" ref="C54:P54" si="3">(C50)*10^9/3600</f>
        <v>0</v>
      </c>
      <c r="D54" s="22">
        <f t="shared" si="3"/>
        <v>0</v>
      </c>
      <c r="E54" s="22">
        <f t="shared" si="3"/>
        <v>0</v>
      </c>
      <c r="F54" s="22">
        <f t="shared" si="3"/>
        <v>0</v>
      </c>
      <c r="G54" s="22">
        <f t="shared" si="3"/>
        <v>2461.3449290660487</v>
      </c>
      <c r="H54" s="22">
        <f t="shared" si="3"/>
        <v>0</v>
      </c>
      <c r="I54" s="22">
        <f t="shared" si="3"/>
        <v>0</v>
      </c>
      <c r="J54" s="22">
        <f t="shared" si="3"/>
        <v>0</v>
      </c>
      <c r="K54" s="22">
        <f t="shared" si="3"/>
        <v>0</v>
      </c>
      <c r="L54" s="22">
        <f t="shared" si="3"/>
        <v>0</v>
      </c>
      <c r="M54" s="22">
        <f t="shared" si="3"/>
        <v>108.78882442671541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0.18055302933136322</v>
      </c>
      <c r="C56" s="57">
        <f ca="1">'EF ele_warmte'!B22</f>
        <v>0.23764705882352949</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2.2281217246208329</v>
      </c>
      <c r="C58" s="24">
        <f t="shared" ref="C58:P58" ca="1" si="4">C54*C56</f>
        <v>0</v>
      </c>
      <c r="D58" s="24">
        <f t="shared" si="4"/>
        <v>0</v>
      </c>
      <c r="E58" s="24">
        <f t="shared" si="4"/>
        <v>0</v>
      </c>
      <c r="F58" s="24">
        <f t="shared" si="4"/>
        <v>0</v>
      </c>
      <c r="G58" s="24">
        <f t="shared" si="4"/>
        <v>657.17909606063506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1628.76410857119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54</v>
      </c>
      <c r="C8" s="544">
        <f>B48</f>
        <v>63.529411764705898</v>
      </c>
      <c r="D8" s="931"/>
      <c r="E8" s="931">
        <f>E48</f>
        <v>0</v>
      </c>
      <c r="F8" s="932"/>
      <c r="G8" s="545"/>
      <c r="H8" s="931">
        <f>I48</f>
        <v>0</v>
      </c>
      <c r="I8" s="931">
        <f>G48+F48</f>
        <v>0</v>
      </c>
      <c r="J8" s="931">
        <f>H48+D48+C48</f>
        <v>0</v>
      </c>
      <c r="K8" s="931"/>
      <c r="L8" s="931"/>
      <c r="M8" s="931"/>
      <c r="N8" s="546"/>
      <c r="O8" s="547">
        <f>C8*$C$12+D8*$D$12+E8*$E$12+F8*$F$12+G8*$G$12+H8*$H$12+I8*$I$12+J8*$J$12</f>
        <v>12.832941176470593</v>
      </c>
      <c r="P8" s="1206"/>
      <c r="Q8" s="1207"/>
      <c r="S8" s="968"/>
      <c r="T8" s="1227"/>
      <c r="U8" s="1227"/>
    </row>
    <row r="9" spans="1:21" s="532" customFormat="1" ht="17.45" customHeight="1" thickBot="1">
      <c r="A9" s="548" t="s">
        <v>237</v>
      </c>
      <c r="B9" s="933">
        <f>N36+'Eigen informatie GS &amp; warmtenet'!B12</f>
        <v>4864.5</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13898.571428571429</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6547.2641085711903</v>
      </c>
      <c r="C10" s="556">
        <f t="shared" ref="C10:L10" si="0">SUM(C8:C9)</f>
        <v>63.529411764705898</v>
      </c>
      <c r="D10" s="556">
        <f t="shared" si="0"/>
        <v>0</v>
      </c>
      <c r="E10" s="556">
        <f t="shared" si="0"/>
        <v>0</v>
      </c>
      <c r="F10" s="556">
        <f t="shared" si="0"/>
        <v>0</v>
      </c>
      <c r="G10" s="556">
        <f t="shared" si="0"/>
        <v>0</v>
      </c>
      <c r="H10" s="556">
        <f t="shared" si="0"/>
        <v>0</v>
      </c>
      <c r="I10" s="556">
        <f t="shared" si="0"/>
        <v>0</v>
      </c>
      <c r="J10" s="556">
        <f t="shared" si="0"/>
        <v>13898.571428571429</v>
      </c>
      <c r="K10" s="556">
        <f t="shared" si="0"/>
        <v>0</v>
      </c>
      <c r="L10" s="556">
        <f t="shared" si="0"/>
        <v>0</v>
      </c>
      <c r="M10" s="935"/>
      <c r="N10" s="935"/>
      <c r="O10" s="557">
        <f>SUM(O4:O9)</f>
        <v>12.832941176470593</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77.142857142857139</v>
      </c>
      <c r="C17" s="568">
        <f>B49</f>
        <v>90.756302521008422</v>
      </c>
      <c r="D17" s="569"/>
      <c r="E17" s="569">
        <f>E49</f>
        <v>0</v>
      </c>
      <c r="F17" s="570"/>
      <c r="G17" s="571"/>
      <c r="H17" s="568">
        <f>I49</f>
        <v>0</v>
      </c>
      <c r="I17" s="569">
        <f>G49+F49</f>
        <v>0</v>
      </c>
      <c r="J17" s="569">
        <f>H49+D49+C49</f>
        <v>0</v>
      </c>
      <c r="K17" s="569"/>
      <c r="L17" s="569"/>
      <c r="M17" s="569"/>
      <c r="N17" s="938"/>
      <c r="O17" s="572">
        <f>C17*$C$22+E17*$E$22+H17*$H$22+I17*$I$22+J17*$J$22+D17*$D$22+F17*$F$22+G17*$G$22+K17*$K$22+L17*$L$22</f>
        <v>18.332773109243703</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77.142857142857139</v>
      </c>
      <c r="C20" s="555">
        <f>SUM(C17:C19)</f>
        <v>90.756302521008422</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18.332773109243703</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63.75" hidden="1">
      <c r="A28" s="580"/>
      <c r="B28" s="740">
        <v>24045</v>
      </c>
      <c r="C28" s="740">
        <v>3040</v>
      </c>
      <c r="D28" s="628"/>
      <c r="E28" s="627"/>
      <c r="F28" s="627"/>
      <c r="G28" s="627" t="s">
        <v>942</v>
      </c>
      <c r="H28" s="627" t="s">
        <v>943</v>
      </c>
      <c r="I28" s="627"/>
      <c r="J28" s="739"/>
      <c r="K28" s="739"/>
      <c r="L28" s="627" t="s">
        <v>944</v>
      </c>
      <c r="M28" s="627">
        <v>12</v>
      </c>
      <c r="N28" s="627">
        <v>54</v>
      </c>
      <c r="O28" s="627">
        <v>77.142857142857139</v>
      </c>
      <c r="P28" s="627">
        <v>154.28571428571431</v>
      </c>
      <c r="Q28" s="627">
        <v>0</v>
      </c>
      <c r="R28" s="627">
        <v>0</v>
      </c>
      <c r="S28" s="627">
        <v>0</v>
      </c>
      <c r="T28" s="627">
        <v>0</v>
      </c>
      <c r="U28" s="627">
        <v>0</v>
      </c>
      <c r="V28" s="627">
        <v>0</v>
      </c>
      <c r="W28" s="627"/>
      <c r="X28" s="627"/>
      <c r="Y28" s="627">
        <v>1600</v>
      </c>
      <c r="Z28" s="627" t="s">
        <v>49</v>
      </c>
      <c r="AA28" s="629" t="s">
        <v>149</v>
      </c>
    </row>
    <row r="29" spans="1:27" s="563" customFormat="1" hidden="1">
      <c r="A29" s="583" t="s">
        <v>269</v>
      </c>
      <c r="B29" s="584"/>
      <c r="C29" s="584"/>
      <c r="D29" s="584"/>
      <c r="E29" s="584"/>
      <c r="F29" s="584"/>
      <c r="G29" s="584"/>
      <c r="H29" s="584"/>
      <c r="I29" s="584"/>
      <c r="J29" s="584"/>
      <c r="K29" s="584"/>
      <c r="L29" s="585"/>
      <c r="M29" s="585">
        <f>SUM(M28:M28)</f>
        <v>12</v>
      </c>
      <c r="N29" s="585">
        <f>SUM(N28:N28)</f>
        <v>54</v>
      </c>
      <c r="O29" s="585">
        <f>SUM(O28:O28)</f>
        <v>77.142857142857139</v>
      </c>
      <c r="P29" s="585">
        <f>SUM(P28:P28)</f>
        <v>154.28571428571431</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12</v>
      </c>
      <c r="N31" s="585">
        <f ca="1">SUMIF($AA$28:AE28,"tertiair",N28:N28)</f>
        <v>54</v>
      </c>
      <c r="O31" s="585">
        <f ca="1">SUMIF($AA$28:AF28,"tertiair",O28:O28)</f>
        <v>77.142857142857139</v>
      </c>
      <c r="P31" s="585">
        <f ca="1">SUMIF($AA$28:AG28,"tertiair",P28:P28)</f>
        <v>154.28571428571431</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63.75" hidden="1">
      <c r="A35" s="582"/>
      <c r="B35" s="740">
        <v>24045</v>
      </c>
      <c r="C35" s="740">
        <v>3040</v>
      </c>
      <c r="D35" s="630"/>
      <c r="E35" s="630"/>
      <c r="F35" s="630"/>
      <c r="G35" s="630" t="s">
        <v>945</v>
      </c>
      <c r="H35" s="630" t="s">
        <v>946</v>
      </c>
      <c r="I35" s="630"/>
      <c r="J35" s="739"/>
      <c r="K35" s="739"/>
      <c r="L35" s="630" t="s">
        <v>947</v>
      </c>
      <c r="M35" s="630">
        <v>1081</v>
      </c>
      <c r="N35" s="630">
        <v>4864.5</v>
      </c>
      <c r="O35" s="630">
        <v>0</v>
      </c>
      <c r="P35" s="630">
        <v>0</v>
      </c>
      <c r="Q35" s="630">
        <v>0</v>
      </c>
      <c r="R35" s="630">
        <v>13898.571428571429</v>
      </c>
      <c r="S35" s="630">
        <v>0</v>
      </c>
      <c r="T35" s="630">
        <v>0</v>
      </c>
      <c r="U35" s="630">
        <v>0</v>
      </c>
      <c r="V35" s="630">
        <v>0</v>
      </c>
      <c r="W35" s="630"/>
      <c r="X35" s="630"/>
      <c r="Y35" s="630">
        <v>1600</v>
      </c>
      <c r="Z35" s="630" t="s">
        <v>49</v>
      </c>
      <c r="AA35" s="631" t="s">
        <v>149</v>
      </c>
    </row>
    <row r="36" spans="1:28" s="563" customFormat="1" hidden="1">
      <c r="A36" s="583" t="s">
        <v>269</v>
      </c>
      <c r="B36" s="584"/>
      <c r="C36" s="584"/>
      <c r="D36" s="584"/>
      <c r="E36" s="584"/>
      <c r="F36" s="584"/>
      <c r="G36" s="584"/>
      <c r="H36" s="584"/>
      <c r="I36" s="584"/>
      <c r="J36" s="584"/>
      <c r="K36" s="584"/>
      <c r="L36" s="585"/>
      <c r="M36" s="585">
        <f>SUM(M35:M35)</f>
        <v>1081</v>
      </c>
      <c r="N36" s="585">
        <f>SUM(N35:N35)</f>
        <v>4864.5</v>
      </c>
      <c r="O36" s="585">
        <f>SUM(O35:O35)</f>
        <v>0</v>
      </c>
      <c r="P36" s="585">
        <f>SUM(P35:P35)</f>
        <v>0</v>
      </c>
      <c r="Q36" s="585">
        <f>SUM(Q35:Q35)</f>
        <v>0</v>
      </c>
      <c r="R36" s="585">
        <f>SUM(R35:R35)</f>
        <v>13898.571428571429</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1081</v>
      </c>
      <c r="N38" s="585">
        <f>SUMIF($AA$35:$AA$36,"tertiair",N35:N36)</f>
        <v>4864.5</v>
      </c>
      <c r="O38" s="585">
        <f>SUMIF($AA$35:$AA$36,"tertiair",O35:O36)</f>
        <v>0</v>
      </c>
      <c r="P38" s="585">
        <f>SUMIF($AA$35:$AA$36,"tertiair",P35:P36)</f>
        <v>0</v>
      </c>
      <c r="Q38" s="585">
        <f>SUMIF($AA$35:$AA$36,"tertiair",Q35:Q36)</f>
        <v>0</v>
      </c>
      <c r="R38" s="585">
        <f>SUMIF($AA$35:$AA$36,"tertiair",R35:R36)</f>
        <v>13898.571428571429</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0.41176470588235298</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63.529411764705898</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90.756302521008422</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14725.083997713318</v>
      </c>
      <c r="D10" s="639">
        <f ca="1">tertiair!C16</f>
        <v>77.142857142857139</v>
      </c>
      <c r="E10" s="639">
        <f ca="1">tertiair!D16</f>
        <v>8049.919855950885</v>
      </c>
      <c r="F10" s="639">
        <f>tertiair!E16</f>
        <v>73.406154981126662</v>
      </c>
      <c r="G10" s="639">
        <f ca="1">tertiair!F16</f>
        <v>2155.664105787971</v>
      </c>
      <c r="H10" s="639">
        <f>tertiair!G16</f>
        <v>0</v>
      </c>
      <c r="I10" s="639">
        <f>tertiair!H16</f>
        <v>0</v>
      </c>
      <c r="J10" s="639">
        <f>tertiair!I16</f>
        <v>0</v>
      </c>
      <c r="K10" s="639">
        <f>tertiair!J16</f>
        <v>0</v>
      </c>
      <c r="L10" s="639">
        <f>tertiair!K16</f>
        <v>0</v>
      </c>
      <c r="M10" s="639">
        <f ca="1">tertiair!L16</f>
        <v>0</v>
      </c>
      <c r="N10" s="639">
        <f>tertiair!M16</f>
        <v>0</v>
      </c>
      <c r="O10" s="639">
        <f ca="1">tertiair!N16</f>
        <v>0</v>
      </c>
      <c r="P10" s="639">
        <f>tertiair!O16</f>
        <v>4.6900000000000004</v>
      </c>
      <c r="Q10" s="640">
        <f>tertiair!P16</f>
        <v>0</v>
      </c>
      <c r="R10" s="642">
        <f ca="1">SUM(C10:Q10)</f>
        <v>25085.906971576158</v>
      </c>
      <c r="S10" s="68"/>
    </row>
    <row r="11" spans="1:19" s="443" customFormat="1">
      <c r="A11" s="753" t="s">
        <v>214</v>
      </c>
      <c r="B11" s="758"/>
      <c r="C11" s="639">
        <f>huishoudens!B8</f>
        <v>18750.84326697731</v>
      </c>
      <c r="D11" s="639">
        <f>huishoudens!C8</f>
        <v>0</v>
      </c>
      <c r="E11" s="639">
        <f>huishoudens!D8</f>
        <v>25501.991739798374</v>
      </c>
      <c r="F11" s="639">
        <f>huishoudens!E8</f>
        <v>1264.6749398554623</v>
      </c>
      <c r="G11" s="639">
        <f>huishoudens!F8</f>
        <v>38556.267190673847</v>
      </c>
      <c r="H11" s="639">
        <f>huishoudens!G8</f>
        <v>0</v>
      </c>
      <c r="I11" s="639">
        <f>huishoudens!H8</f>
        <v>0</v>
      </c>
      <c r="J11" s="639">
        <f>huishoudens!I8</f>
        <v>0</v>
      </c>
      <c r="K11" s="639">
        <f>huishoudens!J8</f>
        <v>699.5900334041014</v>
      </c>
      <c r="L11" s="639">
        <f>huishoudens!K8</f>
        <v>0</v>
      </c>
      <c r="M11" s="639">
        <f>huishoudens!L8</f>
        <v>0</v>
      </c>
      <c r="N11" s="639">
        <f>huishoudens!M8</f>
        <v>0</v>
      </c>
      <c r="O11" s="639">
        <f>huishoudens!N8</f>
        <v>5705.5619074172764</v>
      </c>
      <c r="P11" s="639">
        <f>huishoudens!O8</f>
        <v>90.673333333333346</v>
      </c>
      <c r="Q11" s="640">
        <f>huishoudens!P8</f>
        <v>305.06666666666666</v>
      </c>
      <c r="R11" s="642">
        <f>SUM(C11:Q11)</f>
        <v>90874.669078126375</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1090.3809620014144</v>
      </c>
      <c r="D13" s="639">
        <f>industrie!C18</f>
        <v>0</v>
      </c>
      <c r="E13" s="639">
        <f>industrie!D18</f>
        <v>581.54627547398411</v>
      </c>
      <c r="F13" s="639">
        <f>industrie!E18</f>
        <v>8.5329313641381308</v>
      </c>
      <c r="G13" s="639">
        <f>industrie!F18</f>
        <v>462.4038864446095</v>
      </c>
      <c r="H13" s="639">
        <f>industrie!G18</f>
        <v>0</v>
      </c>
      <c r="I13" s="639">
        <f>industrie!H18</f>
        <v>0</v>
      </c>
      <c r="J13" s="639">
        <f>industrie!I18</f>
        <v>0</v>
      </c>
      <c r="K13" s="639">
        <f>industrie!J18</f>
        <v>2.7033110694326541</v>
      </c>
      <c r="L13" s="639">
        <f>industrie!K18</f>
        <v>0</v>
      </c>
      <c r="M13" s="639">
        <f>industrie!L18</f>
        <v>0</v>
      </c>
      <c r="N13" s="639">
        <f>industrie!M18</f>
        <v>0</v>
      </c>
      <c r="O13" s="639">
        <f>industrie!N18</f>
        <v>49.985633036199424</v>
      </c>
      <c r="P13" s="639">
        <f>industrie!O18</f>
        <v>0</v>
      </c>
      <c r="Q13" s="640">
        <f>industrie!P18</f>
        <v>0</v>
      </c>
      <c r="R13" s="642">
        <f>SUM(C13:Q13)</f>
        <v>2195.5529993897785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34566.308226692046</v>
      </c>
      <c r="D16" s="672">
        <f t="shared" ref="D16:R16" ca="1" si="0">SUM(D9:D15)</f>
        <v>77.142857142857139</v>
      </c>
      <c r="E16" s="672">
        <f t="shared" ca="1" si="0"/>
        <v>34133.457871223247</v>
      </c>
      <c r="F16" s="672">
        <f t="shared" si="0"/>
        <v>1346.6140262007273</v>
      </c>
      <c r="G16" s="672">
        <f t="shared" ca="1" si="0"/>
        <v>41174.335182906427</v>
      </c>
      <c r="H16" s="672">
        <f t="shared" si="0"/>
        <v>0</v>
      </c>
      <c r="I16" s="672">
        <f t="shared" si="0"/>
        <v>0</v>
      </c>
      <c r="J16" s="672">
        <f t="shared" si="0"/>
        <v>0</v>
      </c>
      <c r="K16" s="672">
        <f t="shared" si="0"/>
        <v>702.29334447353403</v>
      </c>
      <c r="L16" s="672">
        <f t="shared" si="0"/>
        <v>0</v>
      </c>
      <c r="M16" s="672">
        <f t="shared" ca="1" si="0"/>
        <v>0</v>
      </c>
      <c r="N16" s="672">
        <f t="shared" si="0"/>
        <v>0</v>
      </c>
      <c r="O16" s="672">
        <f t="shared" ca="1" si="0"/>
        <v>5755.5475404534754</v>
      </c>
      <c r="P16" s="672">
        <f t="shared" si="0"/>
        <v>95.363333333333344</v>
      </c>
      <c r="Q16" s="672">
        <f t="shared" si="0"/>
        <v>305.06666666666666</v>
      </c>
      <c r="R16" s="672">
        <f t="shared" ca="1" si="0"/>
        <v>118156.12904909231</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12.340539136187143</v>
      </c>
      <c r="D19" s="639">
        <f>transport!C54</f>
        <v>0</v>
      </c>
      <c r="E19" s="639">
        <f>transport!D54</f>
        <v>0</v>
      </c>
      <c r="F19" s="639">
        <f>transport!E54</f>
        <v>0</v>
      </c>
      <c r="G19" s="639">
        <f>transport!F54</f>
        <v>0</v>
      </c>
      <c r="H19" s="639">
        <f>transport!G54</f>
        <v>2461.3449290660487</v>
      </c>
      <c r="I19" s="639">
        <f>transport!H54</f>
        <v>0</v>
      </c>
      <c r="J19" s="639">
        <f>transport!I54</f>
        <v>0</v>
      </c>
      <c r="K19" s="639">
        <f>transport!J54</f>
        <v>0</v>
      </c>
      <c r="L19" s="639">
        <f>transport!K54</f>
        <v>0</v>
      </c>
      <c r="M19" s="639">
        <f>transport!L54</f>
        <v>0</v>
      </c>
      <c r="N19" s="639">
        <f>transport!M54</f>
        <v>108.78882442671541</v>
      </c>
      <c r="O19" s="639">
        <f>transport!N54</f>
        <v>0</v>
      </c>
      <c r="P19" s="639">
        <f>transport!O54</f>
        <v>0</v>
      </c>
      <c r="Q19" s="640">
        <f>transport!P54</f>
        <v>0</v>
      </c>
      <c r="R19" s="642">
        <f>SUM(C19:Q19)</f>
        <v>2582.4742926289514</v>
      </c>
      <c r="S19" s="68"/>
    </row>
    <row r="20" spans="1:19" s="443" customFormat="1">
      <c r="A20" s="753" t="s">
        <v>296</v>
      </c>
      <c r="B20" s="758"/>
      <c r="C20" s="639">
        <f>transport!B14</f>
        <v>2.8118770538285651</v>
      </c>
      <c r="D20" s="639">
        <f>transport!C14</f>
        <v>0</v>
      </c>
      <c r="E20" s="639">
        <f>transport!D14</f>
        <v>4.2282668532967458</v>
      </c>
      <c r="F20" s="639">
        <f>transport!E14</f>
        <v>264.39122142023029</v>
      </c>
      <c r="G20" s="639">
        <f>transport!F14</f>
        <v>0</v>
      </c>
      <c r="H20" s="639">
        <f>transport!G14</f>
        <v>47036.982347747828</v>
      </c>
      <c r="I20" s="639">
        <f>transport!H14</f>
        <v>10586.504157240603</v>
      </c>
      <c r="J20" s="639">
        <f>transport!I14</f>
        <v>0</v>
      </c>
      <c r="K20" s="639">
        <f>transport!J14</f>
        <v>0</v>
      </c>
      <c r="L20" s="639">
        <f>transport!K14</f>
        <v>0</v>
      </c>
      <c r="M20" s="639">
        <f>transport!L14</f>
        <v>0</v>
      </c>
      <c r="N20" s="639">
        <f>transport!M14</f>
        <v>2577.8632176889732</v>
      </c>
      <c r="O20" s="639">
        <f>transport!N14</f>
        <v>0</v>
      </c>
      <c r="P20" s="639">
        <f>transport!O14</f>
        <v>0</v>
      </c>
      <c r="Q20" s="640">
        <f>transport!P14</f>
        <v>0</v>
      </c>
      <c r="R20" s="642">
        <f>SUM(C20:Q20)</f>
        <v>60472.781088004762</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15.152416190015709</v>
      </c>
      <c r="D22" s="756">
        <f t="shared" ref="D22:R22" si="1">SUM(D18:D21)</f>
        <v>0</v>
      </c>
      <c r="E22" s="756">
        <f t="shared" si="1"/>
        <v>4.2282668532967458</v>
      </c>
      <c r="F22" s="756">
        <f t="shared" si="1"/>
        <v>264.39122142023029</v>
      </c>
      <c r="G22" s="756">
        <f t="shared" si="1"/>
        <v>0</v>
      </c>
      <c r="H22" s="756">
        <f t="shared" si="1"/>
        <v>49498.327276813878</v>
      </c>
      <c r="I22" s="756">
        <f t="shared" si="1"/>
        <v>10586.504157240603</v>
      </c>
      <c r="J22" s="756">
        <f t="shared" si="1"/>
        <v>0</v>
      </c>
      <c r="K22" s="756">
        <f t="shared" si="1"/>
        <v>0</v>
      </c>
      <c r="L22" s="756">
        <f t="shared" si="1"/>
        <v>0</v>
      </c>
      <c r="M22" s="756">
        <f t="shared" si="1"/>
        <v>0</v>
      </c>
      <c r="N22" s="756">
        <f t="shared" si="1"/>
        <v>2686.6520421156888</v>
      </c>
      <c r="O22" s="756">
        <f t="shared" si="1"/>
        <v>0</v>
      </c>
      <c r="P22" s="756">
        <f t="shared" si="1"/>
        <v>0</v>
      </c>
      <c r="Q22" s="756">
        <f t="shared" si="1"/>
        <v>0</v>
      </c>
      <c r="R22" s="756">
        <f t="shared" si="1"/>
        <v>63055.255380633716</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401.15584351066411</v>
      </c>
      <c r="D24" s="639">
        <f>+landbouw!C8</f>
        <v>0</v>
      </c>
      <c r="E24" s="639">
        <f>+landbouw!D8</f>
        <v>52.997166197100512</v>
      </c>
      <c r="F24" s="639">
        <f>+landbouw!E8</f>
        <v>3.9614869684035612</v>
      </c>
      <c r="G24" s="639">
        <f>+landbouw!F8</f>
        <v>1338.3620389730445</v>
      </c>
      <c r="H24" s="639">
        <f>+landbouw!G8</f>
        <v>0</v>
      </c>
      <c r="I24" s="639">
        <f>+landbouw!H8</f>
        <v>0</v>
      </c>
      <c r="J24" s="639">
        <f>+landbouw!I8</f>
        <v>0</v>
      </c>
      <c r="K24" s="639">
        <f>+landbouw!J8</f>
        <v>40.023177238616213</v>
      </c>
      <c r="L24" s="639">
        <f>+landbouw!K8</f>
        <v>0</v>
      </c>
      <c r="M24" s="639">
        <f>+landbouw!L8</f>
        <v>0</v>
      </c>
      <c r="N24" s="639">
        <f>+landbouw!M8</f>
        <v>0</v>
      </c>
      <c r="O24" s="639">
        <f>+landbouw!N8</f>
        <v>0</v>
      </c>
      <c r="P24" s="639">
        <f>+landbouw!O8</f>
        <v>0</v>
      </c>
      <c r="Q24" s="640">
        <f>+landbouw!P8</f>
        <v>0</v>
      </c>
      <c r="R24" s="642">
        <f>SUM(C24:Q24)</f>
        <v>1836.4997128878288</v>
      </c>
      <c r="S24" s="68"/>
    </row>
    <row r="25" spans="1:19" s="443" customFormat="1" ht="15" thickBot="1">
      <c r="A25" s="775" t="s">
        <v>847</v>
      </c>
      <c r="B25" s="941"/>
      <c r="C25" s="942">
        <f>IF(Onbekend_ele_kWh="---",0,Onbekend_ele_kWh)/1000+IF(REST_rest_ele_kWh="---",0,REST_rest_ele_kWh)/1000</f>
        <v>473.99257752898501</v>
      </c>
      <c r="D25" s="942"/>
      <c r="E25" s="942">
        <f>IF(onbekend_gas_kWh="---",0,onbekend_gas_kWh)/1000+IF(REST_rest_gas_kWh="---",0,REST_rest_gas_kWh)/1000</f>
        <v>719.89809257619902</v>
      </c>
      <c r="F25" s="942"/>
      <c r="G25" s="942"/>
      <c r="H25" s="942"/>
      <c r="I25" s="942"/>
      <c r="J25" s="942"/>
      <c r="K25" s="942"/>
      <c r="L25" s="942"/>
      <c r="M25" s="942"/>
      <c r="N25" s="942"/>
      <c r="O25" s="942"/>
      <c r="P25" s="942"/>
      <c r="Q25" s="943"/>
      <c r="R25" s="642">
        <f>SUM(C25:Q25)</f>
        <v>1193.890670105184</v>
      </c>
      <c r="S25" s="68"/>
    </row>
    <row r="26" spans="1:19" s="443" customFormat="1" ht="15.75" thickBot="1">
      <c r="A26" s="645" t="s">
        <v>848</v>
      </c>
      <c r="B26" s="761"/>
      <c r="C26" s="756">
        <f>SUM(C24:C25)</f>
        <v>875.14842103964907</v>
      </c>
      <c r="D26" s="756">
        <f t="shared" ref="D26:R26" si="2">SUM(D24:D25)</f>
        <v>0</v>
      </c>
      <c r="E26" s="756">
        <f t="shared" si="2"/>
        <v>772.89525877329947</v>
      </c>
      <c r="F26" s="756">
        <f t="shared" si="2"/>
        <v>3.9614869684035612</v>
      </c>
      <c r="G26" s="756">
        <f t="shared" si="2"/>
        <v>1338.3620389730445</v>
      </c>
      <c r="H26" s="756">
        <f t="shared" si="2"/>
        <v>0</v>
      </c>
      <c r="I26" s="756">
        <f t="shared" si="2"/>
        <v>0</v>
      </c>
      <c r="J26" s="756">
        <f t="shared" si="2"/>
        <v>0</v>
      </c>
      <c r="K26" s="756">
        <f t="shared" si="2"/>
        <v>40.023177238616213</v>
      </c>
      <c r="L26" s="756">
        <f t="shared" si="2"/>
        <v>0</v>
      </c>
      <c r="M26" s="756">
        <f t="shared" si="2"/>
        <v>0</v>
      </c>
      <c r="N26" s="756">
        <f t="shared" si="2"/>
        <v>0</v>
      </c>
      <c r="O26" s="756">
        <f t="shared" si="2"/>
        <v>0</v>
      </c>
      <c r="P26" s="756">
        <f t="shared" si="2"/>
        <v>0</v>
      </c>
      <c r="Q26" s="756">
        <f t="shared" si="2"/>
        <v>0</v>
      </c>
      <c r="R26" s="756">
        <f t="shared" si="2"/>
        <v>3030.3903829930127</v>
      </c>
      <c r="S26" s="68"/>
    </row>
    <row r="27" spans="1:19" s="443" customFormat="1" ht="17.25" thickTop="1" thickBot="1">
      <c r="A27" s="646" t="s">
        <v>109</v>
      </c>
      <c r="B27" s="748"/>
      <c r="C27" s="647">
        <f ca="1">C22+C16+C26</f>
        <v>35456.609063921715</v>
      </c>
      <c r="D27" s="647">
        <f t="shared" ref="D27:R27" ca="1" si="3">D22+D16+D26</f>
        <v>77.142857142857139</v>
      </c>
      <c r="E27" s="647">
        <f t="shared" ca="1" si="3"/>
        <v>34910.581396849841</v>
      </c>
      <c r="F27" s="647">
        <f t="shared" si="3"/>
        <v>1614.9667345893611</v>
      </c>
      <c r="G27" s="647">
        <f t="shared" ca="1" si="3"/>
        <v>42512.697221879469</v>
      </c>
      <c r="H27" s="647">
        <f t="shared" si="3"/>
        <v>49498.327276813878</v>
      </c>
      <c r="I27" s="647">
        <f t="shared" si="3"/>
        <v>10586.504157240603</v>
      </c>
      <c r="J27" s="647">
        <f t="shared" si="3"/>
        <v>0</v>
      </c>
      <c r="K27" s="647">
        <f t="shared" si="3"/>
        <v>742.31652171215023</v>
      </c>
      <c r="L27" s="647">
        <f t="shared" si="3"/>
        <v>0</v>
      </c>
      <c r="M27" s="647">
        <f t="shared" ca="1" si="3"/>
        <v>0</v>
      </c>
      <c r="N27" s="647">
        <f t="shared" si="3"/>
        <v>2686.6520421156888</v>
      </c>
      <c r="O27" s="647">
        <f t="shared" ca="1" si="3"/>
        <v>5755.5475404534754</v>
      </c>
      <c r="P27" s="647">
        <f t="shared" si="3"/>
        <v>95.363333333333344</v>
      </c>
      <c r="Q27" s="647">
        <f t="shared" si="3"/>
        <v>305.06666666666666</v>
      </c>
      <c r="R27" s="647">
        <f t="shared" ca="1" si="3"/>
        <v>184241.77481271903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2658.6585229459197</v>
      </c>
      <c r="D40" s="639">
        <f ca="1">tertiair!C20</f>
        <v>18.332773109243703</v>
      </c>
      <c r="E40" s="639">
        <f ca="1">tertiair!D20</f>
        <v>1626.0838109020788</v>
      </c>
      <c r="F40" s="639">
        <f>tertiair!E20</f>
        <v>16.663197180715752</v>
      </c>
      <c r="G40" s="639">
        <f ca="1">tertiair!F20</f>
        <v>575.56231624538827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4895.3006203833456</v>
      </c>
    </row>
    <row r="41" spans="1:18">
      <c r="A41" s="766" t="s">
        <v>214</v>
      </c>
      <c r="B41" s="773"/>
      <c r="C41" s="639">
        <f ca="1">huishoudens!B12</f>
        <v>3385.5215543703489</v>
      </c>
      <c r="D41" s="639">
        <f ca="1">huishoudens!C12</f>
        <v>0</v>
      </c>
      <c r="E41" s="639">
        <f>huishoudens!D12</f>
        <v>5151.4023314392716</v>
      </c>
      <c r="F41" s="639">
        <f>huishoudens!E12</f>
        <v>287.08121134718994</v>
      </c>
      <c r="G41" s="639">
        <f>huishoudens!F12</f>
        <v>10294.523339909918</v>
      </c>
      <c r="H41" s="639">
        <f>huishoudens!G12</f>
        <v>0</v>
      </c>
      <c r="I41" s="639">
        <f>huishoudens!H12</f>
        <v>0</v>
      </c>
      <c r="J41" s="639">
        <f>huishoudens!I12</f>
        <v>0</v>
      </c>
      <c r="K41" s="639">
        <f>huishoudens!J12</f>
        <v>247.65487182505188</v>
      </c>
      <c r="L41" s="639">
        <f>huishoudens!K12</f>
        <v>0</v>
      </c>
      <c r="M41" s="639">
        <f>huishoudens!L12</f>
        <v>0</v>
      </c>
      <c r="N41" s="639">
        <f>huishoudens!M12</f>
        <v>0</v>
      </c>
      <c r="O41" s="639">
        <f>huishoudens!N12</f>
        <v>0</v>
      </c>
      <c r="P41" s="639">
        <f>huishoudens!O12</f>
        <v>0</v>
      </c>
      <c r="Q41" s="714">
        <f>huishoudens!P12</f>
        <v>0</v>
      </c>
      <c r="R41" s="794">
        <f t="shared" ca="1" si="4"/>
        <v>19366.183308891781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196.87158581460142</v>
      </c>
      <c r="D43" s="639">
        <f ca="1">industrie!C22</f>
        <v>0</v>
      </c>
      <c r="E43" s="639">
        <f>industrie!D22</f>
        <v>117.4723476457448</v>
      </c>
      <c r="F43" s="639">
        <f>industrie!E22</f>
        <v>1.9369754196593558</v>
      </c>
      <c r="G43" s="639">
        <f>industrie!F22</f>
        <v>123.46183768071074</v>
      </c>
      <c r="H43" s="639">
        <f>industrie!G22</f>
        <v>0</v>
      </c>
      <c r="I43" s="639">
        <f>industrie!H22</f>
        <v>0</v>
      </c>
      <c r="J43" s="639">
        <f>industrie!I22</f>
        <v>0</v>
      </c>
      <c r="K43" s="639">
        <f>industrie!J22</f>
        <v>0.95697211857915954</v>
      </c>
      <c r="L43" s="639">
        <f>industrie!K22</f>
        <v>0</v>
      </c>
      <c r="M43" s="639">
        <f>industrie!L22</f>
        <v>0</v>
      </c>
      <c r="N43" s="639">
        <f>industrie!M22</f>
        <v>0</v>
      </c>
      <c r="O43" s="639">
        <f>industrie!N22</f>
        <v>0</v>
      </c>
      <c r="P43" s="639">
        <f>industrie!O22</f>
        <v>0</v>
      </c>
      <c r="Q43" s="714">
        <f>industrie!P22</f>
        <v>0</v>
      </c>
      <c r="R43" s="793">
        <f t="shared" ca="1" si="4"/>
        <v>440.69971867929547</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6241.0516631308701</v>
      </c>
      <c r="D46" s="672">
        <f t="shared" ref="D46:Q46" ca="1" si="5">SUM(D39:D45)</f>
        <v>18.332773109243703</v>
      </c>
      <c r="E46" s="672">
        <f t="shared" ca="1" si="5"/>
        <v>6894.9584899870952</v>
      </c>
      <c r="F46" s="672">
        <f t="shared" si="5"/>
        <v>305.68138394756505</v>
      </c>
      <c r="G46" s="672">
        <f t="shared" ca="1" si="5"/>
        <v>10993.547493836017</v>
      </c>
      <c r="H46" s="672">
        <f t="shared" si="5"/>
        <v>0</v>
      </c>
      <c r="I46" s="672">
        <f t="shared" si="5"/>
        <v>0</v>
      </c>
      <c r="J46" s="672">
        <f t="shared" si="5"/>
        <v>0</v>
      </c>
      <c r="K46" s="672">
        <f t="shared" si="5"/>
        <v>248.61184394363104</v>
      </c>
      <c r="L46" s="672">
        <f t="shared" si="5"/>
        <v>0</v>
      </c>
      <c r="M46" s="672">
        <f t="shared" ca="1" si="5"/>
        <v>0</v>
      </c>
      <c r="N46" s="672">
        <f t="shared" si="5"/>
        <v>0</v>
      </c>
      <c r="O46" s="672">
        <f t="shared" ca="1" si="5"/>
        <v>0</v>
      </c>
      <c r="P46" s="672">
        <f t="shared" si="5"/>
        <v>0</v>
      </c>
      <c r="Q46" s="672">
        <f t="shared" si="5"/>
        <v>0</v>
      </c>
      <c r="R46" s="672">
        <f ca="1">SUM(R39:R45)</f>
        <v>24702.183647954422</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2.2281217246208329</v>
      </c>
      <c r="D49" s="639">
        <f ca="1">transport!C58</f>
        <v>0</v>
      </c>
      <c r="E49" s="639">
        <f>transport!D58</f>
        <v>0</v>
      </c>
      <c r="F49" s="639">
        <f>transport!E58</f>
        <v>0</v>
      </c>
      <c r="G49" s="639">
        <f>transport!F58</f>
        <v>0</v>
      </c>
      <c r="H49" s="639">
        <f>transport!G58</f>
        <v>657.17909606063506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659.40721778525585</v>
      </c>
    </row>
    <row r="50" spans="1:18">
      <c r="A50" s="769" t="s">
        <v>296</v>
      </c>
      <c r="B50" s="779"/>
      <c r="C50" s="948">
        <f ca="1">transport!B18</f>
        <v>0.50769292017609613</v>
      </c>
      <c r="D50" s="948">
        <f>transport!C18</f>
        <v>0</v>
      </c>
      <c r="E50" s="948">
        <f>transport!D18</f>
        <v>0.8541099043659427</v>
      </c>
      <c r="F50" s="948">
        <f>transport!E18</f>
        <v>60.016807262392277</v>
      </c>
      <c r="G50" s="948">
        <f>transport!F18</f>
        <v>0</v>
      </c>
      <c r="H50" s="948">
        <f>transport!G18</f>
        <v>12558.874286848672</v>
      </c>
      <c r="I50" s="948">
        <f>transport!H18</f>
        <v>2636.03953515291</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15256.292432088516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2.7358146447969292</v>
      </c>
      <c r="D52" s="672">
        <f t="shared" ref="D52:Q52" ca="1" si="6">SUM(D48:D51)</f>
        <v>0</v>
      </c>
      <c r="E52" s="672">
        <f t="shared" si="6"/>
        <v>0.8541099043659427</v>
      </c>
      <c r="F52" s="672">
        <f t="shared" si="6"/>
        <v>60.016807262392277</v>
      </c>
      <c r="G52" s="672">
        <f t="shared" si="6"/>
        <v>0</v>
      </c>
      <c r="H52" s="672">
        <f t="shared" si="6"/>
        <v>13216.053382909307</v>
      </c>
      <c r="I52" s="672">
        <f t="shared" si="6"/>
        <v>2636.03953515291</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15915.699649873772</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72.429902779828694</v>
      </c>
      <c r="D54" s="948">
        <f ca="1">+landbouw!C12</f>
        <v>0</v>
      </c>
      <c r="E54" s="948">
        <f>+landbouw!D12</f>
        <v>10.705427571814305</v>
      </c>
      <c r="F54" s="948">
        <f>+landbouw!E12</f>
        <v>0.89925754182760842</v>
      </c>
      <c r="G54" s="948">
        <f>+landbouw!F12</f>
        <v>357.34266440580291</v>
      </c>
      <c r="H54" s="948">
        <f>+landbouw!G12</f>
        <v>0</v>
      </c>
      <c r="I54" s="948">
        <f>+landbouw!H12</f>
        <v>0</v>
      </c>
      <c r="J54" s="948">
        <f>+landbouw!I12</f>
        <v>0</v>
      </c>
      <c r="K54" s="948">
        <f>+landbouw!J12</f>
        <v>14.168204742470138</v>
      </c>
      <c r="L54" s="948">
        <f>+landbouw!K12</f>
        <v>0</v>
      </c>
      <c r="M54" s="948">
        <f>+landbouw!L12</f>
        <v>0</v>
      </c>
      <c r="N54" s="948">
        <f>+landbouw!M12</f>
        <v>0</v>
      </c>
      <c r="O54" s="948">
        <f>+landbouw!N12</f>
        <v>0</v>
      </c>
      <c r="P54" s="948">
        <f>+landbouw!O12</f>
        <v>0</v>
      </c>
      <c r="Q54" s="949">
        <f>+landbouw!P12</f>
        <v>0</v>
      </c>
      <c r="R54" s="671">
        <f ca="1">SUM(C54:Q54)</f>
        <v>455.5454570417437</v>
      </c>
    </row>
    <row r="55" spans="1:18" ht="15" thickBot="1">
      <c r="A55" s="769" t="s">
        <v>847</v>
      </c>
      <c r="B55" s="779"/>
      <c r="C55" s="948">
        <f ca="1">C25*'EF ele_warmte'!B12</f>
        <v>85.58079575343929</v>
      </c>
      <c r="D55" s="948"/>
      <c r="E55" s="948">
        <f>E25*EF_CO2_aardgas</f>
        <v>145.41941470039222</v>
      </c>
      <c r="F55" s="948"/>
      <c r="G55" s="948"/>
      <c r="H55" s="948"/>
      <c r="I55" s="948"/>
      <c r="J55" s="948"/>
      <c r="K55" s="948"/>
      <c r="L55" s="948"/>
      <c r="M55" s="948"/>
      <c r="N55" s="948"/>
      <c r="O55" s="948"/>
      <c r="P55" s="948"/>
      <c r="Q55" s="949"/>
      <c r="R55" s="671">
        <f ca="1">SUM(C55:Q55)</f>
        <v>231.00021045383153</v>
      </c>
    </row>
    <row r="56" spans="1:18" ht="15.75" thickBot="1">
      <c r="A56" s="767" t="s">
        <v>848</v>
      </c>
      <c r="B56" s="780"/>
      <c r="C56" s="672">
        <f ca="1">SUM(C54:C55)</f>
        <v>158.010698533268</v>
      </c>
      <c r="D56" s="672">
        <f t="shared" ref="D56:Q56" ca="1" si="7">SUM(D54:D55)</f>
        <v>0</v>
      </c>
      <c r="E56" s="672">
        <f t="shared" si="7"/>
        <v>156.12484227220654</v>
      </c>
      <c r="F56" s="672">
        <f t="shared" si="7"/>
        <v>0.89925754182760842</v>
      </c>
      <c r="G56" s="672">
        <f t="shared" si="7"/>
        <v>357.34266440580291</v>
      </c>
      <c r="H56" s="672">
        <f t="shared" si="7"/>
        <v>0</v>
      </c>
      <c r="I56" s="672">
        <f t="shared" si="7"/>
        <v>0</v>
      </c>
      <c r="J56" s="672">
        <f t="shared" si="7"/>
        <v>0</v>
      </c>
      <c r="K56" s="672">
        <f t="shared" si="7"/>
        <v>14.168204742470138</v>
      </c>
      <c r="L56" s="672">
        <f t="shared" si="7"/>
        <v>0</v>
      </c>
      <c r="M56" s="672">
        <f t="shared" si="7"/>
        <v>0</v>
      </c>
      <c r="N56" s="672">
        <f t="shared" si="7"/>
        <v>0</v>
      </c>
      <c r="O56" s="672">
        <f t="shared" si="7"/>
        <v>0</v>
      </c>
      <c r="P56" s="672">
        <f t="shared" si="7"/>
        <v>0</v>
      </c>
      <c r="Q56" s="673">
        <f t="shared" si="7"/>
        <v>0</v>
      </c>
      <c r="R56" s="674">
        <f ca="1">SUM(R54:R55)</f>
        <v>686.54566749557523</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6401.7981763089347</v>
      </c>
      <c r="D61" s="680">
        <f t="shared" ref="D61:Q61" ca="1" si="8">D46+D52+D56</f>
        <v>18.332773109243703</v>
      </c>
      <c r="E61" s="680">
        <f t="shared" ca="1" si="8"/>
        <v>7051.9374421636676</v>
      </c>
      <c r="F61" s="680">
        <f t="shared" si="8"/>
        <v>366.5974487517849</v>
      </c>
      <c r="G61" s="680">
        <f t="shared" ca="1" si="8"/>
        <v>11350.89015824182</v>
      </c>
      <c r="H61" s="680">
        <f t="shared" si="8"/>
        <v>13216.053382909307</v>
      </c>
      <c r="I61" s="680">
        <f t="shared" si="8"/>
        <v>2636.03953515291</v>
      </c>
      <c r="J61" s="680">
        <f t="shared" si="8"/>
        <v>0</v>
      </c>
      <c r="K61" s="680">
        <f t="shared" si="8"/>
        <v>262.78004868610117</v>
      </c>
      <c r="L61" s="680">
        <f t="shared" si="8"/>
        <v>0</v>
      </c>
      <c r="M61" s="680">
        <f t="shared" ca="1" si="8"/>
        <v>0</v>
      </c>
      <c r="N61" s="680">
        <f t="shared" si="8"/>
        <v>0</v>
      </c>
      <c r="O61" s="680">
        <f t="shared" ca="1" si="8"/>
        <v>0</v>
      </c>
      <c r="P61" s="680">
        <f t="shared" si="8"/>
        <v>0</v>
      </c>
      <c r="Q61" s="680">
        <f t="shared" si="8"/>
        <v>0</v>
      </c>
      <c r="R61" s="680">
        <f ca="1">R46+R52+R56</f>
        <v>41304.428965323772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0.18055302933136316</v>
      </c>
      <c r="D63" s="724">
        <f t="shared" ca="1" si="9"/>
        <v>0.23764705882352949</v>
      </c>
      <c r="E63" s="950">
        <f t="shared" ca="1" si="9"/>
        <v>0.20199999999999999</v>
      </c>
      <c r="F63" s="724">
        <f t="shared" si="9"/>
        <v>0.22699999999999995</v>
      </c>
      <c r="G63" s="724">
        <f t="shared" ca="1" si="9"/>
        <v>0.26700000000000007</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1628.76410857119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54</v>
      </c>
      <c r="D76" s="960">
        <f>'lokale energieproductie'!C8</f>
        <v>63.529411764705898</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12.832941176470593</v>
      </c>
      <c r="R76" s="796">
        <v>0</v>
      </c>
    </row>
    <row r="77" spans="1:18" ht="30.75" thickBot="1">
      <c r="A77" s="693" t="s">
        <v>340</v>
      </c>
      <c r="B77" s="690">
        <f>'lokale energieproductie'!B9*IFERROR(SUM(I77:O77)/SUM(D77:O77),0)</f>
        <v>4864.5</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13898.571428571429</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6493.2641085711903</v>
      </c>
      <c r="C78" s="695">
        <f>SUM(C72:C77)</f>
        <v>54</v>
      </c>
      <c r="D78" s="696">
        <f t="shared" ref="D78:H78" si="10">SUM(D76:D77)</f>
        <v>63.529411764705898</v>
      </c>
      <c r="E78" s="696">
        <f t="shared" si="10"/>
        <v>0</v>
      </c>
      <c r="F78" s="696">
        <f t="shared" si="10"/>
        <v>0</v>
      </c>
      <c r="G78" s="696">
        <f t="shared" si="10"/>
        <v>0</v>
      </c>
      <c r="H78" s="696">
        <f t="shared" si="10"/>
        <v>0</v>
      </c>
      <c r="I78" s="696">
        <f>SUM(I76:I77)</f>
        <v>0</v>
      </c>
      <c r="J78" s="696">
        <f>SUM(J76:J77)</f>
        <v>13898.571428571429</v>
      </c>
      <c r="K78" s="696">
        <f t="shared" ref="K78:L78" si="11">SUM(K76:K77)</f>
        <v>0</v>
      </c>
      <c r="L78" s="696">
        <f t="shared" si="11"/>
        <v>0</v>
      </c>
      <c r="M78" s="696">
        <f>SUM(M76:M77)</f>
        <v>0</v>
      </c>
      <c r="N78" s="696">
        <f>SUM(N76:N77)</f>
        <v>0</v>
      </c>
      <c r="O78" s="804">
        <f>SUM(O76:O77)</f>
        <v>0</v>
      </c>
      <c r="P78" s="697">
        <v>0</v>
      </c>
      <c r="Q78" s="697">
        <f>SUM(Q76:Q77)</f>
        <v>12.832941176470593</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77.142857142857139</v>
      </c>
      <c r="D87" s="717">
        <f>'lokale energieproductie'!C17</f>
        <v>90.756302521008422</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18.332773109243703</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77.142857142857139</v>
      </c>
      <c r="D90" s="695">
        <f t="shared" ref="D90:H90" si="12">SUM(D87:D89)</f>
        <v>90.756302521008422</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18.332773109243703</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18750.84326697731</v>
      </c>
      <c r="C4" s="447">
        <f>huishoudens!C8</f>
        <v>0</v>
      </c>
      <c r="D4" s="447">
        <f>huishoudens!D8</f>
        <v>25501.991739798374</v>
      </c>
      <c r="E4" s="447">
        <f>huishoudens!E8</f>
        <v>1264.6749398554623</v>
      </c>
      <c r="F4" s="447">
        <f>huishoudens!F8</f>
        <v>38556.267190673847</v>
      </c>
      <c r="G4" s="447">
        <f>huishoudens!G8</f>
        <v>0</v>
      </c>
      <c r="H4" s="447">
        <f>huishoudens!H8</f>
        <v>0</v>
      </c>
      <c r="I4" s="447">
        <f>huishoudens!I8</f>
        <v>0</v>
      </c>
      <c r="J4" s="447">
        <f>huishoudens!J8</f>
        <v>699.5900334041014</v>
      </c>
      <c r="K4" s="447">
        <f>huishoudens!K8</f>
        <v>0</v>
      </c>
      <c r="L4" s="447">
        <f>huishoudens!L8</f>
        <v>0</v>
      </c>
      <c r="M4" s="447">
        <f>huishoudens!M8</f>
        <v>0</v>
      </c>
      <c r="N4" s="447">
        <f>huishoudens!N8</f>
        <v>5705.5619074172764</v>
      </c>
      <c r="O4" s="447">
        <f>huishoudens!O8</f>
        <v>90.673333333333346</v>
      </c>
      <c r="P4" s="448">
        <f>huishoudens!P8</f>
        <v>305.06666666666666</v>
      </c>
      <c r="Q4" s="449">
        <f>SUM(B4:P4)</f>
        <v>90874.669078126375</v>
      </c>
    </row>
    <row r="5" spans="1:17">
      <c r="A5" s="446" t="s">
        <v>149</v>
      </c>
      <c r="B5" s="447">
        <f ca="1">tertiair!B16</f>
        <v>13986.936997713317</v>
      </c>
      <c r="C5" s="447">
        <f ca="1">tertiair!C16</f>
        <v>77.142857142857139</v>
      </c>
      <c r="D5" s="447">
        <f ca="1">tertiair!D16</f>
        <v>8049.919855950885</v>
      </c>
      <c r="E5" s="447">
        <f>tertiair!E16</f>
        <v>73.406154981126662</v>
      </c>
      <c r="F5" s="447">
        <f ca="1">tertiair!F16</f>
        <v>2155.664105787971</v>
      </c>
      <c r="G5" s="447">
        <f>tertiair!G16</f>
        <v>0</v>
      </c>
      <c r="H5" s="447">
        <f>tertiair!H16</f>
        <v>0</v>
      </c>
      <c r="I5" s="447">
        <f>tertiair!I16</f>
        <v>0</v>
      </c>
      <c r="J5" s="447">
        <f>tertiair!J16</f>
        <v>0</v>
      </c>
      <c r="K5" s="447">
        <f>tertiair!K16</f>
        <v>0</v>
      </c>
      <c r="L5" s="447">
        <f ca="1">tertiair!L16</f>
        <v>0</v>
      </c>
      <c r="M5" s="447">
        <f>tertiair!M16</f>
        <v>0</v>
      </c>
      <c r="N5" s="447">
        <f ca="1">tertiair!N16</f>
        <v>0</v>
      </c>
      <c r="O5" s="447">
        <f>tertiair!O16</f>
        <v>4.6900000000000004</v>
      </c>
      <c r="P5" s="448">
        <f>tertiair!P16</f>
        <v>0</v>
      </c>
      <c r="Q5" s="446">
        <f t="shared" ref="Q5:Q14" ca="1" si="0">SUM(B5:P5)</f>
        <v>24347.759971576157</v>
      </c>
    </row>
    <row r="6" spans="1:17">
      <c r="A6" s="446" t="s">
        <v>187</v>
      </c>
      <c r="B6" s="447">
        <f>'openbare verlichting'!B8</f>
        <v>738.14700000000005</v>
      </c>
      <c r="C6" s="447"/>
      <c r="D6" s="447"/>
      <c r="E6" s="447"/>
      <c r="F6" s="447"/>
      <c r="G6" s="447"/>
      <c r="H6" s="447"/>
      <c r="I6" s="447"/>
      <c r="J6" s="447"/>
      <c r="K6" s="447"/>
      <c r="L6" s="447"/>
      <c r="M6" s="447"/>
      <c r="N6" s="447"/>
      <c r="O6" s="447"/>
      <c r="P6" s="448"/>
      <c r="Q6" s="446">
        <f t="shared" si="0"/>
        <v>738.14700000000005</v>
      </c>
    </row>
    <row r="7" spans="1:17">
      <c r="A7" s="446" t="s">
        <v>105</v>
      </c>
      <c r="B7" s="447">
        <f>landbouw!B8</f>
        <v>401.15584351066411</v>
      </c>
      <c r="C7" s="447">
        <f>landbouw!C8</f>
        <v>0</v>
      </c>
      <c r="D7" s="447">
        <f>landbouw!D8</f>
        <v>52.997166197100512</v>
      </c>
      <c r="E7" s="447">
        <f>landbouw!E8</f>
        <v>3.9614869684035612</v>
      </c>
      <c r="F7" s="447">
        <f>landbouw!F8</f>
        <v>1338.3620389730445</v>
      </c>
      <c r="G7" s="447">
        <f>landbouw!G8</f>
        <v>0</v>
      </c>
      <c r="H7" s="447">
        <f>landbouw!H8</f>
        <v>0</v>
      </c>
      <c r="I7" s="447">
        <f>landbouw!I8</f>
        <v>0</v>
      </c>
      <c r="J7" s="447">
        <f>landbouw!J8</f>
        <v>40.023177238616213</v>
      </c>
      <c r="K7" s="447">
        <f>landbouw!K8</f>
        <v>0</v>
      </c>
      <c r="L7" s="447">
        <f>landbouw!L8</f>
        <v>0</v>
      </c>
      <c r="M7" s="447">
        <f>landbouw!M8</f>
        <v>0</v>
      </c>
      <c r="N7" s="447">
        <f>landbouw!N8</f>
        <v>0</v>
      </c>
      <c r="O7" s="447">
        <f>landbouw!O8</f>
        <v>0</v>
      </c>
      <c r="P7" s="448">
        <f>landbouw!P8</f>
        <v>0</v>
      </c>
      <c r="Q7" s="446">
        <f t="shared" si="0"/>
        <v>1836.4997128878288</v>
      </c>
    </row>
    <row r="8" spans="1:17">
      <c r="A8" s="446" t="s">
        <v>640</v>
      </c>
      <c r="B8" s="447">
        <f>industrie!B18</f>
        <v>1090.3809620014144</v>
      </c>
      <c r="C8" s="447">
        <f>industrie!C18</f>
        <v>0</v>
      </c>
      <c r="D8" s="447">
        <f>industrie!D18</f>
        <v>581.54627547398411</v>
      </c>
      <c r="E8" s="447">
        <f>industrie!E18</f>
        <v>8.5329313641381308</v>
      </c>
      <c r="F8" s="447">
        <f>industrie!F18</f>
        <v>462.4038864446095</v>
      </c>
      <c r="G8" s="447">
        <f>industrie!G18</f>
        <v>0</v>
      </c>
      <c r="H8" s="447">
        <f>industrie!H18</f>
        <v>0</v>
      </c>
      <c r="I8" s="447">
        <f>industrie!I18</f>
        <v>0</v>
      </c>
      <c r="J8" s="447">
        <f>industrie!J18</f>
        <v>2.7033110694326541</v>
      </c>
      <c r="K8" s="447">
        <f>industrie!K18</f>
        <v>0</v>
      </c>
      <c r="L8" s="447">
        <f>industrie!L18</f>
        <v>0</v>
      </c>
      <c r="M8" s="447">
        <f>industrie!M18</f>
        <v>0</v>
      </c>
      <c r="N8" s="447">
        <f>industrie!N18</f>
        <v>49.985633036199424</v>
      </c>
      <c r="O8" s="447">
        <f>industrie!O18</f>
        <v>0</v>
      </c>
      <c r="P8" s="448">
        <f>industrie!P18</f>
        <v>0</v>
      </c>
      <c r="Q8" s="446">
        <f t="shared" si="0"/>
        <v>2195.5529993897785</v>
      </c>
    </row>
    <row r="9" spans="1:17" s="452" customFormat="1">
      <c r="A9" s="450" t="s">
        <v>560</v>
      </c>
      <c r="B9" s="451">
        <f>transport!B14</f>
        <v>2.8118770538285651</v>
      </c>
      <c r="C9" s="451">
        <f>transport!C14</f>
        <v>0</v>
      </c>
      <c r="D9" s="451">
        <f>transport!D14</f>
        <v>4.2282668532967458</v>
      </c>
      <c r="E9" s="451">
        <f>transport!E14</f>
        <v>264.39122142023029</v>
      </c>
      <c r="F9" s="451">
        <f>transport!F14</f>
        <v>0</v>
      </c>
      <c r="G9" s="451">
        <f>transport!G14</f>
        <v>47036.982347747828</v>
      </c>
      <c r="H9" s="451">
        <f>transport!H14</f>
        <v>10586.504157240603</v>
      </c>
      <c r="I9" s="451">
        <f>transport!I14</f>
        <v>0</v>
      </c>
      <c r="J9" s="451">
        <f>transport!J14</f>
        <v>0</v>
      </c>
      <c r="K9" s="451">
        <f>transport!K14</f>
        <v>0</v>
      </c>
      <c r="L9" s="451">
        <f>transport!L14</f>
        <v>0</v>
      </c>
      <c r="M9" s="451">
        <f>transport!M14</f>
        <v>2577.8632176889732</v>
      </c>
      <c r="N9" s="451">
        <f>transport!N14</f>
        <v>0</v>
      </c>
      <c r="O9" s="451">
        <f>transport!O14</f>
        <v>0</v>
      </c>
      <c r="P9" s="451">
        <f>transport!P14</f>
        <v>0</v>
      </c>
      <c r="Q9" s="450">
        <f>SUM(B9:P9)</f>
        <v>60472.781088004762</v>
      </c>
    </row>
    <row r="10" spans="1:17">
      <c r="A10" s="446" t="s">
        <v>550</v>
      </c>
      <c r="B10" s="447">
        <f>transport!B54</f>
        <v>12.340539136187143</v>
      </c>
      <c r="C10" s="447">
        <f>transport!C54</f>
        <v>0</v>
      </c>
      <c r="D10" s="447">
        <f>transport!D54</f>
        <v>0</v>
      </c>
      <c r="E10" s="447">
        <f>transport!E54</f>
        <v>0</v>
      </c>
      <c r="F10" s="447">
        <f>transport!F54</f>
        <v>0</v>
      </c>
      <c r="G10" s="447">
        <f>transport!G54</f>
        <v>2461.3449290660487</v>
      </c>
      <c r="H10" s="447">
        <f>transport!H54</f>
        <v>0</v>
      </c>
      <c r="I10" s="447">
        <f>transport!I54</f>
        <v>0</v>
      </c>
      <c r="J10" s="447">
        <f>transport!J54</f>
        <v>0</v>
      </c>
      <c r="K10" s="447">
        <f>transport!K54</f>
        <v>0</v>
      </c>
      <c r="L10" s="447">
        <f>transport!L54</f>
        <v>0</v>
      </c>
      <c r="M10" s="447">
        <f>transport!M54</f>
        <v>108.78882442671541</v>
      </c>
      <c r="N10" s="447">
        <f>transport!N54</f>
        <v>0</v>
      </c>
      <c r="O10" s="447">
        <f>transport!O54</f>
        <v>0</v>
      </c>
      <c r="P10" s="448">
        <f>transport!P54</f>
        <v>0</v>
      </c>
      <c r="Q10" s="446">
        <f t="shared" si="0"/>
        <v>2582.4742926289514</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473.99257752898501</v>
      </c>
      <c r="C14" s="454"/>
      <c r="D14" s="454">
        <f>'SEAP template'!E25</f>
        <v>719.89809257619902</v>
      </c>
      <c r="E14" s="454"/>
      <c r="F14" s="454"/>
      <c r="G14" s="454"/>
      <c r="H14" s="454"/>
      <c r="I14" s="454"/>
      <c r="J14" s="454"/>
      <c r="K14" s="454"/>
      <c r="L14" s="454"/>
      <c r="M14" s="454"/>
      <c r="N14" s="454"/>
      <c r="O14" s="454"/>
      <c r="P14" s="455"/>
      <c r="Q14" s="446">
        <f t="shared" si="0"/>
        <v>1193.890670105184</v>
      </c>
    </row>
    <row r="15" spans="1:17" s="459" customFormat="1">
      <c r="A15" s="456" t="s">
        <v>554</v>
      </c>
      <c r="B15" s="457">
        <f ca="1">SUM(B4:B14)</f>
        <v>35456.609063921707</v>
      </c>
      <c r="C15" s="457">
        <f t="shared" ref="C15:Q15" ca="1" si="1">SUM(C4:C14)</f>
        <v>77.142857142857139</v>
      </c>
      <c r="D15" s="457">
        <f t="shared" ca="1" si="1"/>
        <v>34910.581396849841</v>
      </c>
      <c r="E15" s="457">
        <f t="shared" si="1"/>
        <v>1614.9667345893611</v>
      </c>
      <c r="F15" s="457">
        <f t="shared" ca="1" si="1"/>
        <v>42512.697221879469</v>
      </c>
      <c r="G15" s="457">
        <f t="shared" si="1"/>
        <v>49498.327276813878</v>
      </c>
      <c r="H15" s="457">
        <f t="shared" si="1"/>
        <v>10586.504157240603</v>
      </c>
      <c r="I15" s="457">
        <f t="shared" si="1"/>
        <v>0</v>
      </c>
      <c r="J15" s="457">
        <f t="shared" si="1"/>
        <v>742.31652171215023</v>
      </c>
      <c r="K15" s="457">
        <f t="shared" si="1"/>
        <v>0</v>
      </c>
      <c r="L15" s="457">
        <f t="shared" ca="1" si="1"/>
        <v>0</v>
      </c>
      <c r="M15" s="457">
        <f t="shared" si="1"/>
        <v>2686.6520421156888</v>
      </c>
      <c r="N15" s="457">
        <f t="shared" ca="1" si="1"/>
        <v>5755.5475404534754</v>
      </c>
      <c r="O15" s="457">
        <f t="shared" si="1"/>
        <v>95.363333333333344</v>
      </c>
      <c r="P15" s="457">
        <f t="shared" si="1"/>
        <v>305.06666666666666</v>
      </c>
      <c r="Q15" s="457">
        <f t="shared" ca="1" si="1"/>
        <v>184241.77481271906</v>
      </c>
    </row>
    <row r="17" spans="1:17">
      <c r="A17" s="460" t="s">
        <v>555</v>
      </c>
      <c r="B17" s="729">
        <f ca="1">huishoudens!B10</f>
        <v>0.18055302933136322</v>
      </c>
      <c r="C17" s="729">
        <f ca="1">huishoudens!C10</f>
        <v>0.23764705882352949</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3385.5215543703489</v>
      </c>
      <c r="C22" s="447">
        <f t="shared" ref="C22:C32" ca="1" si="3">C4*$C$17</f>
        <v>0</v>
      </c>
      <c r="D22" s="447">
        <f t="shared" ref="D22:D32" si="4">D4*$D$17</f>
        <v>5151.4023314392716</v>
      </c>
      <c r="E22" s="447">
        <f t="shared" ref="E22:E32" si="5">E4*$E$17</f>
        <v>287.08121134718994</v>
      </c>
      <c r="F22" s="447">
        <f t="shared" ref="F22:F32" si="6">F4*$F$17</f>
        <v>10294.523339909918</v>
      </c>
      <c r="G22" s="447">
        <f t="shared" ref="G22:G32" si="7">G4*$G$17</f>
        <v>0</v>
      </c>
      <c r="H22" s="447">
        <f t="shared" ref="H22:H32" si="8">H4*$H$17</f>
        <v>0</v>
      </c>
      <c r="I22" s="447">
        <f t="shared" ref="I22:I32" si="9">I4*$I$17</f>
        <v>0</v>
      </c>
      <c r="J22" s="447">
        <f t="shared" ref="J22:J32" si="10">J4*$J$17</f>
        <v>247.65487182505188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19366.183308891781</v>
      </c>
    </row>
    <row r="23" spans="1:17">
      <c r="A23" s="446" t="s">
        <v>149</v>
      </c>
      <c r="B23" s="447">
        <f t="shared" ca="1" si="2"/>
        <v>2525.383846004062</v>
      </c>
      <c r="C23" s="447">
        <f t="shared" ca="1" si="3"/>
        <v>18.332773109243703</v>
      </c>
      <c r="D23" s="447">
        <f t="shared" ca="1" si="4"/>
        <v>1626.0838109020788</v>
      </c>
      <c r="E23" s="447">
        <f t="shared" si="5"/>
        <v>16.663197180715752</v>
      </c>
      <c r="F23" s="447">
        <f t="shared" ca="1" si="6"/>
        <v>575.56231624538827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4762.0259434414884</v>
      </c>
    </row>
    <row r="24" spans="1:17">
      <c r="A24" s="446" t="s">
        <v>187</v>
      </c>
      <c r="B24" s="447">
        <f t="shared" ca="1" si="2"/>
        <v>133.27467694185776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133.27467694185776</v>
      </c>
    </row>
    <row r="25" spans="1:17">
      <c r="A25" s="446" t="s">
        <v>105</v>
      </c>
      <c r="B25" s="447">
        <f t="shared" ca="1" si="2"/>
        <v>72.429902779828694</v>
      </c>
      <c r="C25" s="447">
        <f t="shared" ca="1" si="3"/>
        <v>0</v>
      </c>
      <c r="D25" s="447">
        <f t="shared" si="4"/>
        <v>10.705427571814305</v>
      </c>
      <c r="E25" s="447">
        <f t="shared" si="5"/>
        <v>0.89925754182760842</v>
      </c>
      <c r="F25" s="447">
        <f t="shared" si="6"/>
        <v>357.34266440580291</v>
      </c>
      <c r="G25" s="447">
        <f t="shared" si="7"/>
        <v>0</v>
      </c>
      <c r="H25" s="447">
        <f t="shared" si="8"/>
        <v>0</v>
      </c>
      <c r="I25" s="447">
        <f t="shared" si="9"/>
        <v>0</v>
      </c>
      <c r="J25" s="447">
        <f t="shared" si="10"/>
        <v>14.168204742470138</v>
      </c>
      <c r="K25" s="447">
        <f t="shared" si="11"/>
        <v>0</v>
      </c>
      <c r="L25" s="447">
        <f t="shared" si="12"/>
        <v>0</v>
      </c>
      <c r="M25" s="447">
        <f t="shared" si="13"/>
        <v>0</v>
      </c>
      <c r="N25" s="447">
        <f t="shared" si="14"/>
        <v>0</v>
      </c>
      <c r="O25" s="447">
        <f t="shared" si="15"/>
        <v>0</v>
      </c>
      <c r="P25" s="448">
        <f t="shared" si="16"/>
        <v>0</v>
      </c>
      <c r="Q25" s="446">
        <f t="shared" ca="1" si="17"/>
        <v>455.5454570417437</v>
      </c>
    </row>
    <row r="26" spans="1:17">
      <c r="A26" s="446" t="s">
        <v>640</v>
      </c>
      <c r="B26" s="447">
        <f t="shared" ca="1" si="2"/>
        <v>196.87158581460142</v>
      </c>
      <c r="C26" s="447">
        <f t="shared" ca="1" si="3"/>
        <v>0</v>
      </c>
      <c r="D26" s="447">
        <f t="shared" si="4"/>
        <v>117.4723476457448</v>
      </c>
      <c r="E26" s="447">
        <f t="shared" si="5"/>
        <v>1.9369754196593558</v>
      </c>
      <c r="F26" s="447">
        <f t="shared" si="6"/>
        <v>123.46183768071074</v>
      </c>
      <c r="G26" s="447">
        <f t="shared" si="7"/>
        <v>0</v>
      </c>
      <c r="H26" s="447">
        <f t="shared" si="8"/>
        <v>0</v>
      </c>
      <c r="I26" s="447">
        <f t="shared" si="9"/>
        <v>0</v>
      </c>
      <c r="J26" s="447">
        <f t="shared" si="10"/>
        <v>0.95697211857915954</v>
      </c>
      <c r="K26" s="447">
        <f t="shared" si="11"/>
        <v>0</v>
      </c>
      <c r="L26" s="447">
        <f t="shared" si="12"/>
        <v>0</v>
      </c>
      <c r="M26" s="447">
        <f t="shared" si="13"/>
        <v>0</v>
      </c>
      <c r="N26" s="447">
        <f t="shared" si="14"/>
        <v>0</v>
      </c>
      <c r="O26" s="447">
        <f t="shared" si="15"/>
        <v>0</v>
      </c>
      <c r="P26" s="448">
        <f t="shared" si="16"/>
        <v>0</v>
      </c>
      <c r="Q26" s="446">
        <f t="shared" ca="1" si="17"/>
        <v>440.69971867929547</v>
      </c>
    </row>
    <row r="27" spans="1:17" s="452" customFormat="1">
      <c r="A27" s="450" t="s">
        <v>560</v>
      </c>
      <c r="B27" s="723">
        <f t="shared" ca="1" si="2"/>
        <v>0.50769292017609613</v>
      </c>
      <c r="C27" s="451">
        <f t="shared" ca="1" si="3"/>
        <v>0</v>
      </c>
      <c r="D27" s="451">
        <f t="shared" si="4"/>
        <v>0.8541099043659427</v>
      </c>
      <c r="E27" s="451">
        <f t="shared" si="5"/>
        <v>60.016807262392277</v>
      </c>
      <c r="F27" s="451">
        <f t="shared" si="6"/>
        <v>0</v>
      </c>
      <c r="G27" s="451">
        <f t="shared" si="7"/>
        <v>12558.874286848672</v>
      </c>
      <c r="H27" s="451">
        <f t="shared" si="8"/>
        <v>2636.03953515291</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15256.292432088516</v>
      </c>
    </row>
    <row r="28" spans="1:17">
      <c r="A28" s="446" t="s">
        <v>550</v>
      </c>
      <c r="B28" s="447">
        <f t="shared" ca="1" si="2"/>
        <v>2.2281217246208329</v>
      </c>
      <c r="C28" s="447">
        <f t="shared" ca="1" si="3"/>
        <v>0</v>
      </c>
      <c r="D28" s="447">
        <f t="shared" si="4"/>
        <v>0</v>
      </c>
      <c r="E28" s="447">
        <f t="shared" si="5"/>
        <v>0</v>
      </c>
      <c r="F28" s="447">
        <f t="shared" si="6"/>
        <v>0</v>
      </c>
      <c r="G28" s="447">
        <f t="shared" si="7"/>
        <v>657.17909606063506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659.40721778525585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85.58079575343929</v>
      </c>
      <c r="C32" s="447">
        <f t="shared" ca="1" si="3"/>
        <v>0</v>
      </c>
      <c r="D32" s="447">
        <f t="shared" si="4"/>
        <v>145.41941470039222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231.00021045383153</v>
      </c>
    </row>
    <row r="33" spans="1:17" s="459" customFormat="1">
      <c r="A33" s="456" t="s">
        <v>554</v>
      </c>
      <c r="B33" s="457">
        <f ca="1">SUM(B22:B32)</f>
        <v>6401.7981763089356</v>
      </c>
      <c r="C33" s="457">
        <f t="shared" ref="C33:Q33" ca="1" si="18">SUM(C22:C32)</f>
        <v>18.332773109243703</v>
      </c>
      <c r="D33" s="457">
        <f t="shared" ca="1" si="18"/>
        <v>7051.9374421636676</v>
      </c>
      <c r="E33" s="457">
        <f t="shared" si="18"/>
        <v>366.5974487517849</v>
      </c>
      <c r="F33" s="457">
        <f t="shared" ca="1" si="18"/>
        <v>11350.89015824182</v>
      </c>
      <c r="G33" s="457">
        <f t="shared" si="18"/>
        <v>13216.053382909307</v>
      </c>
      <c r="H33" s="457">
        <f t="shared" si="18"/>
        <v>2636.03953515291</v>
      </c>
      <c r="I33" s="457">
        <f t="shared" si="18"/>
        <v>0</v>
      </c>
      <c r="J33" s="457">
        <f t="shared" si="18"/>
        <v>262.78004868610122</v>
      </c>
      <c r="K33" s="457">
        <f t="shared" si="18"/>
        <v>0</v>
      </c>
      <c r="L33" s="457">
        <f t="shared" ca="1" si="18"/>
        <v>0</v>
      </c>
      <c r="M33" s="457">
        <f t="shared" si="18"/>
        <v>0</v>
      </c>
      <c r="N33" s="457">
        <f t="shared" ca="1" si="18"/>
        <v>0</v>
      </c>
      <c r="O33" s="457">
        <f t="shared" si="18"/>
        <v>0</v>
      </c>
      <c r="P33" s="457">
        <f t="shared" si="18"/>
        <v>0</v>
      </c>
      <c r="Q33" s="457">
        <f t="shared" ca="1" si="18"/>
        <v>41304.428965323765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1628.76410857119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54</v>
      </c>
      <c r="D8" s="977">
        <f>'SEAP template'!D76</f>
        <v>63.529411764705898</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12.832941176470593</v>
      </c>
    </row>
    <row r="9" spans="1:16">
      <c r="A9" s="980" t="s">
        <v>859</v>
      </c>
      <c r="B9" s="977">
        <f>'SEAP template'!B77</f>
        <v>4864.5</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13898.571428571429</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6493.2641085711903</v>
      </c>
      <c r="C10" s="981">
        <f>SUM(C4:C9)</f>
        <v>54</v>
      </c>
      <c r="D10" s="981">
        <f t="shared" ref="D10:H10" si="0">SUM(D8:D9)</f>
        <v>63.529411764705898</v>
      </c>
      <c r="E10" s="981">
        <f t="shared" si="0"/>
        <v>0</v>
      </c>
      <c r="F10" s="981">
        <f t="shared" si="0"/>
        <v>0</v>
      </c>
      <c r="G10" s="981">
        <f t="shared" si="0"/>
        <v>0</v>
      </c>
      <c r="H10" s="981">
        <f t="shared" si="0"/>
        <v>0</v>
      </c>
      <c r="I10" s="981">
        <f>SUM(I8:I9)</f>
        <v>0</v>
      </c>
      <c r="J10" s="981">
        <f>SUM(J8:J9)</f>
        <v>13898.571428571429</v>
      </c>
      <c r="K10" s="981">
        <f t="shared" ref="K10:L10" si="1">SUM(K8:K9)</f>
        <v>0</v>
      </c>
      <c r="L10" s="981">
        <f t="shared" si="1"/>
        <v>0</v>
      </c>
      <c r="M10" s="981">
        <f>SUM(M8:M9)</f>
        <v>0</v>
      </c>
      <c r="N10" s="981">
        <f>SUM(N8:N9)</f>
        <v>0</v>
      </c>
      <c r="O10" s="981">
        <f>SUM(O8:O9)</f>
        <v>0</v>
      </c>
      <c r="P10" s="981">
        <f>SUM(P8:P9)</f>
        <v>12.832941176470593</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0.18055302933136322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77.142857142857139</v>
      </c>
      <c r="D17" s="978">
        <f>'SEAP template'!D87</f>
        <v>90.756302521008422</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18.332773109243703</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77.142857142857139</v>
      </c>
      <c r="D20" s="981">
        <f t="shared" ref="D20:H20" si="2">SUM(D17:D19)</f>
        <v>90.756302521008422</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18.332773109243703</v>
      </c>
    </row>
    <row r="22" spans="1:16">
      <c r="A22" s="460" t="s">
        <v>867</v>
      </c>
      <c r="B22" s="729" t="s">
        <v>861</v>
      </c>
      <c r="C22" s="729">
        <f ca="1">'EF ele_warmte'!B22</f>
        <v>0.23764705882352949</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0.18055302933136322</v>
      </c>
      <c r="C17" s="496">
        <f ca="1">'EF ele_warmte'!B22</f>
        <v>0.23764705882352949</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2022-07-26T12:25:55Z</dcterms:modified>
</cp:coreProperties>
</file>