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DF2F34A-78FC-48AB-982D-55D5C939662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<sst xmlns="http://schemas.openxmlformats.org/spreadsheetml/2006/main" count="2497" uniqueCount="944">
  <si>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</si>
  <si>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</si>
  <si>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</si>
  <si>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</si>
  <si>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</si>
  <si>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</si>
  <si>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</si>
  <si>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</si>
  <si>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</si>
  <si>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</si>
  <si>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</si>
  <si>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</si>
  <si>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</si>
  <si>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</si>
  <si>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</si>
  <si>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</si>
  <si>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</si>
  <si>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</si>
  <si>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</si>
  <si>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</si>
  <si>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</si>
  <si>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</si>
  <si>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</si>
  <si>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</si>
  <si>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</si>
  <si>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</si>
  <si>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</si>
  <si>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</si>
  <si>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</si>
  <si>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</si>
  <si>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</si>
  <si>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</si>
  <si>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</si>
  <si>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</si>
  <si>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</si>
  <si>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</si>
  <si>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</si>
  <si>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</si>
  <si>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</si>
  <si>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</si>
  <si>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</si>
  <si>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</si>
  <si>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</si>
  <si>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</si>
  <si>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</si>
  <si>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</si>
  <si>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</si>
  <si>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</si>
  <si>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</si>
  <si>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</si>
  <si>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</si>
  <si>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</si>
  <si>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</si>
  <si>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</si>
  <si>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</si>
  <si>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</si>
  <si>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</si>
  <si>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</si>
  <si>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</si>
  <si>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</si>
  <si>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</si>
  <si>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</si>
  <si>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</si>
  <si>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</si>
  <si>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</si>
  <si>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</si>
  <si>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</si>
  <si>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</si>
  <si>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</si>
  <si>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</si>
  <si>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</si>
  <si>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</si>
  <si>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</si>
  <si>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</si>
  <si>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</si>
  <si>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</si>
  <si>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</si>
  <si>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</si>
  <si>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</si>
  <si>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</si>
  <si>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</si>
  <si>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</si>
  <si>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</si>
  <si>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</si>
  <si>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</si>
  <si>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</si>
  <si>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</si>
  <si>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</si>
  <si>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</si>
  <si>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</si>
  <si>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</si>
  <si>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</si>
  <si>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</si>
  <si>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</si>
  <si>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</si>
  <si>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</si>
  <si>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</si>
  <si>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</si>
  <si>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</si>
  <si>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</si>
  <si>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</si>
  <si>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</si>
  <si>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</si>
  <si>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</si>
  <si>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</si>
  <si>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</si>
  <si>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</si>
  <si>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</si>
  <si>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</si>
  <si>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</si>
  <si>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</si>
  <si>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</si>
  <si>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</si>
  <si>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</si>
  <si>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</si>
  <si>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</si>
  <si>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</si>
  <si>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</si>
  <si>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</si>
  <si>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</si>
  <si>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</si>
  <si>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</si>
  <si>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</si>
  <si>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</si>
  <si>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</si>
  <si>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</si>
  <si>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</si>
  <si>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</si>
  <si>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</si>
  <si>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</si>
  <si>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</si>
  <si>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</si>
  <si>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</si>
  <si>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</si>
  <si>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</si>
  <si>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</si>
  <si>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</si>
  <si>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</si>
  <si>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</si>
  <si>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</si>
  <si>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</si>
  <si>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</si>
  <si>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</si>
  <si>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</si>
  <si>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</si>
  <si>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</si>
  <si>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</si>
  <si>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</si>
  <si>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</si>
  <si>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</si>
  <si>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</si>
  <si>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</si>
  <si>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</si>
  <si>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</si>
  <si>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</si>
  <si>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</si>
  <si>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</si>
  <si>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</si>
  <si>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</si>
  <si>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</si>
  <si>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</si>
  <si>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</si>
  <si>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</si>
  <si>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</si>
  <si>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</si>
  <si>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</si>
  <si>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</si>
  <si>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</si>
  <si>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</si>
  <si>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</si>
  <si>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</si>
  <si>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</si>
  <si>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</si>
  <si>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</si>
  <si>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</si>
  <si>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</si>
  <si>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</si>
  <si>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</si>
  <si>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</si>
  <si>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</si>
  <si>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</si>
  <si>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</si>
  <si>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</si>
  <si>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</si>
  <si>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</si>
  <si>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</si>
  <si>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</si>
  <si>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</si>
  <si>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</si>
  <si>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</si>
  <si>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</si>
  <si>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</si>
  <si>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</si>
  <si>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</si>
  <si>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</si>
  <si>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</si>
  <si>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</si>
  <si>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</si>
  <si>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</si>
  <si>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</si>
  <si>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</si>
  <si>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</si>
  <si>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</si>
  <si>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</si>
  <si>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</si>
  <si>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</si>
  <si>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</si>
  <si>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</si>
  <si>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</si>
  <si>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</si>
  <si>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</si>
  <si>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</si>
  <si>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</si>
  <si>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</si>
  <si>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</si>
  <si>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</si>
  <si>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</si>
  <si>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</si>
  <si>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</si>
  <si>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</si>
  <si>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</si>
  <si>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</si>
  <si>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</si>
  <si>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</si>
  <si>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</si>
  <si>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</si>
  <si>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</si>
  <si>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</si>
  <si>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</si>
  <si>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</si>
  <si>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</si>
  <si>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</si>
  <si>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</si>
  <si>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</si>
  <si>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</si>
  <si>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</si>
  <si>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</si>
  <si>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</si>
  <si>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</si>
  <si>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</si>
  <si>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</si>
  <si>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</si>
  <si>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</si>
  <si>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</si>
  <si>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</si>
  <si>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</si>
  <si>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</si>
  <si>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</si>
  <si>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</si>
  <si>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</si>
  <si>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</si>
  <si>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</si>
  <si>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</si>
  <si>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</si>
  <si>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</si>
  <si>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</si>
  <si>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</si>
  <si>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</si>
  <si>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</si>
  <si>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</si>
  <si>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</si>
  <si>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</si>
  <si>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</si>
  <si>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</si>
  <si>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</si>
  <si>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</si>
  <si>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</si>
  <si>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</si>
  <si>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</si>
  <si>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</si>
  <si>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</si>
  <si>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</si>
  <si>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</si>
  <si>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</si>
  <si>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</si>
  <si>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</si>
  <si>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</si>
  <si>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</si>
  <si>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</si>
  <si>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</si>
  <si>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</si>
  <si>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</si>
  <si>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</si>
  <si>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</si>
  <si>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</si>
  <si>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</si>
  <si>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</si>
  <si>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</si>
  <si>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</si>
  <si>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</si>
  <si>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</si>
  <si>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</si>
  <si>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</si>
  <si>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</si>
  <si>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</si>
  <si>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</si>
  <si>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</si>
  <si>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</si>
  <si>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</si>
  <si>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</si>
  <si>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</si>
  <si>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</si>
  <si>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</si>
  <si>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</si>
  <si>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</si>
  <si>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</si>
  <si>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</si>
  <si>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</si>
  <si>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</si>
  <si>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</si>
  <si>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</si>
  <si>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</si>
  <si>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</si>
  <si>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</si>
  <si>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</si>
  <si>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</si>
  <si>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</si>
  <si>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</si>
  <si>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</si>
  <si>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</si>
  <si>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</si>
  <si>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</si>
  <si>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</si>
  <si>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</si>
  <si>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</si>
  <si>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</si>
  <si>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</si>
  <si>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</si>
  <si>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</si>
  <si>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</si>
  <si>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</si>
  <si>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</si>
  <si>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</si>
  <si>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</si>
  <si>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</si>
  <si>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</si>
  <si>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</si>
  <si>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</si>
  <si>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</si>
  <si>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</si>
  <si>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</si>
  <si>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</si>
  <si>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</si>
  <si>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</si>
  <si>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</si>
  <si>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</si>
  <si>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</si>
  <si>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</si>
  <si>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</si>
  <si>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</si>
  <si>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</si>
  <si>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</si>
  <si>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</si>
  <si>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</si>
  <si>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</si>
  <si>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</si>
  <si>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</si>
  <si>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</si>
  <si>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</si>
  <si>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</si>
  <si>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</si>
  <si>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</si>
  <si>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</si>
  <si>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</si>
  <si>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</si>
  <si>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</si>
  <si>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</si>
  <si>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</si>
  <si>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</si>
  <si>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</si>
  <si>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</si>
  <si>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</si>
  <si>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</si>
  <si>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</si>
  <si>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</si>
  <si>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</si>
  <si>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</si>
  <si>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</si>
  <si>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</si>
  <si>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</si>
  <si>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</si>
  <si>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</si>
  <si>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</si>
  <si>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</si>
  <si>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</si>
  <si>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</si>
  <si>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</si>
  <si>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</si>
  <si>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</si>
  <si>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</si>
  <si>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</si>
  <si>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</si>
  <si>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</si>
  <si>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</si>
  <si>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</si>
  <si>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</si>
  <si>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</si>
  <si>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</si>
  <si>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</si>
  <si>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</si>
  <si>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</si>
  <si>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</si>
  <si>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</si>
  <si>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</si>
  <si>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</si>
  <si>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</si>
  <si>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</si>
  <si>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</si>
  <si>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</si>
  <si>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</si>
  <si>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</si>
  <si>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</si>
  <si>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</si>
  <si>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</si>
  <si>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</si>
  <si>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</si>
  <si>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</si>
  <si>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</si>
  <si>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</si>
  <si>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</si>
  <si>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</si>
  <si>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</si>
  <si>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</si>
  <si>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</si>
  <si>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</si>
  <si>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</si>
  <si>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</si>
  <si>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</si>
  <si>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</si>
  <si>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</si>
  <si>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</si>
  <si>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</si>
  <si>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</si>
  <si>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</si>
  <si>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</si>
  <si>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</si>
  <si>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</si>
  <si>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</si>
  <si>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</si>
  <si>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</si>
  <si>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</si>
  <si>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</si>
  <si>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</si>
  <si>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</si>
  <si>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</si>
  <si>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</si>
  <si>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</si>
  <si>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</si>
  <si>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</si>
  <si>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</si>
  <si>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</si>
  <si>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</si>
  <si>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</si>
  <si>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</si>
  <si>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</si>
  <si>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</si>
  <si>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</si>
  <si>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</si>
  <si>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</si>
  <si>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</si>
  <si>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</si>
  <si>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</si>
  <si>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</si>
  <si>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</si>
  <si>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</si>
  <si>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</si>
  <si>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</si>
  <si>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</si>
  <si>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</si>
  <si>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</si>
  <si>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</si>
  <si>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</si>
  <si>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</si>
  <si>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</si>
  <si>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</si>
  <si>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</si>
  <si>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</si>
  <si>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</si>
  <si>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</si>
  <si>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</si>
  <si>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</si>
  <si>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</si>
  <si>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</si>
  <si>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</si>
  <si>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</si>
  <si>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</si>
  <si>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</si>
  <si>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</si>
  <si>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</si>
  <si>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</si>
  <si>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</si>
  <si>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</si>
  <si>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</si>
  <si>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</si>
  <si>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</si>
  <si>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</si>
  <si>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</si>
  <si>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</si>
  <si>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</si>
  <si>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</si>
  <si>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</si>
  <si>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</si>
  <si>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</si>
  <si>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</si>
  <si>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</si>
  <si>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</si>
  <si>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</si>
  <si>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</si>
  <si>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</si>
  <si>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</si>
  <si>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</si>
  <si>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</si>
  <si>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</si>
  <si>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</si>
  <si>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</si>
  <si>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</si>
  <si>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</si>
  <si>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</si>
  <si>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</si>
  <si>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</si>
  <si>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</si>
  <si>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</si>
  <si>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</si>
  <si>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</si>
  <si>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</si>
  <si>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</si>
  <si>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</si>
  <si>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</si>
  <si>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</si>
  <si>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</si>
  <si>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</si>
  <si>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</si>
  <si>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</si>
  <si>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</si>
  <si>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</si>
  <si>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</si>
  <si>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</si>
  <si>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</si>
  <si>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</si>
  <si>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</si>
  <si>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</si>
  <si>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</si>
  <si>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</si>
  <si>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</si>
  <si>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</si>
  <si>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</si>
  <si>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</si>
  <si>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</si>
  <si>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</si>
  <si>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</si>
  <si>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</si>
  <si>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</si>
  <si>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</si>
  <si>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</si>
  <si>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</si>
  <si>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</si>
  <si>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</si>
  <si>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</si>
  <si>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</si>
  <si>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</si>
  <si>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</si>
  <si>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</si>
  <si>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</si>
  <si>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</si>
  <si>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</si>
  <si>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</si>
  <si>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</si>
  <si>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</si>
  <si>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</si>
  <si>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</si>
  <si>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</si>
  <si>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</si>
  <si>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</si>
  <si>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</si>
  <si>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</si>
  <si>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</si>
  <si>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</si>
  <si>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</si>
  <si>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</si>
  <si>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</si>
  <si>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</si>
  <si>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</si>
  <si>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</si>
  <si>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</si>
  <si>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</si>
  <si>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</si>
  <si>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</si>
  <si>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</si>
  <si>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</si>
  <si>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</si>
  <si>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</si>
  <si>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</si>
  <si>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</si>
  <si>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</si>
  <si>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</si>
  <si>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</si>
  <si>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</si>
  <si>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</si>
  <si>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</si>
  <si>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</si>
  <si>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</si>
  <si>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</si>
  <si>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</si>
  <si>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</si>
  <si>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</si>
  <si>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</si>
  <si>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</si>
  <si>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</si>
  <si>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</si>
  <si>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</si>
  <si>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</si>
  <si>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</si>
  <si>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</si>
  <si>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</si>
  <si>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</si>
  <si>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</si>
  <si>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</si>
  <si>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</si>
  <si>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</si>
  <si>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</si>
  <si>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</si>
  <si>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</si>
  <si>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</si>
  <si>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</si>
  <si>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</si>
  <si>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</si>
  <si>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</si>
  <si>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</si>
  <si>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</si>
  <si>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</si>
  <si>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</si>
  <si>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</si>
  <si>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</si>
  <si>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</si>
  <si>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</si>
  <si>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</si>
  <si>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</si>
  <si>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</si>
  <si>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</si>
  <si>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</si>
  <si>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</si>
  <si>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</si>
  <si>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</si>
  <si>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</si>
  <si>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</si>
  <si>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</si>
  <si>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</si>
  <si>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</si>
  <si>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</si>
  <si>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</si>
  <si>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</si>
  <si>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</si>
  <si>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</si>
  <si>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</si>
  <si>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</si>
  <si>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</si>
  <si>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</si>
  <si>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</si>
  <si>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</si>
  <si>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</si>
  <si>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</si>
  <si>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</si>
  <si>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</si>
  <si>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</si>
  <si>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</si>
  <si>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</si>
  <si>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</si>
  <si>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</si>
  <si>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</si>
  <si>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</si>
  <si>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</si>
  <si>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</si>
  <si>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</si>
  <si>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</si>
  <si>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</si>
  <si>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</si>
  <si>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</si>
  <si>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</si>
  <si>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</si>
  <si>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</si>
  <si>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</si>
  <si>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</si>
  <si>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</si>
  <si>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</si>
  <si>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</si>
  <si>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</si>
  <si>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</si>
  <si>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</si>
  <si>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</si>
  <si>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</si>
  <si>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</si>
  <si>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</si>
  <si>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</si>
  <si>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</si>
  <si>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</si>
  <si>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</si>
  <si>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</si>
  <si>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</si>
  <si>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</si>
  <si>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</si>
  <si>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</si>
  <si>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</si>
  <si>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</si>
  <si>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</si>
  <si>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</si>
  <si>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</si>
  <si>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</si>
  <si>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</si>
  <si>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</si>
  <si>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</si>
  <si>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</si>
  <si>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</si>
  <si>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</si>
  <si>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</si>
  <si>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</si>
  <si>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</si>
  <si>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</si>
  <si>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</si>
  <si>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</si>
  <si>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</si>
  <si>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</si>
  <si>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</si>
  <si>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</si>
  <si>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</si>
  <si>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</si>
  <si>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</si>
  <si>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</si>
  <si>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</si>
  <si>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</si>
  <si>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</si>
  <si>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</si>
  <si>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</si>
  <si>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</si>
  <si>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</si>
  <si>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</si>
  <si>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</si>
  <si>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</si>
  <si>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</si>
  <si>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</si>
  <si>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</si>
  <si>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</si>
  <si>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</si>
  <si>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</si>
  <si>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</si>
  <si>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</si>
  <si>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</si>
  <si>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</si>
  <si>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</si>
  <si>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</si>
  <si>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</si>
  <si>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</si>
  <si>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</si>
  <si>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</si>
  <si>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</si>
  <si>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</si>
  <si>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</si>
  <si>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</si>
  <si>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</si>
  <si>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</si>
  <si>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</si>
  <si>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</si>
  <si>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</si>
  <si>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</si>
  <si>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</si>
  <si>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</si>
  <si>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</si>
  <si>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</si>
  <si>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</si>
  <si>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</si>
  <si>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</si>
  <si>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</si>
  <si>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</si>
  <si>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</si>
  <si>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</si>
  <si>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</si>
  <si>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</si>
  <si>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</si>
  <si>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</si>
  <si>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</si>
  <si>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</si>
  <si>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</si>
  <si>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</si>
  <si>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</si>
  <si>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</si>
  <si>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</si>
  <si>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</si>
  <si>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</si>
  <si>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</si>
  <si>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</si>
  <si>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</si>
  <si>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</si>
  <si>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</si>
  <si>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</si>
  <si>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</si>
  <si>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</si>
  <si>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</si>
  <si>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</si>
  <si>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</si>
  <si>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</si>
  <si>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</si>
  <si>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</si>
  <si>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</si>
  <si>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</si>
  <si>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</si>
  <si>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</si>
  <si>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</si>
  <si>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</si>
  <si>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</si>
  <si>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</si>
  <si>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</si>
  <si>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</si>
  <si>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</si>
  <si>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</si>
  <si>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</si>
  <si>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</si>
  <si>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</si>
  <si>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</si>
  <si>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</si>
  <si>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</si>
  <si>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</si>
  <si>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</si>
  <si>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</si>
  <si>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</si>
  <si>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</si>
  <si>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</si>
  <si>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</si>
  <si>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</si>
  <si>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</si>
  <si>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</si>
  <si>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</si>
  <si>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</si>
  <si>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</si>
  <si>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</si>
  <si>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</si>
  <si>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</si>
  <si>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</si>
  <si>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</si>
  <si>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</si>
  <si>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</si>
  <si>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</si>
  <si>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</si>
  <si>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</si>
  <si>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</si>
  <si>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</si>
  <si>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</si>
  <si>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</si>
  <si>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</si>
  <si>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</si>
  <si>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</si>
  <si>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</si>
  <si>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</si>
  <si>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</si>
  <si>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</si>
  <si>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</si>
  <si>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</si>
  <si>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</si>
  <si>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</si>
  <si>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</si>
  <si>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</si>
  <si>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</si>
  <si>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</si>
  <si>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</si>
  <si>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</si>
  <si>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</si>
  <si>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</si>
  <si>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</si>
  <si>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</si>
  <si>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</si>
  <si>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</si>
  <si>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</si>
  <si>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</si>
  <si>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</si>
  <si>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</si>
  <si>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</si>
  <si>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</si>
  <si>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</si>
  <si>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</si>
  <si>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</si>
  <si>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</si>
  <si>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</si>
  <si>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</si>
  <si>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</si>
  <si>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</si>
  <si>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</si>
  <si>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</si>
  <si>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</si>
  <si>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</si>
  <si>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</si>
  <si>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</si>
  <si>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</si>
  <si>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</si>
  <si>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</si>
  <si>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</si>
  <si>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</si>
  <si>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</si>
  <si>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</si>
  <si>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</si>
  <si>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</si>
  <si>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</si>
  <si>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</si>
  <si>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</si>
  <si>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</si>
  <si>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</si>
  <si>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</si>
  <si>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</si>
  <si>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</si>
  <si>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</si>
  <si>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</si>
  <si>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</si>
  <si>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</si>
  <si>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</si>
  <si>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</si>
  <si>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</si>
  <si>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</si>
  <si>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</si>
  <si>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</si>
  <si>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</si>
  <si>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</si>
  <si>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</si>
  <si>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</si>
  <si>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</si>
  <si>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</si>
  <si>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</si>
  <si>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</si>
  <si>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</si>
  <si>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</si>
  <si>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</si>
  <si>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</si>
  <si>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</si>
  <si>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</si>
  <si>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</si>
  <si>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</si>
  <si>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</si>
  <si>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</si>
  <si>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</si>
  <si>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</si>
  <si>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</si>
  <si>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23025</t>
  </si>
  <si>
    <t>GRIMBERGEN</t>
  </si>
  <si>
    <t>Paarden&amp;pony's 200 - 600 kg</t>
  </si>
  <si>
    <t>Paarden&amp;pony's &lt; 200 kg</t>
  </si>
  <si>
    <t>vloeibaar gas (MWh)</t>
  </si>
  <si>
    <t>stirlingmotor</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</si>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</sst>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4C2ECA3-1049-457B-B1EC-58310815CA98}"/>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23025</v>
      </c>
      <c r="B6" s="384"/>
      <c r="C6" s="385"/>
    </row>
    <row r="7" spans="1:7" s="382" customFormat="1" ht="15.75" customHeight="1">
      <c r="A7" s="386" t="str">
        <f>txtMunicipality</f>
        <v>GRIMBERGEN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0.21277852961991772</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0.21277852961991772</v>
      </c>
      <c r="C29" s="497">
        <f ca="1">'EF ele_warmte'!B22</f>
        <v>0.22444444444444447</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15131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1473</v>
      </c>
      <c r="C14" s="327"/>
      <c r="D14" s="327"/>
      <c r="E14" s="327"/>
      <c r="F14" s="327"/>
    </row>
    <row r="15" spans="1:6">
      <c r="A15" s="1258" t="s">
        <v>177</v>
      </c>
      <c r="B15" s="1259">
        <v>396</v>
      </c>
      <c r="C15" s="327"/>
      <c r="D15" s="327"/>
      <c r="E15" s="327"/>
      <c r="F15" s="327"/>
    </row>
    <row r="16" spans="1:6">
      <c r="A16" s="1258" t="s">
        <v>6</v>
      </c>
      <c r="B16" s="1259">
        <v>89</v>
      </c>
      <c r="C16" s="327"/>
      <c r="D16" s="327"/>
      <c r="E16" s="327"/>
      <c r="F16" s="327"/>
    </row>
    <row r="17" spans="1:6">
      <c r="A17" s="1258" t="s">
        <v>7</v>
      </c>
      <c r="B17" s="1259">
        <v>135</v>
      </c>
      <c r="C17" s="327"/>
      <c r="D17" s="327"/>
      <c r="E17" s="327"/>
      <c r="F17" s="327"/>
    </row>
    <row r="18" spans="1:6">
      <c r="A18" s="1258" t="s">
        <v>8</v>
      </c>
      <c r="B18" s="1259">
        <v>159</v>
      </c>
      <c r="C18" s="327"/>
      <c r="D18" s="327"/>
      <c r="E18" s="327"/>
      <c r="F18" s="327"/>
    </row>
    <row r="19" spans="1:6">
      <c r="A19" s="1258" t="s">
        <v>9</v>
      </c>
      <c r="B19" s="1259">
        <v>130</v>
      </c>
      <c r="C19" s="327"/>
      <c r="D19" s="327"/>
      <c r="E19" s="327"/>
      <c r="F19" s="327"/>
    </row>
    <row r="20" spans="1:6">
      <c r="A20" s="1258" t="s">
        <v>10</v>
      </c>
      <c r="B20" s="1259">
        <v>172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92</v>
      </c>
      <c r="C26" s="327"/>
      <c r="D26" s="327"/>
      <c r="E26" s="327"/>
      <c r="F26" s="327"/>
    </row>
    <row r="27" spans="1:6">
      <c r="A27" s="1258" t="s">
        <v>17</v>
      </c>
      <c r="B27" s="1259">
        <v>2</v>
      </c>
      <c r="C27" s="327"/>
      <c r="D27" s="327"/>
      <c r="E27" s="327"/>
      <c r="F27" s="327"/>
    </row>
    <row r="28" spans="1:6">
      <c r="A28" s="1258" t="s">
        <v>18</v>
      </c>
      <c r="B28" s="1260">
        <v>0</v>
      </c>
      <c r="C28" s="327"/>
      <c r="D28" s="327"/>
      <c r="E28" s="327"/>
      <c r="F28" s="327"/>
    </row>
    <row r="29" spans="1:6">
      <c r="A29" s="1258" t="s">
        <v>939</v>
      </c>
      <c r="B29" s="1260">
        <v>218</v>
      </c>
      <c r="C29" s="327"/>
      <c r="D29" s="327"/>
      <c r="E29" s="327"/>
      <c r="F29" s="327"/>
    </row>
    <row r="30" spans="1:6">
      <c r="A30" s="1253" t="s">
        <v>940</v>
      </c>
      <c r="B30" s="1261">
        <v>45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6</v>
      </c>
      <c r="F35" s="1259">
        <v>57502.918532143703</v>
      </c>
    </row>
    <row r="36" spans="1:6">
      <c r="A36" s="1258" t="s">
        <v>24</v>
      </c>
      <c r="B36" s="1258" t="s">
        <v>26</v>
      </c>
      <c r="C36" s="1259">
        <v>0</v>
      </c>
      <c r="D36" s="1259">
        <v>0</v>
      </c>
      <c r="E36" s="1259">
        <v>4</v>
      </c>
      <c r="F36" s="1259">
        <v>10268.9434561988</v>
      </c>
    </row>
    <row r="37" spans="1:6">
      <c r="A37" s="1258" t="s">
        <v>24</v>
      </c>
      <c r="B37" s="1258" t="s">
        <v>27</v>
      </c>
      <c r="C37" s="1259">
        <v>0</v>
      </c>
      <c r="D37" s="1259">
        <v>0</v>
      </c>
      <c r="E37" s="1259">
        <v>0</v>
      </c>
      <c r="F37" s="1259">
        <v>0</v>
      </c>
    </row>
    <row r="38" spans="1:6">
      <c r="A38" s="1258" t="s">
        <v>24</v>
      </c>
      <c r="B38" s="1258" t="s">
        <v>28</v>
      </c>
      <c r="C38" s="1259">
        <v>3</v>
      </c>
      <c r="D38" s="1259">
        <v>1000706.99107136</v>
      </c>
      <c r="E38" s="1259">
        <v>7</v>
      </c>
      <c r="F38" s="1259">
        <v>23682.585852383902</v>
      </c>
    </row>
    <row r="39" spans="1:6">
      <c r="A39" s="1258" t="s">
        <v>29</v>
      </c>
      <c r="B39" s="1258" t="s">
        <v>30</v>
      </c>
      <c r="C39" s="1259">
        <v>9939</v>
      </c>
      <c r="D39" s="1259">
        <v>180115827.602209</v>
      </c>
      <c r="E39" s="1259">
        <v>15518</v>
      </c>
      <c r="F39" s="1259">
        <v>60172334.8357208</v>
      </c>
    </row>
    <row r="40" spans="1:6">
      <c r="A40" s="1258" t="s">
        <v>29</v>
      </c>
      <c r="B40" s="1258" t="s">
        <v>28</v>
      </c>
      <c r="C40" s="1259">
        <v>0</v>
      </c>
      <c r="D40" s="1259">
        <v>0</v>
      </c>
      <c r="E40" s="1259">
        <v>0</v>
      </c>
      <c r="F40" s="1259">
        <v>0</v>
      </c>
    </row>
    <row r="41" spans="1:6">
      <c r="A41" s="1258" t="s">
        <v>31</v>
      </c>
      <c r="B41" s="1258" t="s">
        <v>32</v>
      </c>
      <c r="C41" s="1259">
        <v>23</v>
      </c>
      <c r="D41" s="1259">
        <v>586563.557008759</v>
      </c>
      <c r="E41" s="1259">
        <v>101</v>
      </c>
      <c r="F41" s="1259">
        <v>741515.16578940302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12</v>
      </c>
      <c r="F44" s="1259">
        <v>175428.91414092801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7</v>
      </c>
      <c r="F47" s="1259">
        <v>219057.21268124599</v>
      </c>
    </row>
    <row r="48" spans="1:6">
      <c r="A48" s="1258" t="s">
        <v>31</v>
      </c>
      <c r="B48" s="1258" t="s">
        <v>28</v>
      </c>
      <c r="C48" s="1259">
        <v>56</v>
      </c>
      <c r="D48" s="1259">
        <v>48522918.024909697</v>
      </c>
      <c r="E48" s="1259">
        <v>86</v>
      </c>
      <c r="F48" s="1259">
        <v>24215293.966799799</v>
      </c>
    </row>
    <row r="49" spans="1:6">
      <c r="A49" s="1258" t="s">
        <v>31</v>
      </c>
      <c r="B49" s="1258" t="s">
        <v>39</v>
      </c>
      <c r="C49" s="1259">
        <v>0</v>
      </c>
      <c r="D49" s="1259">
        <v>0</v>
      </c>
      <c r="E49" s="1259">
        <v>0</v>
      </c>
      <c r="F49" s="1259">
        <v>0</v>
      </c>
    </row>
    <row r="50" spans="1:6">
      <c r="A50" s="1258" t="s">
        <v>31</v>
      </c>
      <c r="B50" s="1258" t="s">
        <v>40</v>
      </c>
      <c r="C50" s="1259">
        <v>6</v>
      </c>
      <c r="D50" s="1259">
        <v>633382.82325540797</v>
      </c>
      <c r="E50" s="1259">
        <v>13</v>
      </c>
      <c r="F50" s="1259">
        <v>885036.48676029802</v>
      </c>
    </row>
    <row r="51" spans="1:6">
      <c r="A51" s="1258" t="s">
        <v>41</v>
      </c>
      <c r="B51" s="1258" t="s">
        <v>42</v>
      </c>
      <c r="C51" s="1259">
        <v>0</v>
      </c>
      <c r="D51" s="1259">
        <v>0</v>
      </c>
      <c r="E51" s="1259">
        <v>38</v>
      </c>
      <c r="F51" s="1259">
        <v>219814.385745601</v>
      </c>
    </row>
    <row r="52" spans="1:6">
      <c r="A52" s="1258" t="s">
        <v>41</v>
      </c>
      <c r="B52" s="1258" t="s">
        <v>28</v>
      </c>
      <c r="C52" s="1259">
        <v>4</v>
      </c>
      <c r="D52" s="1259">
        <v>99313.327163430105</v>
      </c>
      <c r="E52" s="1259">
        <v>16</v>
      </c>
      <c r="F52" s="1259">
        <v>303842.44259412697</v>
      </c>
    </row>
    <row r="53" spans="1:6">
      <c r="A53" s="1258" t="s">
        <v>43</v>
      </c>
      <c r="B53" s="1258" t="s">
        <v>44</v>
      </c>
      <c r="C53" s="1259">
        <v>225</v>
      </c>
      <c r="D53" s="1259">
        <v>8854466.2004263196</v>
      </c>
      <c r="E53" s="1259">
        <v>436</v>
      </c>
      <c r="F53" s="1259">
        <v>2310429.9017698299</v>
      </c>
    </row>
    <row r="54" spans="1:6">
      <c r="A54" s="1258" t="s">
        <v>45</v>
      </c>
      <c r="B54" s="1258" t="s">
        <v>46</v>
      </c>
      <c r="C54" s="1259">
        <v>0</v>
      </c>
      <c r="D54" s="1259">
        <v>0</v>
      </c>
      <c r="E54" s="1259">
        <v>1</v>
      </c>
      <c r="F54" s="1259">
        <v>3410104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47</v>
      </c>
      <c r="D57" s="1259">
        <v>3562831.0104454798</v>
      </c>
      <c r="E57" s="1259">
        <v>198</v>
      </c>
      <c r="F57" s="1259">
        <v>7112604.3486754997</v>
      </c>
    </row>
    <row r="58" spans="1:6">
      <c r="A58" s="1258" t="s">
        <v>48</v>
      </c>
      <c r="B58" s="1258" t="s">
        <v>50</v>
      </c>
      <c r="C58" s="1259">
        <v>38</v>
      </c>
      <c r="D58" s="1259">
        <v>1586387.8181285099</v>
      </c>
      <c r="E58" s="1259">
        <v>58</v>
      </c>
      <c r="F58" s="1259">
        <v>550096.85336152697</v>
      </c>
    </row>
    <row r="59" spans="1:6">
      <c r="A59" s="1258" t="s">
        <v>48</v>
      </c>
      <c r="B59" s="1258" t="s">
        <v>51</v>
      </c>
      <c r="C59" s="1259">
        <v>157</v>
      </c>
      <c r="D59" s="1259">
        <v>22213683.876809102</v>
      </c>
      <c r="E59" s="1259">
        <v>349</v>
      </c>
      <c r="F59" s="1259">
        <v>21127557.974378798</v>
      </c>
    </row>
    <row r="60" spans="1:6">
      <c r="A60" s="1258" t="s">
        <v>48</v>
      </c>
      <c r="B60" s="1258" t="s">
        <v>52</v>
      </c>
      <c r="C60" s="1259">
        <v>85</v>
      </c>
      <c r="D60" s="1259">
        <v>5314569.4606896602</v>
      </c>
      <c r="E60" s="1259">
        <v>110</v>
      </c>
      <c r="F60" s="1259">
        <v>2960919.4675235101</v>
      </c>
    </row>
    <row r="61" spans="1:6">
      <c r="A61" s="1258" t="s">
        <v>48</v>
      </c>
      <c r="B61" s="1258" t="s">
        <v>53</v>
      </c>
      <c r="C61" s="1259">
        <v>269</v>
      </c>
      <c r="D61" s="1259">
        <v>26319022.708969101</v>
      </c>
      <c r="E61" s="1259">
        <v>679</v>
      </c>
      <c r="F61" s="1259">
        <v>28873868.588481899</v>
      </c>
    </row>
    <row r="62" spans="1:6">
      <c r="A62" s="1258" t="s">
        <v>48</v>
      </c>
      <c r="B62" s="1258" t="s">
        <v>54</v>
      </c>
      <c r="C62" s="1259">
        <v>3</v>
      </c>
      <c r="D62" s="1259">
        <v>81089.484716352701</v>
      </c>
      <c r="E62" s="1259">
        <v>4</v>
      </c>
      <c r="F62" s="1259">
        <v>24794.666232076001</v>
      </c>
    </row>
    <row r="63" spans="1:6">
      <c r="A63" s="1258" t="s">
        <v>48</v>
      </c>
      <c r="B63" s="1258" t="s">
        <v>28</v>
      </c>
      <c r="C63" s="1259">
        <v>243</v>
      </c>
      <c r="D63" s="1259">
        <v>18443456.762469299</v>
      </c>
      <c r="E63" s="1259">
        <v>305</v>
      </c>
      <c r="F63" s="1259">
        <v>16281390.890675901</v>
      </c>
    </row>
    <row r="64" spans="1:6">
      <c r="A64" s="1258" t="s">
        <v>55</v>
      </c>
      <c r="B64" s="1258" t="s">
        <v>56</v>
      </c>
      <c r="C64" s="1259">
        <v>0</v>
      </c>
      <c r="D64" s="1259">
        <v>0</v>
      </c>
      <c r="E64" s="1259">
        <v>0</v>
      </c>
      <c r="F64" s="1259">
        <v>0</v>
      </c>
    </row>
    <row r="65" spans="1:6">
      <c r="A65" s="1258" t="s">
        <v>55</v>
      </c>
      <c r="B65" s="1258" t="s">
        <v>28</v>
      </c>
      <c r="C65" s="1259">
        <v>4</v>
      </c>
      <c r="D65" s="1259">
        <v>330692.46646562999</v>
      </c>
      <c r="E65" s="1259">
        <v>10</v>
      </c>
      <c r="F65" s="1259">
        <v>502709.93661598099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206528.79363351699</v>
      </c>
      <c r="E68" s="1261">
        <v>9</v>
      </c>
      <c r="F68" s="1261">
        <v>144501.00917917601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69117665</v>
      </c>
      <c r="E73" s="445"/>
      <c r="F73" s="327"/>
    </row>
    <row r="74" spans="1:6">
      <c r="A74" s="1258" t="s">
        <v>63</v>
      </c>
      <c r="B74" s="1258" t="s">
        <v>724</v>
      </c>
      <c r="C74" s="1271" t="s">
        <v>718</v>
      </c>
      <c r="D74" s="1259">
        <v>2114262.2109735846</v>
      </c>
      <c r="E74" s="445"/>
      <c r="F74" s="327"/>
    </row>
    <row r="75" spans="1:6">
      <c r="A75" s="1258" t="s">
        <v>64</v>
      </c>
      <c r="B75" s="1258" t="s">
        <v>723</v>
      </c>
      <c r="C75" s="1271" t="s">
        <v>719</v>
      </c>
      <c r="D75" s="1259">
        <v>61592597</v>
      </c>
      <c r="E75" s="445"/>
      <c r="F75" s="327"/>
    </row>
    <row r="76" spans="1:6">
      <c r="A76" s="1258" t="s">
        <v>64</v>
      </c>
      <c r="B76" s="1258" t="s">
        <v>724</v>
      </c>
      <c r="C76" s="1271" t="s">
        <v>720</v>
      </c>
      <c r="D76" s="1259">
        <v>2124216.2109735846</v>
      </c>
      <c r="E76" s="445"/>
      <c r="F76" s="327"/>
    </row>
    <row r="77" spans="1:6">
      <c r="A77" s="1258" t="s">
        <v>65</v>
      </c>
      <c r="B77" s="1258" t="s">
        <v>723</v>
      </c>
      <c r="C77" s="1271" t="s">
        <v>721</v>
      </c>
      <c r="D77" s="1259">
        <v>260200461</v>
      </c>
      <c r="E77" s="445"/>
      <c r="F77" s="327"/>
    </row>
    <row r="78" spans="1:6">
      <c r="A78" s="1253" t="s">
        <v>65</v>
      </c>
      <c r="B78" s="1253" t="s">
        <v>724</v>
      </c>
      <c r="C78" s="1253" t="s">
        <v>722</v>
      </c>
      <c r="D78" s="1261">
        <v>33240664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1332919.5780528309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2637.2427210525921</v>
      </c>
      <c r="C91" s="327"/>
      <c r="D91" s="327"/>
      <c r="E91" s="327"/>
      <c r="F91" s="327"/>
    </row>
    <row r="92" spans="1:6">
      <c r="A92" s="1253" t="s">
        <v>68</v>
      </c>
      <c r="B92" s="1254">
        <v>3771.1770488606962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6866</v>
      </c>
      <c r="C97" s="327"/>
      <c r="D97" s="327"/>
      <c r="E97" s="327"/>
      <c r="F97" s="327"/>
    </row>
    <row r="98" spans="1:6">
      <c r="A98" s="1258" t="s">
        <v>71</v>
      </c>
      <c r="B98" s="1259">
        <v>3</v>
      </c>
      <c r="C98" s="327"/>
      <c r="D98" s="327"/>
      <c r="E98" s="327"/>
      <c r="F98" s="327"/>
    </row>
    <row r="99" spans="1:6">
      <c r="A99" s="1258" t="s">
        <v>72</v>
      </c>
      <c r="B99" s="1259">
        <v>130</v>
      </c>
      <c r="C99" s="327"/>
      <c r="D99" s="327"/>
      <c r="E99" s="327"/>
      <c r="F99" s="327"/>
    </row>
    <row r="100" spans="1:6">
      <c r="A100" s="1258" t="s">
        <v>73</v>
      </c>
      <c r="B100" s="1259">
        <v>1177</v>
      </c>
      <c r="C100" s="327"/>
      <c r="D100" s="327"/>
      <c r="E100" s="327"/>
      <c r="F100" s="327"/>
    </row>
    <row r="101" spans="1:6">
      <c r="A101" s="1258" t="s">
        <v>74</v>
      </c>
      <c r="B101" s="1259">
        <v>56</v>
      </c>
      <c r="C101" s="327"/>
      <c r="D101" s="327"/>
      <c r="E101" s="327"/>
      <c r="F101" s="327"/>
    </row>
    <row r="102" spans="1:6">
      <c r="A102" s="1258" t="s">
        <v>75</v>
      </c>
      <c r="B102" s="1259">
        <v>230</v>
      </c>
      <c r="C102" s="327"/>
      <c r="D102" s="327"/>
      <c r="E102" s="327"/>
      <c r="F102" s="327"/>
    </row>
    <row r="103" spans="1:6">
      <c r="A103" s="1258" t="s">
        <v>76</v>
      </c>
      <c r="B103" s="1259">
        <v>159</v>
      </c>
      <c r="C103" s="327"/>
      <c r="D103" s="327"/>
      <c r="E103" s="327"/>
      <c r="F103" s="327"/>
    </row>
    <row r="104" spans="1:6">
      <c r="A104" s="1258" t="s">
        <v>77</v>
      </c>
      <c r="B104" s="1259">
        <v>4800</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11</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72</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172261.79791170827</v>
      </c>
      <c r="C3" s="44" t="s">
        <v>163</v>
      </c>
      <c r="D3" s="44"/>
      <c r="E3" s="157"/>
      <c r="F3" s="44"/>
      <c r="G3" s="44"/>
      <c r="H3" s="44"/>
      <c r="I3" s="44"/>
      <c r="J3" s="44"/>
      <c r="K3" s="97"/>
    </row>
    <row r="4" spans="1:11">
      <c r="A4" s="352" t="s">
        <v>164</v>
      </c>
      <c r="B4" s="50">
        <f>IF(ISERROR('SEAP template'!B78+'SEAP template'!C78),0,'SEAP template'!B78+'SEAP template'!C78)</f>
        <v>6412.9197699132883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1.01</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0.21277852961991772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5.0500000000000007</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22.5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0.22444444444444447</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3410.1039999999998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3410.1039999999998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0.21277852961991772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725.59691497099982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60172.334835720801</v>
      </c>
      <c r="C5" s="18">
        <f>IF(ISERROR('Eigen informatie GS &amp; warmtenet'!B57),0,'Eigen informatie GS &amp; warmtenet'!B57)</f>
        <v>0</v>
      </c>
      <c r="D5" s="31">
        <f>(SUM(HH_hh_gas_kWh,HH_rest_gas_kWh)/1000)*0.902</f>
        <v>162464.47649719252</v>
      </c>
      <c r="E5" s="18">
        <f>B32*B41</f>
        <v>2949.061762382677</v>
      </c>
      <c r="F5" s="18">
        <f>B36*B45</f>
        <v>89908.331136237379</v>
      </c>
      <c r="G5" s="19"/>
      <c r="H5" s="18"/>
      <c r="I5" s="18"/>
      <c r="J5" s="18">
        <f>B35*B44+C35*C44</f>
        <v>1631.3553402836048</v>
      </c>
      <c r="K5" s="18"/>
      <c r="L5" s="18"/>
      <c r="M5" s="18"/>
      <c r="N5" s="18">
        <f>B34*B43+C34*C43</f>
        <v>21514.74704626267</v>
      </c>
      <c r="O5" s="18">
        <f>B52*B53*B54</f>
        <v>131.32000000000002</v>
      </c>
      <c r="P5" s="18">
        <f>B60*B61*B62/1000-B60*B61*B62/1000/B63</f>
        <v>362.26666666666665</v>
      </c>
    </row>
    <row r="6" spans="1:16">
      <c r="A6" s="17" t="s">
        <v>597</v>
      </c>
      <c r="B6" s="731">
        <f>kWh_PV_kleiner_dan_10kW</f>
        <v>2637.2427210525921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62809.577556773394</v>
      </c>
      <c r="C8" s="22">
        <f>C5</f>
        <v>0</v>
      </c>
      <c r="D8" s="22">
        <f>D5</f>
        <v>162464.47649719252</v>
      </c>
      <c r="E8" s="22">
        <f>E5</f>
        <v>2949.061762382677</v>
      </c>
      <c r="F8" s="22">
        <f>F5</f>
        <v>89908.331136237379</v>
      </c>
      <c r="G8" s="22"/>
      <c r="H8" s="22"/>
      <c r="I8" s="22"/>
      <c r="J8" s="22">
        <f>J5</f>
        <v>1631.3553402836048</v>
      </c>
      <c r="K8" s="22"/>
      <c r="L8" s="22">
        <f>L5</f>
        <v>0</v>
      </c>
      <c r="M8" s="22">
        <f>M5</f>
        <v>0</v>
      </c>
      <c r="N8" s="22">
        <f>N5</f>
        <v>21514.74704626267</v>
      </c>
      <c r="O8" s="22">
        <f>O5</f>
        <v>131.32000000000002</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0.21277852961991772</v>
      </c>
      <c r="C10" s="26">
        <f ca="1">'EF ele_warmte'!B22</f>
        <v>0.22444444444444447</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13364.529558578428</v>
      </c>
      <c r="C12" s="24">
        <f ca="1">C10*C8</f>
        <v>0</v>
      </c>
      <c r="D12" s="24">
        <f>D8*D10</f>
        <v>32817.824252432889</v>
      </c>
      <c r="E12" s="24">
        <f>E10*E8</f>
        <v>669.43702006086767</v>
      </c>
      <c r="F12" s="24">
        <f>F10*F8</f>
        <v>24005.52441337538</v>
      </c>
      <c r="G12" s="24"/>
      <c r="H12" s="24"/>
      <c r="I12" s="24"/>
      <c r="J12" s="24">
        <f>J10*J8</f>
        <v>577.49979046039607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15131</v>
      </c>
      <c r="C26" s="37"/>
      <c r="D26" s="228"/>
    </row>
    <row r="27" spans="1:5" s="16" customFormat="1">
      <c r="A27" s="230" t="s">
        <v>623</v>
      </c>
      <c r="B27" s="38">
        <f>SUM(HH_hh_gas_aantal,HH_rest_gas_aantal)</f>
        <v>9939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9442.0499999999993</v>
      </c>
      <c r="C31" s="35" t="s">
        <v>104</v>
      </c>
      <c r="D31" s="174"/>
    </row>
    <row r="32" spans="1:5">
      <c r="A32" s="171" t="s">
        <v>72</v>
      </c>
      <c r="B32" s="34">
        <f>IF((B21*($B$26-($B$27-0.05*$B$27)-$B$60))&lt;0,0,B21*($B$26-($B$27-0.05*$B$27)-$B$60))</f>
        <v>139.3408955561224</v>
      </c>
      <c r="C32" s="35" t="s">
        <v>104</v>
      </c>
      <c r="D32" s="174"/>
    </row>
    <row r="33" spans="1:6">
      <c r="A33" s="171" t="s">
        <v>73</v>
      </c>
      <c r="B33" s="34">
        <f>IF((B22*($B$26-($B$27-0.05*$B$27)-$B$60))&lt;0,0,B22*($B$26-($B$27-0.05*$B$27)-$B$60))</f>
        <v>937.92765159983776</v>
      </c>
      <c r="C33" s="35" t="s">
        <v>104</v>
      </c>
      <c r="D33" s="174"/>
    </row>
    <row r="34" spans="1:6">
      <c r="A34" s="171" t="s">
        <v>74</v>
      </c>
      <c r="B34" s="34">
        <f>IF((B24*($B$26-($B$27-0.05*$B$27)-$B$60))&lt;0,0,B24*($B$26-($B$27-0.05*$B$27)-$B$60))</f>
        <v>237.87822216927222</v>
      </c>
      <c r="C34" s="34">
        <f>B26*C24</f>
        <v>3094.3247199607322</v>
      </c>
      <c r="D34" s="233"/>
    </row>
    <row r="35" spans="1:6">
      <c r="A35" s="171" t="s">
        <v>76</v>
      </c>
      <c r="B35" s="34">
        <f>IF((B19*($B$26-($B$27-0.05*$B$27)-$B$60))&lt;0,0,B19*($B$26-($B$27-0.05*$B$27)-$B$60))</f>
        <v>88.435595132275651</v>
      </c>
      <c r="C35" s="34">
        <f>B35/2</f>
        <v>44.217797566137826</v>
      </c>
      <c r="D35" s="233"/>
    </row>
    <row r="36" spans="1:6">
      <c r="A36" s="171" t="s">
        <v>77</v>
      </c>
      <c r="B36" s="34">
        <f>IF((B18*($B$26-($B$27-0.05*$B$27)-$B$60))&lt;0,0,B18*($B$26-($B$27-0.05*$B$27)-$B$60))</f>
        <v>4266.3676355424914</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76931.232789329209</v>
      </c>
      <c r="C5" s="18">
        <f>IF(ISERROR('Eigen informatie GS &amp; warmtenet'!B58),0,'Eigen informatie GS &amp; warmtenet'!B58)</f>
        <v>0</v>
      </c>
      <c r="D5" s="31">
        <f>SUM(D6:D12)</f>
        <v>69923.97909224921</v>
      </c>
      <c r="E5" s="18">
        <f>SUM(E6:E12)</f>
        <v>509.97659649669299</v>
      </c>
      <c r="F5" s="18">
        <f>SUM(F6:F12)</f>
        <v>13478.220138660208</v>
      </c>
      <c r="G5" s="19"/>
      <c r="H5" s="18"/>
      <c r="I5" s="18"/>
      <c r="J5" s="18">
        <f>SUM(J6:J12)</f>
        <v>0</v>
      </c>
      <c r="K5" s="18"/>
      <c r="L5" s="18"/>
      <c r="M5" s="18"/>
      <c r="N5" s="18">
        <f>SUM(N6:N12)</f>
        <v>4633.4583354600672</v>
      </c>
      <c r="O5" s="18">
        <f>B38*B39*B40</f>
        <v>0</v>
      </c>
      <c r="P5" s="18">
        <f>B46*B47*B48/1000-B46*B47*B48/1000/B49</f>
        <v>38.133333333333333</v>
      </c>
      <c r="R5" s="33"/>
    </row>
    <row r="6" spans="1:18">
      <c r="A6" s="33" t="s">
        <v>53</v>
      </c>
      <c r="B6" s="38">
        <f>B26</f>
        <v>28873.868588481899</v>
      </c>
      <c r="C6" s="34"/>
      <c r="D6" s="38">
        <f>IF(ISERROR(TER_kantoor_gas_kWh/1000),0,TER_kantoor_gas_kWh/1000)*0.902</f>
        <v>23739.758483490128</v>
      </c>
      <c r="E6" s="34">
        <f>$C$26*'E Balans VL '!I12/100/3.6*1000000</f>
        <v>47.166332609622856</v>
      </c>
      <c r="F6" s="34">
        <f>$C$26*('E Balans VL '!L12+'E Balans VL '!N12)/100/3.6*1000000</f>
        <v>3392.1606836877395</v>
      </c>
      <c r="G6" s="35"/>
      <c r="H6" s="34"/>
      <c r="I6" s="34"/>
      <c r="J6" s="34">
        <f>$C$26*('E Balans VL '!D12+'E Balans VL '!E12)/100/3.6*1000000</f>
        <v>0</v>
      </c>
      <c r="K6" s="34"/>
      <c r="L6" s="34"/>
      <c r="M6" s="34"/>
      <c r="N6" s="34">
        <f>$C$26*'E Balans VL '!Y12/100/3.6*1000000</f>
        <v>210.23869326446976</v>
      </c>
      <c r="O6" s="34"/>
      <c r="P6" s="34"/>
      <c r="R6" s="33"/>
    </row>
    <row r="7" spans="1:18">
      <c r="A7" s="33" t="s">
        <v>52</v>
      </c>
      <c r="B7" s="38">
        <f t="shared" ref="B7:B12" si="0">B27</f>
        <v>2960.9194675235103</v>
      </c>
      <c r="C7" s="34"/>
      <c r="D7" s="38">
        <f>IF(ISERROR(TER_horeca_gas_kWh/1000),0,TER_horeca_gas_kWh/1000)*0.902</f>
        <v>4793.7416535420734</v>
      </c>
      <c r="E7" s="34">
        <f>$C$27*'E Balans VL '!I9/100/3.6*1000000</f>
        <v>153.18893186377272</v>
      </c>
      <c r="F7" s="34">
        <f>$C$27*('E Balans VL '!L9+'E Balans VL '!N9)/100/3.6*1000000</f>
        <v>673.6551074840977</v>
      </c>
      <c r="G7" s="35"/>
      <c r="H7" s="34"/>
      <c r="I7" s="34"/>
      <c r="J7" s="34">
        <f>$C$27*('E Balans VL '!D9+'E Balans VL '!E9)/100/3.6*1000000</f>
        <v>0</v>
      </c>
      <c r="K7" s="34"/>
      <c r="L7" s="34"/>
      <c r="M7" s="34"/>
      <c r="N7" s="34">
        <f>$C$27*'E Balans VL '!Y9/100/3.6*1000000</f>
        <v>0.31173306858039435</v>
      </c>
      <c r="O7" s="34"/>
      <c r="P7" s="34"/>
      <c r="R7" s="33"/>
    </row>
    <row r="8" spans="1:18">
      <c r="A8" s="6" t="s">
        <v>51</v>
      </c>
      <c r="B8" s="38">
        <f t="shared" si="0"/>
        <v>21127.557974378797</v>
      </c>
      <c r="C8" s="34"/>
      <c r="D8" s="38">
        <f>IF(ISERROR(TER_handel_gas_kWh/1000),0,TER_handel_gas_kWh/1000)*0.902</f>
        <v>20036.74285688181</v>
      </c>
      <c r="E8" s="34">
        <f>$C$28*'E Balans VL '!I13/100/3.6*1000000</f>
        <v>110.97769584809578</v>
      </c>
      <c r="F8" s="34">
        <f>$C$28*('E Balans VL '!L13+'E Balans VL '!N13)/100/3.6*1000000</f>
        <v>3983.2522481668193</v>
      </c>
      <c r="G8" s="35"/>
      <c r="H8" s="34"/>
      <c r="I8" s="34"/>
      <c r="J8" s="34">
        <f>$C$28*('E Balans VL '!D13+'E Balans VL '!E13)/100/3.6*1000000</f>
        <v>0</v>
      </c>
      <c r="K8" s="34"/>
      <c r="L8" s="34"/>
      <c r="M8" s="34"/>
      <c r="N8" s="34">
        <f>$C$28*'E Balans VL '!Y13/100/3.6*1000000</f>
        <v>104.74079999555883</v>
      </c>
      <c r="O8" s="34"/>
      <c r="P8" s="34"/>
      <c r="R8" s="33"/>
    </row>
    <row r="9" spans="1:18">
      <c r="A9" s="33" t="s">
        <v>50</v>
      </c>
      <c r="B9" s="38">
        <f t="shared" si="0"/>
        <v>550.096853361527</v>
      </c>
      <c r="C9" s="34"/>
      <c r="D9" s="38">
        <f>IF(ISERROR(TER_gezond_gas_kWh/1000),0,TER_gezond_gas_kWh/1000)*0.902</f>
        <v>1430.921811951916</v>
      </c>
      <c r="E9" s="34">
        <f>$C$29*'E Balans VL '!I10/100/3.6*1000000</f>
        <v>0.48834490114087625</v>
      </c>
      <c r="F9" s="34">
        <f>$C$29*('E Balans VL '!L10+'E Balans VL '!N10)/100/3.6*1000000</f>
        <v>170.97846653385568</v>
      </c>
      <c r="G9" s="35"/>
      <c r="H9" s="34"/>
      <c r="I9" s="34"/>
      <c r="J9" s="34">
        <f>$C$29*('E Balans VL '!D10+'E Balans VL '!E10)/100/3.6*1000000</f>
        <v>0</v>
      </c>
      <c r="K9" s="34"/>
      <c r="L9" s="34"/>
      <c r="M9" s="34"/>
      <c r="N9" s="34">
        <f>$C$29*'E Balans VL '!Y10/100/3.6*1000000</f>
        <v>4.246193158936638</v>
      </c>
      <c r="O9" s="34"/>
      <c r="P9" s="34"/>
      <c r="R9" s="33"/>
    </row>
    <row r="10" spans="1:18">
      <c r="A10" s="33" t="s">
        <v>49</v>
      </c>
      <c r="B10" s="38">
        <f t="shared" si="0"/>
        <v>7112.6043486754998</v>
      </c>
      <c r="C10" s="34"/>
      <c r="D10" s="38">
        <f>IF(ISERROR(TER_ander_gas_kWh/1000),0,TER_ander_gas_kWh/1000)*0.902</f>
        <v>3213.673571421823</v>
      </c>
      <c r="E10" s="34">
        <f>$C$30*'E Balans VL '!I14/100/3.6*1000000</f>
        <v>58.013494294749741</v>
      </c>
      <c r="F10" s="34">
        <f>$C$30*('E Balans VL '!L14+'E Balans VL '!N14)/100/3.6*1000000</f>
        <v>2073.1921141179296</v>
      </c>
      <c r="G10" s="35"/>
      <c r="H10" s="34"/>
      <c r="I10" s="34"/>
      <c r="J10" s="34">
        <f>$C$30*('E Balans VL '!D14+'E Balans VL '!E14)/100/3.6*1000000</f>
        <v>0</v>
      </c>
      <c r="K10" s="34"/>
      <c r="L10" s="34"/>
      <c r="M10" s="34"/>
      <c r="N10" s="34">
        <f>$C$30*'E Balans VL '!Y14/100/3.6*1000000</f>
        <v>3378.1700111522337</v>
      </c>
      <c r="O10" s="34"/>
      <c r="P10" s="34"/>
      <c r="R10" s="33"/>
    </row>
    <row r="11" spans="1:18">
      <c r="A11" s="33" t="s">
        <v>54</v>
      </c>
      <c r="B11" s="38">
        <f t="shared" si="0"/>
        <v>24.794666232076001</v>
      </c>
      <c r="C11" s="34"/>
      <c r="D11" s="38">
        <f>IF(ISERROR(TER_onderwijs_gas_kWh/1000),0,TER_onderwijs_gas_kWh/1000)*0.902</f>
        <v>73.142715214150144</v>
      </c>
      <c r="E11" s="34">
        <f>$C$31*'E Balans VL '!I11/100/3.6*1000000</f>
        <v>2.0685355677030608E-2</v>
      </c>
      <c r="F11" s="34">
        <f>$C$31*('E Balans VL '!L11+'E Balans VL '!N11)/100/3.6*1000000</f>
        <v>12.975082690343466</v>
      </c>
      <c r="G11" s="35"/>
      <c r="H11" s="34"/>
      <c r="I11" s="34"/>
      <c r="J11" s="34">
        <f>$C$31*('E Balans VL '!D11+'E Balans VL '!E11)/100/3.6*1000000</f>
        <v>0</v>
      </c>
      <c r="K11" s="34"/>
      <c r="L11" s="34"/>
      <c r="M11" s="34"/>
      <c r="N11" s="34">
        <f>$C$31*'E Balans VL '!Y11/100/3.6*1000000</f>
        <v>0.10916553437947388</v>
      </c>
      <c r="O11" s="34"/>
      <c r="P11" s="34"/>
      <c r="R11" s="33"/>
    </row>
    <row r="12" spans="1:18">
      <c r="A12" s="33" t="s">
        <v>249</v>
      </c>
      <c r="B12" s="38">
        <f t="shared" si="0"/>
        <v>16281.390890675901</v>
      </c>
      <c r="C12" s="34"/>
      <c r="D12" s="38">
        <f>IF(ISERROR(TER_rest_gas_kWh/1000),0,TER_rest_gas_kWh/1000)*0.902</f>
        <v>16635.997999747309</v>
      </c>
      <c r="E12" s="34">
        <f>$C$32*'E Balans VL '!I8/100/3.6*1000000</f>
        <v>140.12111162363402</v>
      </c>
      <c r="F12" s="34">
        <f>$C$32*('E Balans VL '!L8+'E Balans VL '!N8)/100/3.6*1000000</f>
        <v>3172.006435979421</v>
      </c>
      <c r="G12" s="35"/>
      <c r="H12" s="34"/>
      <c r="I12" s="34"/>
      <c r="J12" s="34">
        <f>$C$32*('E Balans VL '!D8+'E Balans VL '!E8)/100/3.6*1000000</f>
        <v>0</v>
      </c>
      <c r="K12" s="34"/>
      <c r="L12" s="34"/>
      <c r="M12" s="34"/>
      <c r="N12" s="34">
        <f>$C$32*'E Balans VL '!Y8/100/3.6*1000000</f>
        <v>935.64173928590856</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76931.232789329209</v>
      </c>
      <c r="C16" s="22">
        <f t="shared" ca="1" si="1"/>
        <v>0</v>
      </c>
      <c r="D16" s="22">
        <f t="shared" ca="1" si="1"/>
        <v>69923.97909224921</v>
      </c>
      <c r="E16" s="22">
        <f t="shared" si="1"/>
        <v>509.97659649669299</v>
      </c>
      <c r="F16" s="22">
        <f t="shared" ca="1" si="1"/>
        <v>13478.220138660208</v>
      </c>
      <c r="G16" s="22">
        <f t="shared" si="1"/>
        <v>0</v>
      </c>
      <c r="H16" s="22">
        <f t="shared" si="1"/>
        <v>0</v>
      </c>
      <c r="I16" s="22">
        <f t="shared" si="1"/>
        <v>0</v>
      </c>
      <c r="J16" s="22">
        <f t="shared" si="1"/>
        <v>0</v>
      </c>
      <c r="K16" s="22">
        <f t="shared" si="1"/>
        <v>0</v>
      </c>
      <c r="L16" s="22">
        <f t="shared" ca="1" si="1"/>
        <v>0</v>
      </c>
      <c r="M16" s="22">
        <f t="shared" si="1"/>
        <v>0</v>
      </c>
      <c r="N16" s="22">
        <f t="shared" ca="1" si="1"/>
        <v>4633.4583354600672</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0.21277852961991772</v>
      </c>
      <c r="C18" s="26">
        <f ca="1">'EF ele_warmte'!B22</f>
        <v>0.22444444444444447</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16369.31459476107</v>
      </c>
      <c r="C20" s="24">
        <f t="shared" ref="C20:P20" ca="1" si="2">C16*C18</f>
        <v>0</v>
      </c>
      <c r="D20" s="24">
        <f t="shared" ca="1" si="2"/>
        <v>14124.643776634341</v>
      </c>
      <c r="E20" s="24">
        <f t="shared" si="2"/>
        <v>115.76468740474931</v>
      </c>
      <c r="F20" s="24">
        <f t="shared" ca="1" si="2"/>
        <v>3598.6847770222757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28873.868588481899</v>
      </c>
      <c r="C26" s="40">
        <f>IF(ISERROR(B26*3.6/1000000/'E Balans VL '!Z12*100),0,B26*3.6/1000000/'E Balans VL '!Z12*100)</f>
        <v>0.61198327184231605</v>
      </c>
      <c r="D26" s="236" t="s">
        <v>660</v>
      </c>
      <c r="F26" s="6"/>
    </row>
    <row r="27" spans="1:18">
      <c r="A27" s="231" t="s">
        <v>52</v>
      </c>
      <c r="B27" s="34">
        <f>IF(ISERROR(TER_horeca_ele_kWh/1000),0,TER_horeca_ele_kWh/1000)</f>
        <v>2960.9194675235103</v>
      </c>
      <c r="C27" s="40">
        <f>IF(ISERROR(B27*3.6/1000000/'E Balans VL '!Z9*100),0,B27*3.6/1000000/'E Balans VL '!Z9*100)</f>
        <v>0.23234762875557347</v>
      </c>
      <c r="D27" s="236" t="s">
        <v>660</v>
      </c>
      <c r="F27" s="6"/>
    </row>
    <row r="28" spans="1:18">
      <c r="A28" s="171" t="s">
        <v>51</v>
      </c>
      <c r="B28" s="34">
        <f>IF(ISERROR(TER_handel_ele_kWh/1000),0,TER_handel_ele_kWh/1000)</f>
        <v>21127.557974378797</v>
      </c>
      <c r="C28" s="40">
        <f>IF(ISERROR(B28*3.6/1000000/'E Balans VL '!Z13*100),0,B28*3.6/1000000/'E Balans VL '!Z13*100)</f>
        <v>0.59001758340993193</v>
      </c>
      <c r="D28" s="236" t="s">
        <v>660</v>
      </c>
      <c r="F28" s="6"/>
    </row>
    <row r="29" spans="1:18">
      <c r="A29" s="231" t="s">
        <v>50</v>
      </c>
      <c r="B29" s="34">
        <f>IF(ISERROR(TER_gezond_ele_kWh/1000),0,TER_gezond_ele_kWh/1000)</f>
        <v>550.096853361527</v>
      </c>
      <c r="C29" s="40">
        <f>IF(ISERROR(B29*3.6/1000000/'E Balans VL '!Z10*100),0,B29*3.6/1000000/'E Balans VL '!Z10*100)</f>
        <v>6.3040729480110747E-2</v>
      </c>
      <c r="D29" s="236" t="s">
        <v>660</v>
      </c>
      <c r="F29" s="6"/>
    </row>
    <row r="30" spans="1:18">
      <c r="A30" s="231" t="s">
        <v>49</v>
      </c>
      <c r="B30" s="34">
        <f>IF(ISERROR(TER_ander_ele_kWh/1000),0,TER_ander_ele_kWh/1000)</f>
        <v>7112.6043486754998</v>
      </c>
      <c r="C30" s="40">
        <f>IF(ISERROR(B30*3.6/1000000/'E Balans VL '!Z14*100),0,B30*3.6/1000000/'E Balans VL '!Z14*100)</f>
        <v>0.5303658703036076</v>
      </c>
      <c r="D30" s="236" t="s">
        <v>660</v>
      </c>
      <c r="F30" s="6"/>
    </row>
    <row r="31" spans="1:18">
      <c r="A31" s="231" t="s">
        <v>54</v>
      </c>
      <c r="B31" s="34">
        <f>IF(ISERROR(TER_onderwijs_ele_kWh/1000),0,TER_onderwijs_ele_kWh/1000)</f>
        <v>24.794666232076001</v>
      </c>
      <c r="C31" s="40">
        <f>IF(ISERROR(B31*3.6/1000000/'E Balans VL '!Z11*100),0,B31*3.6/1000000/'E Balans VL '!Z11*100)</f>
        <v>7.0863702940262181E-3</v>
      </c>
      <c r="D31" s="236" t="s">
        <v>660</v>
      </c>
    </row>
    <row r="32" spans="1:18">
      <c r="A32" s="231" t="s">
        <v>249</v>
      </c>
      <c r="B32" s="34">
        <f>IF(ISERROR(TER_rest_ele_kWh/1000),0,TER_rest_ele_kWh/1000)</f>
        <v>16281.390890675901</v>
      </c>
      <c r="C32" s="40">
        <f>IF(ISERROR(B32*3.6/1000000/'E Balans VL '!Z8*100),0,B32*3.6/1000000/'E Balans VL '!Z8*100)</f>
        <v>0.13414853470053895</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26236.331746171676</v>
      </c>
      <c r="C5" s="18">
        <f>IF(ISERROR('Eigen informatie GS &amp; warmtenet'!B59),0,'Eigen informatie GS &amp; warmtenet'!B59)</f>
        <v>0</v>
      </c>
      <c r="D5" s="31">
        <f>SUM(D6:D15)</f>
        <v>44868.063693466822</v>
      </c>
      <c r="E5" s="18">
        <f>SUM(E6:E15)</f>
        <v>239.63844605214666</v>
      </c>
      <c r="F5" s="18">
        <f>SUM(F6:F15)</f>
        <v>5516.0137803207135</v>
      </c>
      <c r="G5" s="19"/>
      <c r="H5" s="18"/>
      <c r="I5" s="18"/>
      <c r="J5" s="18">
        <f>SUM(J6:J15)</f>
        <v>124.72356050981172</v>
      </c>
      <c r="K5" s="18"/>
      <c r="L5" s="18"/>
      <c r="M5" s="18"/>
      <c r="N5" s="18">
        <f>SUM(N6:N15)</f>
        <v>893.84209354069219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175.42891414092801</v>
      </c>
      <c r="C8" s="34"/>
      <c r="D8" s="38">
        <f>IF( ISERROR(IND_metaal_Gas_kWH/1000),0,IND_metaal_Gas_kWH/1000)*0.902</f>
        <v>0</v>
      </c>
      <c r="E8" s="34">
        <f>C30*'E Balans VL '!I18/100/3.6*1000000</f>
        <v>1.5975995066237783</v>
      </c>
      <c r="F8" s="34">
        <f>C30*'E Balans VL '!L18/100/3.6*1000000+C30*'E Balans VL '!N18/100/3.6*1000000</f>
        <v>23.137741545132648</v>
      </c>
      <c r="G8" s="35"/>
      <c r="H8" s="34"/>
      <c r="I8" s="34"/>
      <c r="J8" s="41">
        <f>C30*'E Balans VL '!D18/100/3.6*1000000+C30*'E Balans VL '!E18/100/3.6*1000000</f>
        <v>2.876779478299849</v>
      </c>
      <c r="K8" s="34"/>
      <c r="L8" s="34"/>
      <c r="M8" s="34"/>
      <c r="N8" s="34">
        <f>C30*'E Balans VL '!Y18/100/3.6*1000000</f>
        <v>0.60287948894499277</v>
      </c>
      <c r="O8" s="34"/>
      <c r="P8" s="34"/>
      <c r="R8" s="33"/>
    </row>
    <row r="9" spans="1:18">
      <c r="A9" s="6" t="s">
        <v>32</v>
      </c>
      <c r="B9" s="38">
        <f t="shared" si="0"/>
        <v>741.515165789403</v>
      </c>
      <c r="C9" s="34"/>
      <c r="D9" s="38">
        <f>IF( ISERROR(IND_andere_gas_kWh/1000),0,IND_andere_gas_kWh/1000)*0.902</f>
        <v>529.08032842190062</v>
      </c>
      <c r="E9" s="34">
        <f>C31*'E Balans VL '!I19/100/3.6*1000000</f>
        <v>4.2860684685388293</v>
      </c>
      <c r="F9" s="34">
        <f>C31*'E Balans VL '!L19/100/3.6*1000000+C31*'E Balans VL '!N19/100/3.6*1000000</f>
        <v>589.91099468332663</v>
      </c>
      <c r="G9" s="35"/>
      <c r="H9" s="34"/>
      <c r="I9" s="34"/>
      <c r="J9" s="41">
        <f>C31*'E Balans VL '!D19/100/3.6*1000000+C31*'E Balans VL '!E19/100/3.6*1000000</f>
        <v>7.013909816650539E-2</v>
      </c>
      <c r="K9" s="34"/>
      <c r="L9" s="34"/>
      <c r="M9" s="34"/>
      <c r="N9" s="34">
        <f>C31*'E Balans VL '!Y19/100/3.6*1000000</f>
        <v>56.180995385382069</v>
      </c>
      <c r="O9" s="34"/>
      <c r="P9" s="34"/>
      <c r="R9" s="33"/>
    </row>
    <row r="10" spans="1:18">
      <c r="A10" s="6" t="s">
        <v>40</v>
      </c>
      <c r="B10" s="38">
        <f t="shared" si="0"/>
        <v>885.03648676029798</v>
      </c>
      <c r="C10" s="34"/>
      <c r="D10" s="38">
        <f>IF( ISERROR(IND_voed_gas_kWh/1000),0,IND_voed_gas_kWh/1000)*0.902</f>
        <v>571.311306576378</v>
      </c>
      <c r="E10" s="34">
        <f>C32*'E Balans VL '!I20/100/3.6*1000000</f>
        <v>8.7022240542221336</v>
      </c>
      <c r="F10" s="34">
        <f>C32*'E Balans VL '!L20/100/3.6*1000000+C32*'E Balans VL '!N20/100/3.6*1000000</f>
        <v>98.294853921266366</v>
      </c>
      <c r="G10" s="35"/>
      <c r="H10" s="34"/>
      <c r="I10" s="34"/>
      <c r="J10" s="41">
        <f>C32*'E Balans VL '!D20/100/3.6*1000000+C32*'E Balans VL '!E20/100/3.6*1000000</f>
        <v>3.4883305767111515E-3</v>
      </c>
      <c r="K10" s="34"/>
      <c r="L10" s="34"/>
      <c r="M10" s="34"/>
      <c r="N10" s="34">
        <f>C32*'E Balans VL '!Y20/100/3.6*1000000</f>
        <v>13.105308543662684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219.057212681246</v>
      </c>
      <c r="C13" s="34"/>
      <c r="D13" s="38">
        <f>IF( ISERROR(IND_papier_gas_kWh/1000),0,IND_papier_gas_kWh/1000)*0.902</f>
        <v>0</v>
      </c>
      <c r="E13" s="34">
        <f>C35*'E Balans VL '!I23/100/3.6*1000000</f>
        <v>7.4614062763471871</v>
      </c>
      <c r="F13" s="34">
        <f>C35*'E Balans VL '!L23/100/3.6*1000000+C35*'E Balans VL '!N23/100/3.6*1000000</f>
        <v>36.183110372826647</v>
      </c>
      <c r="G13" s="35"/>
      <c r="H13" s="34"/>
      <c r="I13" s="34"/>
      <c r="J13" s="41">
        <f>C35*'E Balans VL '!D23/100/3.6*1000000+C35*'E Balans VL '!E23/100/3.6*1000000</f>
        <v>0</v>
      </c>
      <c r="K13" s="34"/>
      <c r="L13" s="34"/>
      <c r="M13" s="34"/>
      <c r="N13" s="34">
        <f>C35*'E Balans VL '!Y23/100/3.6*1000000</f>
        <v>80.607179607658296</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24215.2939667998</v>
      </c>
      <c r="C15" s="34"/>
      <c r="D15" s="38">
        <f>IF( ISERROR(IND_rest_gas_kWh/1000),0,IND_rest_gas_kWh/1000)*0.902</f>
        <v>43767.672058468546</v>
      </c>
      <c r="E15" s="34">
        <f>C37*'E Balans VL '!I15/100/3.6*1000000</f>
        <v>217.59114774641472</v>
      </c>
      <c r="F15" s="34">
        <f>C37*'E Balans VL '!L15/100/3.6*1000000+C37*'E Balans VL '!N15/100/3.6*1000000</f>
        <v>4768.4870797981612</v>
      </c>
      <c r="G15" s="35"/>
      <c r="H15" s="34"/>
      <c r="I15" s="34"/>
      <c r="J15" s="41">
        <f>C37*'E Balans VL '!D15/100/3.6*1000000+C37*'E Balans VL '!E15/100/3.6*1000000</f>
        <v>121.77315360276866</v>
      </c>
      <c r="K15" s="34"/>
      <c r="L15" s="34"/>
      <c r="M15" s="34"/>
      <c r="N15" s="34">
        <f>C37*'E Balans VL '!Y15/100/3.6*1000000</f>
        <v>743.34573051504412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26236.331746171676</v>
      </c>
      <c r="C18" s="22">
        <f>C5+C16</f>
        <v>0</v>
      </c>
      <c r="D18" s="22">
        <f>MAX((D5+D16),0)</f>
        <v>44868.063693466822</v>
      </c>
      <c r="E18" s="22">
        <f>MAX((E5+E16),0)</f>
        <v>239.63844605214666</v>
      </c>
      <c r="F18" s="22">
        <f>MAX((F5+F16),0)</f>
        <v>5516.0137803207135</v>
      </c>
      <c r="G18" s="22"/>
      <c r="H18" s="22"/>
      <c r="I18" s="22"/>
      <c r="J18" s="22">
        <f>MAX((J5+J16),0)</f>
        <v>124.72356050981172</v>
      </c>
      <c r="K18" s="22"/>
      <c r="L18" s="22">
        <f>MAX((L5+L16),0)</f>
        <v>0</v>
      </c>
      <c r="M18" s="22"/>
      <c r="N18" s="22">
        <f>MAX((N5+N16),0)</f>
        <v>893.84209354069219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0.21277852961991772</v>
      </c>
      <c r="C20" s="26">
        <f ca="1">'EF ele_warmte'!B22</f>
        <v>0.22444444444444447</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5582.5280915707772</v>
      </c>
      <c r="C22" s="24">
        <f ca="1">C18*C20</f>
        <v>0</v>
      </c>
      <c r="D22" s="24">
        <f>D18*D20</f>
        <v>9063.3488660802977</v>
      </c>
      <c r="E22" s="24">
        <f>E18*E20</f>
        <v>54.397927253837295</v>
      </c>
      <c r="F22" s="24">
        <f>F18*F20</f>
        <v>1472.7756793456306</v>
      </c>
      <c r="G22" s="24"/>
      <c r="H22" s="24"/>
      <c r="I22" s="24"/>
      <c r="J22" s="24">
        <f>J18*J20</f>
        <v>44.152140420473344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175.42891414092801</v>
      </c>
      <c r="C30" s="40">
        <f>IF(ISERROR(B30*3.6/1000000/'E Balans VL '!Z18*100),0,B30*3.6/1000000/'E Balans VL '!Z18*100)</f>
        <v>9.7614459888585303E-3</v>
      </c>
      <c r="D30" s="236" t="s">
        <v>660</v>
      </c>
    </row>
    <row r="31" spans="1:18">
      <c r="A31" s="6" t="s">
        <v>32</v>
      </c>
      <c r="B31" s="38">
        <f>IF( ISERROR(IND_ander_ele_kWh/1000),0,IND_ander_ele_kWh/1000)</f>
        <v>741.515165789403</v>
      </c>
      <c r="C31" s="40">
        <f>IF(ISERROR(B31*3.6/1000000/'E Balans VL '!Z19*100),0,B31*3.6/1000000/'E Balans VL '!Z19*100)</f>
        <v>3.4471092614255211E-2</v>
      </c>
      <c r="D31" s="236" t="s">
        <v>660</v>
      </c>
    </row>
    <row r="32" spans="1:18">
      <c r="A32" s="171" t="s">
        <v>40</v>
      </c>
      <c r="B32" s="38">
        <f>IF( ISERROR(IND_voed_ele_kWh/1000),0,IND_voed_ele_kWh/1000)</f>
        <v>885.03648676029798</v>
      </c>
      <c r="C32" s="40">
        <f>IF(ISERROR(B32*3.6/1000000/'E Balans VL '!Z20*100),0,B32*3.6/1000000/'E Balans VL '!Z20*100)</f>
        <v>3.1284252400094061E-2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219.057212681246</v>
      </c>
      <c r="C35" s="40">
        <f>IF(ISERROR(B35*3.6/1000000/'E Balans VL '!Z22*100),0,B35*3.6/1000000/'E Balans VL '!Z22*100)</f>
        <v>4.4024322544224136E-2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24215.2939667998</v>
      </c>
      <c r="C37" s="40">
        <f>IF(ISERROR(B37*3.6/1000000/'E Balans VL '!Z15*100),0,B37*3.6/1000000/'E Balans VL '!Z15*100)</f>
        <v>0.18286124084769831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523.65682833972789</v>
      </c>
      <c r="C5" s="18">
        <f>'Eigen informatie GS &amp; warmtenet'!B60</f>
        <v>0</v>
      </c>
      <c r="D5" s="31">
        <f>IF(ISERROR(SUM(LB_lb_gas_kWh,LB_rest_gas_kWh)/1000),0,SUM(LB_lb_gas_kWh,LB_rest_gas_kWh)/1000)*0.902</f>
        <v>89.580621101413954</v>
      </c>
      <c r="E5" s="18">
        <f>B17*'E Balans VL '!I25/3.6*1000000/100</f>
        <v>5.1712064897995837</v>
      </c>
      <c r="F5" s="18">
        <f>B17*('E Balans VL '!L25/3.6*1000000+'E Balans VL '!N25/3.6*1000000)/100</f>
        <v>1747.0577378745947</v>
      </c>
      <c r="G5" s="19"/>
      <c r="H5" s="18"/>
      <c r="I5" s="18"/>
      <c r="J5" s="18">
        <f>('E Balans VL '!D25+'E Balans VL '!E25)/3.6*1000000*landbouw!B17/100</f>
        <v>52.245057355858769</v>
      </c>
      <c r="K5" s="18"/>
      <c r="L5" s="18">
        <f>L6*(-1)</f>
        <v>0</v>
      </c>
      <c r="M5" s="18"/>
      <c r="N5" s="18">
        <f>N6*(-1)</f>
        <v>0</v>
      </c>
      <c r="O5" s="18"/>
      <c r="P5" s="18"/>
      <c r="R5" s="33"/>
    </row>
    <row r="6" spans="1:18">
      <c r="A6" s="17" t="s">
        <v>488</v>
      </c>
      <c r="B6" s="18" t="s">
        <v>204</v>
      </c>
      <c r="C6" s="18">
        <f>'lokale energieproductie'!O39+'lokale energieproductie'!O32</f>
        <v>22.5</v>
      </c>
      <c r="D6" s="305">
        <f>('lokale energieproductie'!P32+'lokale energieproductie'!P39)*(-1)</f>
        <v>-30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523.65682833972789</v>
      </c>
      <c r="C8" s="22">
        <f>C5+C6</f>
        <v>22.5</v>
      </c>
      <c r="D8" s="22">
        <f>MAX((D5+D6),0)</f>
        <v>59.580621101413954</v>
      </c>
      <c r="E8" s="22">
        <f>MAX((E5+E6),0)</f>
        <v>5.1712064897995837</v>
      </c>
      <c r="F8" s="22">
        <f>MAX((F5+F6),0)</f>
        <v>1747.0577378745947</v>
      </c>
      <c r="G8" s="22"/>
      <c r="H8" s="22"/>
      <c r="I8" s="22"/>
      <c r="J8" s="22">
        <f>MAX((J5+J6),0)</f>
        <v>52.245057355858769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0.21277852961991772</v>
      </c>
      <c r="C10" s="32">
        <f ca="1">'EF ele_warmte'!B22</f>
        <v>0.22444444444444447</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111.42292995955697</v>
      </c>
      <c r="C12" s="24">
        <f ca="1">C8*C10</f>
        <v>5.0500000000000007</v>
      </c>
      <c r="D12" s="24">
        <f>D8*D10</f>
        <v>12.03528546248562</v>
      </c>
      <c r="E12" s="24">
        <f>E8*E10</f>
        <v>1.1738638731845055</v>
      </c>
      <c r="F12" s="24">
        <f>F8*F10</f>
        <v>466.46441601251684</v>
      </c>
      <c r="G12" s="24"/>
      <c r="H12" s="24"/>
      <c r="I12" s="24"/>
      <c r="J12" s="24">
        <f>J8*J10</f>
        <v>18.494750303974005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7.0894766788574495E-2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45.366949276848509</v>
      </c>
      <c r="C26" s="246">
        <f>B26*'GWP N2O_CH4'!B5</f>
        <v>952.70593481381866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6.4215239189531479</v>
      </c>
      <c r="C27" s="246">
        <f>B27*'GWP N2O_CH4'!B5</f>
        <v>134.85200229801612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1.0141315942279736</v>
      </c>
      <c r="C28" s="246">
        <f>B28*'GWP N2O_CH4'!B4</f>
        <v>314.38079421067181</v>
      </c>
      <c r="D28" s="51"/>
    </row>
    <row r="29" spans="1:4">
      <c r="A29" s="42" t="s">
        <v>266</v>
      </c>
      <c r="B29" s="246">
        <f>B34*'ha_N2O bodem landbouw'!B4</f>
        <v>8.124132430148908</v>
      </c>
      <c r="C29" s="246">
        <f>B29*'GWP N2O_CH4'!B4</f>
        <v>2518.4810533461614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2.193260006283474E-3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5.8575963663896464E-5</v>
      </c>
      <c r="C5" s="433" t="s">
        <v>204</v>
      </c>
      <c r="D5" s="418">
        <f>SUM(D6:D11)</f>
        <v>7.0254601100013523E-5</v>
      </c>
      <c r="E5" s="418">
        <f>SUM(E6:E11)</f>
        <v>5.1358010255948706E-3</v>
      </c>
      <c r="F5" s="431" t="s">
        <v>204</v>
      </c>
      <c r="G5" s="418">
        <f>SUM(G6:G11)</f>
        <v>1.1085625415985092</v>
      </c>
      <c r="H5" s="418">
        <f>SUM(H6:H11)</f>
        <v>0.18502724991456609</v>
      </c>
      <c r="I5" s="433" t="s">
        <v>204</v>
      </c>
      <c r="J5" s="433" t="s">
        <v>204</v>
      </c>
      <c r="K5" s="433" t="s">
        <v>204</v>
      </c>
      <c r="L5" s="433" t="s">
        <v>204</v>
      </c>
      <c r="M5" s="418">
        <f>SUM(M6:M11)</f>
        <v>5.7801470982365905E-2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9.7043483236081642E-6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1.1255278629636619E-5</v>
      </c>
      <c r="E6" s="421">
        <f>vkm_GW_PW*SUMIFS(TableVerdeelsleutelVkm[LPG],TableVerdeelsleutelVkm[Voertuigtype],"Lichte voertuigen")*SUMIFS(TableECFTransport[EnergieConsumptieFactor (PJ per km)],TableECFTransport[Index],CONCATENATE($A6,"_LPG_LPG"))</f>
        <v>7.2851282174059447E-4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0.11486588781819039</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2.9045367032836077E-2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6.4414773873294959E-3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1.2375775311917705E-7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2.0472122160196282E-2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6.3801302375668724E-7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9.1094671408484859E-4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9.0291265720782048E-6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1.7067473494383134E-5</v>
      </c>
      <c r="E8" s="421">
        <f>vkm_NGW_PW*SUMIFS(TableVerdeelsleutelVkm[LPG],TableVerdeelsleutelVkm[Voertuigtype],"Lichte voertuigen")*SUMIFS(TableECFTransport[EnergieConsumptieFactor (PJ per km)],TableECFTransport[Index],CONCATENATE($A8,"_LPG_LPG"))</f>
        <v>1.0440371419752771E-3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0.15565043721157759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4.1920266998673628E-2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8.8459584033686624E-3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1.2434040775309827E-7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2.6375928719626608E-2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7.7372363160996395E-7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1.1736458064350048E-3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3.7648657543823816E-5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4.193184897599377E-5</v>
      </c>
      <c r="E10" s="421">
        <f>vkm_SW_PW*SUMIFS(TableVerdeelsleutelVkm[LPG],TableVerdeelsleutelVkm[Voertuigtype],"Lichte voertuigen")*SUMIFS(TableECFTransport[EnergieConsumptieFactor (PJ per km)],TableECFTransport[Index],CONCATENATE($A10,"_LPG_LPG"))</f>
        <v>3.3632510618789991E-3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0.48970209754569194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0.1140498796036636</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2.7013748828043162E-2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1.9457330635140004E-6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0.30149606814322627</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1.0324542737410752E-5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1.3415693843104729E-2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16.271101017749018</v>
      </c>
      <c r="C14" s="22"/>
      <c r="D14" s="22">
        <f t="shared" ref="D14:M14" si="0">((D5)*10^9/3600)+D12</f>
        <v>19.515166972225977</v>
      </c>
      <c r="E14" s="22">
        <f t="shared" si="0"/>
        <v>1426.6113959985751</v>
      </c>
      <c r="F14" s="22"/>
      <c r="G14" s="22">
        <f t="shared" si="0"/>
        <v>307934.03933291923</v>
      </c>
      <c r="H14" s="22">
        <f t="shared" si="0"/>
        <v>51396.458309601694</v>
      </c>
      <c r="I14" s="22"/>
      <c r="J14" s="22"/>
      <c r="K14" s="22"/>
      <c r="L14" s="22"/>
      <c r="M14" s="22">
        <f t="shared" si="0"/>
        <v>16055.964161768306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0.21277852961991772</v>
      </c>
      <c r="C16" s="57">
        <f ca="1">'EF ele_warmte'!B22</f>
        <v>0.22444444444444447</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3.462140949853783</v>
      </c>
      <c r="C18" s="24"/>
      <c r="D18" s="24">
        <f t="shared" ref="D18:M18" si="1">D14*D16</f>
        <v>3.9420637283896474</v>
      </c>
      <c r="E18" s="24">
        <f t="shared" si="1"/>
        <v>323.84078689167654</v>
      </c>
      <c r="F18" s="24"/>
      <c r="G18" s="24">
        <f t="shared" si="1"/>
        <v>82218.388501889436</v>
      </c>
      <c r="H18" s="24">
        <f t="shared" si="1"/>
        <v>12797.718119090821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8.7098357904016982E-5</v>
      </c>
      <c r="C50" s="316">
        <f t="shared" ref="C50:P50" si="2">SUM(C51:C52)</f>
        <v>0</v>
      </c>
      <c r="D50" s="316">
        <f t="shared" si="2"/>
        <v>0</v>
      </c>
      <c r="E50" s="316">
        <f t="shared" si="2"/>
        <v>0</v>
      </c>
      <c r="F50" s="316">
        <f t="shared" si="2"/>
        <v>0</v>
      </c>
      <c r="G50" s="316">
        <f t="shared" si="2"/>
        <v>1.7371939685227458E-2</v>
      </c>
      <c r="H50" s="316">
        <f t="shared" si="2"/>
        <v>0</v>
      </c>
      <c r="I50" s="316">
        <f t="shared" si="2"/>
        <v>0</v>
      </c>
      <c r="J50" s="316">
        <f t="shared" si="2"/>
        <v>0</v>
      </c>
      <c r="K50" s="316">
        <f t="shared" si="2"/>
        <v>0</v>
      </c>
      <c r="L50" s="316">
        <f t="shared" si="2"/>
        <v>0</v>
      </c>
      <c r="M50" s="316">
        <f t="shared" si="2"/>
        <v>7.6782123222558947E-4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8.7098357904016982E-5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1.7371939685227458E-2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7.6782123222558947E-4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24.193988306671386</v>
      </c>
      <c r="C54" s="22">
        <f t="shared" ref="C54:P54" si="3">(C50)*10^9/3600</f>
        <v>0</v>
      </c>
      <c r="D54" s="22">
        <f t="shared" si="3"/>
        <v>0</v>
      </c>
      <c r="E54" s="22">
        <f t="shared" si="3"/>
        <v>0</v>
      </c>
      <c r="F54" s="22">
        <f t="shared" si="3"/>
        <v>0</v>
      </c>
      <c r="G54" s="22">
        <f t="shared" si="3"/>
        <v>4825.5388014520713</v>
      </c>
      <c r="H54" s="22">
        <f t="shared" si="3"/>
        <v>0</v>
      </c>
      <c r="I54" s="22">
        <f t="shared" si="3"/>
        <v>0</v>
      </c>
      <c r="J54" s="22">
        <f t="shared" si="3"/>
        <v>0</v>
      </c>
      <c r="K54" s="22">
        <f t="shared" si="3"/>
        <v>0</v>
      </c>
      <c r="L54" s="22">
        <f t="shared" si="3"/>
        <v>0</v>
      </c>
      <c r="M54" s="22">
        <f t="shared" si="3"/>
        <v>213.28367561821929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0.21277852961991772</v>
      </c>
      <c r="C56" s="57">
        <f ca="1">'EF ele_warmte'!B22</f>
        <v>0.22444444444444447</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5.1479612575350204</v>
      </c>
      <c r="C58" s="24">
        <f t="shared" ref="C58:P58" ca="1" si="4">C54*C56</f>
        <v>0</v>
      </c>
      <c r="D58" s="24">
        <f t="shared" si="4"/>
        <v>0</v>
      </c>
      <c r="E58" s="24">
        <f t="shared" si="4"/>
        <v>0</v>
      </c>
      <c r="F58" s="24">
        <f t="shared" si="4"/>
        <v>0</v>
      </c>
      <c r="G58" s="24">
        <f t="shared" si="4"/>
        <v>1288.4188599877032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6408.4197699132883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4.5</v>
      </c>
      <c r="C8" s="544">
        <f>B48</f>
        <v>5</v>
      </c>
      <c r="D8" s="931"/>
      <c r="E8" s="931">
        <f>E48</f>
        <v>0</v>
      </c>
      <c r="F8" s="932"/>
      <c r="G8" s="545"/>
      <c r="H8" s="931">
        <f>I48</f>
        <v>0</v>
      </c>
      <c r="I8" s="931">
        <f>G48+F48</f>
        <v>0</v>
      </c>
      <c r="J8" s="931">
        <f>H48+D48+C48</f>
        <v>0</v>
      </c>
      <c r="K8" s="931"/>
      <c r="L8" s="931"/>
      <c r="M8" s="931"/>
      <c r="N8" s="546"/>
      <c r="O8" s="547">
        <f>C8*$C$12+D8*$D$12+E8*$E$12+F8*$F$12+G8*$G$12+H8*$H$12+I8*$I$12+J8*$J$12</f>
        <v>1.01</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6412.9197699132883</v>
      </c>
      <c r="C10" s="556">
        <f t="shared" ref="C10:L10" si="0">SUM(C8:C9)</f>
        <v>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1.01</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22.5</v>
      </c>
      <c r="C17" s="568">
        <f>B49</f>
        <v>25</v>
      </c>
      <c r="D17" s="569"/>
      <c r="E17" s="569">
        <f>E49</f>
        <v>0</v>
      </c>
      <c r="F17" s="570"/>
      <c r="G17" s="571"/>
      <c r="H17" s="568">
        <f>I49</f>
        <v>0</v>
      </c>
      <c r="I17" s="569">
        <f>G49+F49</f>
        <v>0</v>
      </c>
      <c r="J17" s="569">
        <f>H49+D49+C49</f>
        <v>0</v>
      </c>
      <c r="K17" s="569"/>
      <c r="L17" s="569"/>
      <c r="M17" s="569"/>
      <c r="N17" s="938"/>
      <c r="O17" s="572">
        <f>C17*$C$22+E17*$E$22+H17*$H$22+I17*$I$22+J17*$J$22+D17*$D$22+F17*$F$22+G17*$G$22+K17*$K$22+L17*$L$22</f>
        <v>5.0500000000000007</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22.5</v>
      </c>
      <c r="C20" s="555">
        <f>SUM(C17:C19)</f>
        <v>25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5.0500000000000007</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23025</v>
      </c>
      <c r="C28" s="740">
        <v>1850</v>
      </c>
      <c r="D28" s="628"/>
      <c r="E28" s="627"/>
      <c r="F28" s="627"/>
      <c r="G28" s="627" t="s">
        <v>942</v>
      </c>
      <c r="H28" s="627" t="s">
        <v>942</v>
      </c>
      <c r="I28" s="627"/>
      <c r="J28" s="739"/>
      <c r="K28" s="739"/>
      <c r="L28" s="627" t="s">
        <v>943</v>
      </c>
      <c r="M28" s="627">
        <v>1</v>
      </c>
      <c r="N28" s="627">
        <v>4.5</v>
      </c>
      <c r="O28" s="627">
        <v>22.5</v>
      </c>
      <c r="P28" s="627">
        <v>30</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4.5</v>
      </c>
      <c r="O29" s="585">
        <f>SUM(O28:O28)</f>
        <v>22.5</v>
      </c>
      <c r="P29" s="585">
        <f>SUM(P28:P28)</f>
        <v>30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4.5</v>
      </c>
      <c r="O32" s="590">
        <f>SUMIF($AA$28:$AA$28,"landbouw",O28:O28)</f>
        <v>22.5</v>
      </c>
      <c r="P32" s="590">
        <f>SUMIF($AA$28:$AA$28,"landbouw",P28:P28)</f>
        <v>30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0.83333333333333337</v>
      </c>
      <c r="C45" s="610">
        <f>IF(ISERROR(N29/(O29+N29)),0,N29/(N29+O29))</f>
        <v>0.16666666666666666</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5</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25</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80341.336789329216</v>
      </c>
      <c r="D10" s="639">
        <f ca="1">tertiair!C16</f>
        <v>0</v>
      </c>
      <c r="E10" s="639">
        <f ca="1">tertiair!D16</f>
        <v>69923.97909224921</v>
      </c>
      <c r="F10" s="639">
        <f>tertiair!E16</f>
        <v>509.97659649669299</v>
      </c>
      <c r="G10" s="639">
        <f ca="1">tertiair!F16</f>
        <v>13478.220138660208</v>
      </c>
      <c r="H10" s="639">
        <f>tertiair!G16</f>
        <v>0</v>
      </c>
      <c r="I10" s="639">
        <f>tertiair!H16</f>
        <v>0</v>
      </c>
      <c r="J10" s="639">
        <f>tertiair!I16</f>
        <v>0</v>
      </c>
      <c r="K10" s="639">
        <f>tertiair!J16</f>
        <v>0</v>
      </c>
      <c r="L10" s="639">
        <f>tertiair!K16</f>
        <v>0</v>
      </c>
      <c r="M10" s="639">
        <f ca="1">tertiair!L16</f>
        <v>0</v>
      </c>
      <c r="N10" s="639">
        <f>tertiair!M16</f>
        <v>0</v>
      </c>
      <c r="O10" s="639">
        <f ca="1">tertiair!N16</f>
        <v>4633.4583354600672</v>
      </c>
      <c r="P10" s="639">
        <f>tertiair!O16</f>
        <v>0</v>
      </c>
      <c r="Q10" s="640">
        <f>tertiair!P16</f>
        <v>38.133333333333333</v>
      </c>
      <c r="R10" s="642">
        <f ca="1">SUM(C10:Q10)</f>
        <v>168925.10428552871</v>
      </c>
      <c r="S10" s="68"/>
    </row>
    <row r="11" spans="1:19" s="443" customFormat="1">
      <c r="A11" s="753" t="s">
        <v>214</v>
      </c>
      <c r="B11" s="758"/>
      <c r="C11" s="639">
        <f>huishoudens!B8</f>
        <v>62809.577556773394</v>
      </c>
      <c r="D11" s="639">
        <f>huishoudens!C8</f>
        <v>0</v>
      </c>
      <c r="E11" s="639">
        <f>huishoudens!D8</f>
        <v>162464.47649719252</v>
      </c>
      <c r="F11" s="639">
        <f>huishoudens!E8</f>
        <v>2949.061762382677</v>
      </c>
      <c r="G11" s="639">
        <f>huishoudens!F8</f>
        <v>89908.331136237379</v>
      </c>
      <c r="H11" s="639">
        <f>huishoudens!G8</f>
        <v>0</v>
      </c>
      <c r="I11" s="639">
        <f>huishoudens!H8</f>
        <v>0</v>
      </c>
      <c r="J11" s="639">
        <f>huishoudens!I8</f>
        <v>0</v>
      </c>
      <c r="K11" s="639">
        <f>huishoudens!J8</f>
        <v>1631.3553402836048</v>
      </c>
      <c r="L11" s="639">
        <f>huishoudens!K8</f>
        <v>0</v>
      </c>
      <c r="M11" s="639">
        <f>huishoudens!L8</f>
        <v>0</v>
      </c>
      <c r="N11" s="639">
        <f>huishoudens!M8</f>
        <v>0</v>
      </c>
      <c r="O11" s="639">
        <f>huishoudens!N8</f>
        <v>21514.74704626267</v>
      </c>
      <c r="P11" s="639">
        <f>huishoudens!O8</f>
        <v>131.32000000000002</v>
      </c>
      <c r="Q11" s="640">
        <f>huishoudens!P8</f>
        <v>362.26666666666665</v>
      </c>
      <c r="R11" s="642">
        <f>SUM(C11:Q11)</f>
        <v>341771.13600579888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26236.331746171676</v>
      </c>
      <c r="D13" s="639">
        <f>industrie!C18</f>
        <v>0</v>
      </c>
      <c r="E13" s="639">
        <f>industrie!D18</f>
        <v>44868.063693466822</v>
      </c>
      <c r="F13" s="639">
        <f>industrie!E18</f>
        <v>239.63844605214666</v>
      </c>
      <c r="G13" s="639">
        <f>industrie!F18</f>
        <v>5516.0137803207135</v>
      </c>
      <c r="H13" s="639">
        <f>industrie!G18</f>
        <v>0</v>
      </c>
      <c r="I13" s="639">
        <f>industrie!H18</f>
        <v>0</v>
      </c>
      <c r="J13" s="639">
        <f>industrie!I18</f>
        <v>0</v>
      </c>
      <c r="K13" s="639">
        <f>industrie!J18</f>
        <v>124.72356050981172</v>
      </c>
      <c r="L13" s="639">
        <f>industrie!K18</f>
        <v>0</v>
      </c>
      <c r="M13" s="639">
        <f>industrie!L18</f>
        <v>0</v>
      </c>
      <c r="N13" s="639">
        <f>industrie!M18</f>
        <v>0</v>
      </c>
      <c r="O13" s="639">
        <f>industrie!N18</f>
        <v>893.84209354069219</v>
      </c>
      <c r="P13" s="639">
        <f>industrie!O18</f>
        <v>0</v>
      </c>
      <c r="Q13" s="640">
        <f>industrie!P18</f>
        <v>0</v>
      </c>
      <c r="R13" s="642">
        <f>SUM(C13:Q13)</f>
        <v>77878.613320061864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169387.24609227429</v>
      </c>
      <c r="D16" s="672">
        <f t="shared" ref="D16:R16" ca="1" si="0">SUM(D9:D15)</f>
        <v>0</v>
      </c>
      <c r="E16" s="672">
        <f t="shared" ca="1" si="0"/>
        <v>277256.51928290853</v>
      </c>
      <c r="F16" s="672">
        <f t="shared" si="0"/>
        <v>3698.6768049315169</v>
      </c>
      <c r="G16" s="672">
        <f t="shared" ca="1" si="0"/>
        <v>108902.56505521831</v>
      </c>
      <c r="H16" s="672">
        <f t="shared" si="0"/>
        <v>0</v>
      </c>
      <c r="I16" s="672">
        <f t="shared" si="0"/>
        <v>0</v>
      </c>
      <c r="J16" s="672">
        <f t="shared" si="0"/>
        <v>0</v>
      </c>
      <c r="K16" s="672">
        <f t="shared" si="0"/>
        <v>1756.0789007934166</v>
      </c>
      <c r="L16" s="672">
        <f t="shared" si="0"/>
        <v>0</v>
      </c>
      <c r="M16" s="672">
        <f t="shared" ca="1" si="0"/>
        <v>0</v>
      </c>
      <c r="N16" s="672">
        <f t="shared" si="0"/>
        <v>0</v>
      </c>
      <c r="O16" s="672">
        <f t="shared" ca="1" si="0"/>
        <v>27042.047475263429</v>
      </c>
      <c r="P16" s="672">
        <f t="shared" si="0"/>
        <v>131.32000000000002</v>
      </c>
      <c r="Q16" s="672">
        <f t="shared" si="0"/>
        <v>400.4</v>
      </c>
      <c r="R16" s="672">
        <f t="shared" ca="1" si="0"/>
        <v>588574.85361138941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24.193988306671386</v>
      </c>
      <c r="D19" s="639">
        <f>transport!C54</f>
        <v>0</v>
      </c>
      <c r="E19" s="639">
        <f>transport!D54</f>
        <v>0</v>
      </c>
      <c r="F19" s="639">
        <f>transport!E54</f>
        <v>0</v>
      </c>
      <c r="G19" s="639">
        <f>transport!F54</f>
        <v>0</v>
      </c>
      <c r="H19" s="639">
        <f>transport!G54</f>
        <v>4825.5388014520713</v>
      </c>
      <c r="I19" s="639">
        <f>transport!H54</f>
        <v>0</v>
      </c>
      <c r="J19" s="639">
        <f>transport!I54</f>
        <v>0</v>
      </c>
      <c r="K19" s="639">
        <f>transport!J54</f>
        <v>0</v>
      </c>
      <c r="L19" s="639">
        <f>transport!K54</f>
        <v>0</v>
      </c>
      <c r="M19" s="639">
        <f>transport!L54</f>
        <v>0</v>
      </c>
      <c r="N19" s="639">
        <f>transport!M54</f>
        <v>213.28367561821929</v>
      </c>
      <c r="O19" s="639">
        <f>transport!N54</f>
        <v>0</v>
      </c>
      <c r="P19" s="639">
        <f>transport!O54</f>
        <v>0</v>
      </c>
      <c r="Q19" s="640">
        <f>transport!P54</f>
        <v>0</v>
      </c>
      <c r="R19" s="642">
        <f>SUM(C19:Q19)</f>
        <v>5063.0164653769625</v>
      </c>
      <c r="S19" s="68"/>
    </row>
    <row r="20" spans="1:19" s="443" customFormat="1">
      <c r="A20" s="753" t="s">
        <v>296</v>
      </c>
      <c r="B20" s="758"/>
      <c r="C20" s="639">
        <f>transport!B14</f>
        <v>16.271101017749018</v>
      </c>
      <c r="D20" s="639">
        <f>transport!C14</f>
        <v>0</v>
      </c>
      <c r="E20" s="639">
        <f>transport!D14</f>
        <v>19.515166972225977</v>
      </c>
      <c r="F20" s="639">
        <f>transport!E14</f>
        <v>1426.6113959985751</v>
      </c>
      <c r="G20" s="639">
        <f>transport!F14</f>
        <v>0</v>
      </c>
      <c r="H20" s="639">
        <f>transport!G14</f>
        <v>307934.03933291923</v>
      </c>
      <c r="I20" s="639">
        <f>transport!H14</f>
        <v>51396.458309601694</v>
      </c>
      <c r="J20" s="639">
        <f>transport!I14</f>
        <v>0</v>
      </c>
      <c r="K20" s="639">
        <f>transport!J14</f>
        <v>0</v>
      </c>
      <c r="L20" s="639">
        <f>transport!K14</f>
        <v>0</v>
      </c>
      <c r="M20" s="639">
        <f>transport!L14</f>
        <v>0</v>
      </c>
      <c r="N20" s="639">
        <f>transport!M14</f>
        <v>16055.964161768306</v>
      </c>
      <c r="O20" s="639">
        <f>transport!N14</f>
        <v>0</v>
      </c>
      <c r="P20" s="639">
        <f>transport!O14</f>
        <v>0</v>
      </c>
      <c r="Q20" s="640">
        <f>transport!P14</f>
        <v>0</v>
      </c>
      <c r="R20" s="642">
        <f>SUM(C20:Q20)</f>
        <v>376848.85946827778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40.465089324420404</v>
      </c>
      <c r="D22" s="756">
        <f t="shared" ref="D22:R22" si="1">SUM(D18:D21)</f>
        <v>0</v>
      </c>
      <c r="E22" s="756">
        <f t="shared" si="1"/>
        <v>19.515166972225977</v>
      </c>
      <c r="F22" s="756">
        <f t="shared" si="1"/>
        <v>1426.6113959985751</v>
      </c>
      <c r="G22" s="756">
        <f t="shared" si="1"/>
        <v>0</v>
      </c>
      <c r="H22" s="756">
        <f t="shared" si="1"/>
        <v>312759.57813437132</v>
      </c>
      <c r="I22" s="756">
        <f t="shared" si="1"/>
        <v>51396.458309601694</v>
      </c>
      <c r="J22" s="756">
        <f t="shared" si="1"/>
        <v>0</v>
      </c>
      <c r="K22" s="756">
        <f t="shared" si="1"/>
        <v>0</v>
      </c>
      <c r="L22" s="756">
        <f t="shared" si="1"/>
        <v>0</v>
      </c>
      <c r="M22" s="756">
        <f t="shared" si="1"/>
        <v>0</v>
      </c>
      <c r="N22" s="756">
        <f t="shared" si="1"/>
        <v>16269.247837386525</v>
      </c>
      <c r="O22" s="756">
        <f t="shared" si="1"/>
        <v>0</v>
      </c>
      <c r="P22" s="756">
        <f t="shared" si="1"/>
        <v>0</v>
      </c>
      <c r="Q22" s="756">
        <f t="shared" si="1"/>
        <v>0</v>
      </c>
      <c r="R22" s="756">
        <f t="shared" si="1"/>
        <v>381911.87593365472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523.65682833972789</v>
      </c>
      <c r="D24" s="639">
        <f>+landbouw!C8</f>
        <v>22.5</v>
      </c>
      <c r="E24" s="639">
        <f>+landbouw!D8</f>
        <v>59.580621101413954</v>
      </c>
      <c r="F24" s="639">
        <f>+landbouw!E8</f>
        <v>5.1712064897995837</v>
      </c>
      <c r="G24" s="639">
        <f>+landbouw!F8</f>
        <v>1747.0577378745947</v>
      </c>
      <c r="H24" s="639">
        <f>+landbouw!G8</f>
        <v>0</v>
      </c>
      <c r="I24" s="639">
        <f>+landbouw!H8</f>
        <v>0</v>
      </c>
      <c r="J24" s="639">
        <f>+landbouw!I8</f>
        <v>0</v>
      </c>
      <c r="K24" s="639">
        <f>+landbouw!J8</f>
        <v>52.245057355858769</v>
      </c>
      <c r="L24" s="639">
        <f>+landbouw!K8</f>
        <v>0</v>
      </c>
      <c r="M24" s="639">
        <f>+landbouw!L8</f>
        <v>0</v>
      </c>
      <c r="N24" s="639">
        <f>+landbouw!M8</f>
        <v>0</v>
      </c>
      <c r="O24" s="639">
        <f>+landbouw!N8</f>
        <v>0</v>
      </c>
      <c r="P24" s="639">
        <f>+landbouw!O8</f>
        <v>0</v>
      </c>
      <c r="Q24" s="640">
        <f>+landbouw!P8</f>
        <v>0</v>
      </c>
      <c r="R24" s="642">
        <f>SUM(C24:Q24)</f>
        <v>2410.2114511613954</v>
      </c>
      <c r="S24" s="68"/>
    </row>
    <row r="25" spans="1:19" s="443" customFormat="1" ht="15" thickBot="1">
      <c r="A25" s="775" t="s">
        <v>847</v>
      </c>
      <c r="B25" s="941"/>
      <c r="C25" s="942">
        <f>IF(Onbekend_ele_kWh="---",0,Onbekend_ele_kWh)/1000+IF(REST_rest_ele_kWh="---",0,REST_rest_ele_kWh)/1000</f>
        <v>2310.4299017698299</v>
      </c>
      <c r="D25" s="942"/>
      <c r="E25" s="942">
        <f>IF(onbekend_gas_kWh="---",0,onbekend_gas_kWh)/1000+IF(REST_rest_gas_kWh="---",0,REST_rest_gas_kWh)/1000</f>
        <v>8854.4662004263191</v>
      </c>
      <c r="F25" s="942"/>
      <c r="G25" s="942"/>
      <c r="H25" s="942"/>
      <c r="I25" s="942"/>
      <c r="J25" s="942"/>
      <c r="K25" s="942"/>
      <c r="L25" s="942"/>
      <c r="M25" s="942"/>
      <c r="N25" s="942"/>
      <c r="O25" s="942"/>
      <c r="P25" s="942"/>
      <c r="Q25" s="943"/>
      <c r="R25" s="642">
        <f>SUM(C25:Q25)</f>
        <v>11164.89610219615</v>
      </c>
      <c r="S25" s="68"/>
    </row>
    <row r="26" spans="1:19" s="443" customFormat="1" ht="15.75" thickBot="1">
      <c r="A26" s="645" t="s">
        <v>848</v>
      </c>
      <c r="B26" s="761"/>
      <c r="C26" s="756">
        <f>SUM(C24:C25)</f>
        <v>2834.0867301095577</v>
      </c>
      <c r="D26" s="756">
        <f t="shared" ref="D26:R26" si="2">SUM(D24:D25)</f>
        <v>22.5</v>
      </c>
      <c r="E26" s="756">
        <f t="shared" si="2"/>
        <v>8914.0468215277324</v>
      </c>
      <c r="F26" s="756">
        <f t="shared" si="2"/>
        <v>5.1712064897995837</v>
      </c>
      <c r="G26" s="756">
        <f t="shared" si="2"/>
        <v>1747.0577378745947</v>
      </c>
      <c r="H26" s="756">
        <f t="shared" si="2"/>
        <v>0</v>
      </c>
      <c r="I26" s="756">
        <f t="shared" si="2"/>
        <v>0</v>
      </c>
      <c r="J26" s="756">
        <f t="shared" si="2"/>
        <v>0</v>
      </c>
      <c r="K26" s="756">
        <f t="shared" si="2"/>
        <v>52.245057355858769</v>
      </c>
      <c r="L26" s="756">
        <f t="shared" si="2"/>
        <v>0</v>
      </c>
      <c r="M26" s="756">
        <f t="shared" si="2"/>
        <v>0</v>
      </c>
      <c r="N26" s="756">
        <f t="shared" si="2"/>
        <v>0</v>
      </c>
      <c r="O26" s="756">
        <f t="shared" si="2"/>
        <v>0</v>
      </c>
      <c r="P26" s="756">
        <f t="shared" si="2"/>
        <v>0</v>
      </c>
      <c r="Q26" s="756">
        <f t="shared" si="2"/>
        <v>0</v>
      </c>
      <c r="R26" s="756">
        <f t="shared" si="2"/>
        <v>13575.107553357546</v>
      </c>
      <c r="S26" s="68"/>
    </row>
    <row r="27" spans="1:19" s="443" customFormat="1" ht="17.25" thickTop="1" thickBot="1">
      <c r="A27" s="646" t="s">
        <v>109</v>
      </c>
      <c r="B27" s="748"/>
      <c r="C27" s="647">
        <f ca="1">C22+C16+C26</f>
        <v>172261.79791170827</v>
      </c>
      <c r="D27" s="647">
        <f t="shared" ref="D27:R27" ca="1" si="3">D22+D16+D26</f>
        <v>22.5</v>
      </c>
      <c r="E27" s="647">
        <f t="shared" ca="1" si="3"/>
        <v>286190.08127140848</v>
      </c>
      <c r="F27" s="647">
        <f t="shared" si="3"/>
        <v>5130.4594074198912</v>
      </c>
      <c r="G27" s="647">
        <f t="shared" ca="1" si="3"/>
        <v>110649.6227930929</v>
      </c>
      <c r="H27" s="647">
        <f t="shared" si="3"/>
        <v>312759.57813437132</v>
      </c>
      <c r="I27" s="647">
        <f t="shared" si="3"/>
        <v>51396.458309601694</v>
      </c>
      <c r="J27" s="647">
        <f t="shared" si="3"/>
        <v>0</v>
      </c>
      <c r="K27" s="647">
        <f t="shared" si="3"/>
        <v>1808.3239581492753</v>
      </c>
      <c r="L27" s="647">
        <f t="shared" si="3"/>
        <v>0</v>
      </c>
      <c r="M27" s="647">
        <f t="shared" ca="1" si="3"/>
        <v>0</v>
      </c>
      <c r="N27" s="647">
        <f t="shared" si="3"/>
        <v>16269.247837386525</v>
      </c>
      <c r="O27" s="647">
        <f t="shared" ca="1" si="3"/>
        <v>27042.047475263429</v>
      </c>
      <c r="P27" s="647">
        <f t="shared" si="3"/>
        <v>131.32000000000002</v>
      </c>
      <c r="Q27" s="647">
        <f t="shared" si="3"/>
        <v>400.4</v>
      </c>
      <c r="R27" s="647">
        <f t="shared" ca="1" si="3"/>
        <v>984061.83709840162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17094.911509732068</v>
      </c>
      <c r="D40" s="639">
        <f ca="1">tertiair!C20</f>
        <v>0</v>
      </c>
      <c r="E40" s="639">
        <f ca="1">tertiair!D20</f>
        <v>14124.643776634341</v>
      </c>
      <c r="F40" s="639">
        <f>tertiair!E20</f>
        <v>115.76468740474931</v>
      </c>
      <c r="G40" s="639">
        <f ca="1">tertiair!F20</f>
        <v>3598.6847770222757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34934.004750793436</v>
      </c>
    </row>
    <row r="41" spans="1:18">
      <c r="A41" s="766" t="s">
        <v>214</v>
      </c>
      <c r="B41" s="773"/>
      <c r="C41" s="639">
        <f ca="1">huishoudens!B12</f>
        <v>13364.529558578428</v>
      </c>
      <c r="D41" s="639">
        <f ca="1">huishoudens!C12</f>
        <v>0</v>
      </c>
      <c r="E41" s="639">
        <f>huishoudens!D12</f>
        <v>32817.824252432889</v>
      </c>
      <c r="F41" s="639">
        <f>huishoudens!E12</f>
        <v>669.43702006086767</v>
      </c>
      <c r="G41" s="639">
        <f>huishoudens!F12</f>
        <v>24005.52441337538</v>
      </c>
      <c r="H41" s="639">
        <f>huishoudens!G12</f>
        <v>0</v>
      </c>
      <c r="I41" s="639">
        <f>huishoudens!H12</f>
        <v>0</v>
      </c>
      <c r="J41" s="639">
        <f>huishoudens!I12</f>
        <v>0</v>
      </c>
      <c r="K41" s="639">
        <f>huishoudens!J12</f>
        <v>577.49979046039607</v>
      </c>
      <c r="L41" s="639">
        <f>huishoudens!K12</f>
        <v>0</v>
      </c>
      <c r="M41" s="639">
        <f>huishoudens!L12</f>
        <v>0</v>
      </c>
      <c r="N41" s="639">
        <f>huishoudens!M12</f>
        <v>0</v>
      </c>
      <c r="O41" s="639">
        <f>huishoudens!N12</f>
        <v>0</v>
      </c>
      <c r="P41" s="639">
        <f>huishoudens!O12</f>
        <v>0</v>
      </c>
      <c r="Q41" s="714">
        <f>huishoudens!P12</f>
        <v>0</v>
      </c>
      <c r="R41" s="794">
        <f t="shared" ca="1" si="4"/>
        <v>71434.815034907951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5582.5280915707772</v>
      </c>
      <c r="D43" s="639">
        <f ca="1">industrie!C22</f>
        <v>0</v>
      </c>
      <c r="E43" s="639">
        <f>industrie!D22</f>
        <v>9063.3488660802977</v>
      </c>
      <c r="F43" s="639">
        <f>industrie!E22</f>
        <v>54.397927253837295</v>
      </c>
      <c r="G43" s="639">
        <f>industrie!F22</f>
        <v>1472.7756793456306</v>
      </c>
      <c r="H43" s="639">
        <f>industrie!G22</f>
        <v>0</v>
      </c>
      <c r="I43" s="639">
        <f>industrie!H22</f>
        <v>0</v>
      </c>
      <c r="J43" s="639">
        <f>industrie!I22</f>
        <v>0</v>
      </c>
      <c r="K43" s="639">
        <f>industrie!J22</f>
        <v>44.152140420473344</v>
      </c>
      <c r="L43" s="639">
        <f>industrie!K22</f>
        <v>0</v>
      </c>
      <c r="M43" s="639">
        <f>industrie!L22</f>
        <v>0</v>
      </c>
      <c r="N43" s="639">
        <f>industrie!M22</f>
        <v>0</v>
      </c>
      <c r="O43" s="639">
        <f>industrie!N22</f>
        <v>0</v>
      </c>
      <c r="P43" s="639">
        <f>industrie!O22</f>
        <v>0</v>
      </c>
      <c r="Q43" s="714">
        <f>industrie!P22</f>
        <v>0</v>
      </c>
      <c r="R43" s="793">
        <f t="shared" ca="1" si="4"/>
        <v>16217.202704671017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36041.969159881271</v>
      </c>
      <c r="D46" s="672">
        <f t="shared" ref="D46:Q46" ca="1" si="5">SUM(D39:D45)</f>
        <v>0</v>
      </c>
      <c r="E46" s="672">
        <f t="shared" ca="1" si="5"/>
        <v>56005.816895147524</v>
      </c>
      <c r="F46" s="672">
        <f t="shared" si="5"/>
        <v>839.59963471945434</v>
      </c>
      <c r="G46" s="672">
        <f t="shared" ca="1" si="5"/>
        <v>29076.984869743286</v>
      </c>
      <c r="H46" s="672">
        <f t="shared" si="5"/>
        <v>0</v>
      </c>
      <c r="I46" s="672">
        <f t="shared" si="5"/>
        <v>0</v>
      </c>
      <c r="J46" s="672">
        <f t="shared" si="5"/>
        <v>0</v>
      </c>
      <c r="K46" s="672">
        <f t="shared" si="5"/>
        <v>621.65193088086937</v>
      </c>
      <c r="L46" s="672">
        <f t="shared" si="5"/>
        <v>0</v>
      </c>
      <c r="M46" s="672">
        <f t="shared" ca="1" si="5"/>
        <v>0</v>
      </c>
      <c r="N46" s="672">
        <f t="shared" si="5"/>
        <v>0</v>
      </c>
      <c r="O46" s="672">
        <f t="shared" ca="1" si="5"/>
        <v>0</v>
      </c>
      <c r="P46" s="672">
        <f t="shared" si="5"/>
        <v>0</v>
      </c>
      <c r="Q46" s="672">
        <f t="shared" si="5"/>
        <v>0</v>
      </c>
      <c r="R46" s="672">
        <f ca="1">SUM(R39:R45)</f>
        <v>122586.0224903724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5.1479612575350204</v>
      </c>
      <c r="D49" s="639">
        <f ca="1">transport!C58</f>
        <v>0</v>
      </c>
      <c r="E49" s="639">
        <f>transport!D58</f>
        <v>0</v>
      </c>
      <c r="F49" s="639">
        <f>transport!E58</f>
        <v>0</v>
      </c>
      <c r="G49" s="639">
        <f>transport!F58</f>
        <v>0</v>
      </c>
      <c r="H49" s="639">
        <f>transport!G58</f>
        <v>1288.4188599877032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1293.5668212452381</v>
      </c>
    </row>
    <row r="50" spans="1:18">
      <c r="A50" s="769" t="s">
        <v>296</v>
      </c>
      <c r="B50" s="779"/>
      <c r="C50" s="948">
        <f ca="1">transport!B18</f>
        <v>3.462140949853783</v>
      </c>
      <c r="D50" s="948">
        <f>transport!C18</f>
        <v>0</v>
      </c>
      <c r="E50" s="948">
        <f>transport!D18</f>
        <v>3.9420637283896474</v>
      </c>
      <c r="F50" s="948">
        <f>transport!E18</f>
        <v>323.84078689167654</v>
      </c>
      <c r="G50" s="948">
        <f>transport!F18</f>
        <v>0</v>
      </c>
      <c r="H50" s="948">
        <f>transport!G18</f>
        <v>82218.388501889436</v>
      </c>
      <c r="I50" s="948">
        <f>transport!H18</f>
        <v>12797.718119090821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95347.351612550177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8.6101022073888025</v>
      </c>
      <c r="D52" s="672">
        <f t="shared" ref="D52:Q52" ca="1" si="6">SUM(D48:D51)</f>
        <v>0</v>
      </c>
      <c r="E52" s="672">
        <f t="shared" si="6"/>
        <v>3.9420637283896474</v>
      </c>
      <c r="F52" s="672">
        <f t="shared" si="6"/>
        <v>323.84078689167654</v>
      </c>
      <c r="G52" s="672">
        <f t="shared" si="6"/>
        <v>0</v>
      </c>
      <c r="H52" s="672">
        <f t="shared" si="6"/>
        <v>83506.807361877145</v>
      </c>
      <c r="I52" s="672">
        <f t="shared" si="6"/>
        <v>12797.718119090821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96640.918433795421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111.42292995955697</v>
      </c>
      <c r="D54" s="948">
        <f ca="1">+landbouw!C12</f>
        <v>5.0500000000000007</v>
      </c>
      <c r="E54" s="948">
        <f>+landbouw!D12</f>
        <v>12.03528546248562</v>
      </c>
      <c r="F54" s="948">
        <f>+landbouw!E12</f>
        <v>1.1738638731845055</v>
      </c>
      <c r="G54" s="948">
        <f>+landbouw!F12</f>
        <v>466.46441601251684</v>
      </c>
      <c r="H54" s="948">
        <f>+landbouw!G12</f>
        <v>0</v>
      </c>
      <c r="I54" s="948">
        <f>+landbouw!H12</f>
        <v>0</v>
      </c>
      <c r="J54" s="948">
        <f>+landbouw!I12</f>
        <v>0</v>
      </c>
      <c r="K54" s="948">
        <f>+landbouw!J12</f>
        <v>18.494750303974005</v>
      </c>
      <c r="L54" s="948">
        <f>+landbouw!K12</f>
        <v>0</v>
      </c>
      <c r="M54" s="948">
        <f>+landbouw!L12</f>
        <v>0</v>
      </c>
      <c r="N54" s="948">
        <f>+landbouw!M12</f>
        <v>0</v>
      </c>
      <c r="O54" s="948">
        <f>+landbouw!N12</f>
        <v>0</v>
      </c>
      <c r="P54" s="948">
        <f>+landbouw!O12</f>
        <v>0</v>
      </c>
      <c r="Q54" s="949">
        <f>+landbouw!P12</f>
        <v>0</v>
      </c>
      <c r="R54" s="671">
        <f ca="1">SUM(C54:Q54)</f>
        <v>614.64124561171786</v>
      </c>
    </row>
    <row r="55" spans="1:18" ht="15" thickBot="1">
      <c r="A55" s="769" t="s">
        <v>847</v>
      </c>
      <c r="B55" s="779"/>
      <c r="C55" s="948">
        <f ca="1">C25*'EF ele_warmte'!B12</f>
        <v>491.60987728847533</v>
      </c>
      <c r="D55" s="948"/>
      <c r="E55" s="948">
        <f>E25*EF_CO2_aardgas</f>
        <v>1788.6021724861166</v>
      </c>
      <c r="F55" s="948"/>
      <c r="G55" s="948"/>
      <c r="H55" s="948"/>
      <c r="I55" s="948"/>
      <c r="J55" s="948"/>
      <c r="K55" s="948"/>
      <c r="L55" s="948"/>
      <c r="M55" s="948"/>
      <c r="N55" s="948"/>
      <c r="O55" s="948"/>
      <c r="P55" s="948"/>
      <c r="Q55" s="949"/>
      <c r="R55" s="671">
        <f ca="1">SUM(C55:Q55)</f>
        <v>2280.2120497745918</v>
      </c>
    </row>
    <row r="56" spans="1:18" ht="15.75" thickBot="1">
      <c r="A56" s="767" t="s">
        <v>848</v>
      </c>
      <c r="B56" s="780"/>
      <c r="C56" s="672">
        <f ca="1">SUM(C54:C55)</f>
        <v>603.03280724803233</v>
      </c>
      <c r="D56" s="672">
        <f t="shared" ref="D56:Q56" ca="1" si="7">SUM(D54:D55)</f>
        <v>5.0500000000000007</v>
      </c>
      <c r="E56" s="672">
        <f t="shared" si="7"/>
        <v>1800.6374579486023</v>
      </c>
      <c r="F56" s="672">
        <f t="shared" si="7"/>
        <v>1.1738638731845055</v>
      </c>
      <c r="G56" s="672">
        <f t="shared" si="7"/>
        <v>466.46441601251684</v>
      </c>
      <c r="H56" s="672">
        <f t="shared" si="7"/>
        <v>0</v>
      </c>
      <c r="I56" s="672">
        <f t="shared" si="7"/>
        <v>0</v>
      </c>
      <c r="J56" s="672">
        <f t="shared" si="7"/>
        <v>0</v>
      </c>
      <c r="K56" s="672">
        <f t="shared" si="7"/>
        <v>18.494750303974005</v>
      </c>
      <c r="L56" s="672">
        <f t="shared" si="7"/>
        <v>0</v>
      </c>
      <c r="M56" s="672">
        <f t="shared" si="7"/>
        <v>0</v>
      </c>
      <c r="N56" s="672">
        <f t="shared" si="7"/>
        <v>0</v>
      </c>
      <c r="O56" s="672">
        <f t="shared" si="7"/>
        <v>0</v>
      </c>
      <c r="P56" s="672">
        <f t="shared" si="7"/>
        <v>0</v>
      </c>
      <c r="Q56" s="673">
        <f t="shared" si="7"/>
        <v>0</v>
      </c>
      <c r="R56" s="674">
        <f ca="1">SUM(R54:R55)</f>
        <v>2894.8532953863096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36653.61206933669</v>
      </c>
      <c r="D61" s="680">
        <f t="shared" ref="D61:Q61" ca="1" si="8">D46+D52+D56</f>
        <v>5.0500000000000007</v>
      </c>
      <c r="E61" s="680">
        <f t="shared" ca="1" si="8"/>
        <v>57810.396416824515</v>
      </c>
      <c r="F61" s="680">
        <f t="shared" si="8"/>
        <v>1164.6142854843154</v>
      </c>
      <c r="G61" s="680">
        <f t="shared" ca="1" si="8"/>
        <v>29543.449285755803</v>
      </c>
      <c r="H61" s="680">
        <f t="shared" si="8"/>
        <v>83506.807361877145</v>
      </c>
      <c r="I61" s="680">
        <f t="shared" si="8"/>
        <v>12797.718119090821</v>
      </c>
      <c r="J61" s="680">
        <f t="shared" si="8"/>
        <v>0</v>
      </c>
      <c r="K61" s="680">
        <f t="shared" si="8"/>
        <v>640.14668118484337</v>
      </c>
      <c r="L61" s="680">
        <f t="shared" si="8"/>
        <v>0</v>
      </c>
      <c r="M61" s="680">
        <f t="shared" ca="1" si="8"/>
        <v>0</v>
      </c>
      <c r="N61" s="680">
        <f t="shared" si="8"/>
        <v>0</v>
      </c>
      <c r="O61" s="680">
        <f t="shared" ca="1" si="8"/>
        <v>0</v>
      </c>
      <c r="P61" s="680">
        <f t="shared" si="8"/>
        <v>0</v>
      </c>
      <c r="Q61" s="680">
        <f t="shared" si="8"/>
        <v>0</v>
      </c>
      <c r="R61" s="680">
        <f ca="1">R46+R52+R56</f>
        <v>222121.79421955411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0.21277852961991767</v>
      </c>
      <c r="D63" s="724">
        <f t="shared" ca="1" si="9"/>
        <v>0.22444444444444447</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6408.4197699132883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4.5</v>
      </c>
      <c r="D76" s="960">
        <f>'lokale energieproductie'!C8</f>
        <v>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1.01</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6408.4197699132883</v>
      </c>
      <c r="C78" s="695">
        <f>SUM(C72:C77)</f>
        <v>4.5</v>
      </c>
      <c r="D78" s="696">
        <f t="shared" ref="D78:H78" si="10">SUM(D76:D77)</f>
        <v>5</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1.01</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22.5</v>
      </c>
      <c r="D87" s="717">
        <f>'lokale energieproductie'!C17</f>
        <v>25</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5.0500000000000007</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22.5</v>
      </c>
      <c r="D90" s="695">
        <f t="shared" ref="D90:H90" si="12">SUM(D87:D89)</f>
        <v>25</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5.0500000000000007</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62809.577556773394</v>
      </c>
      <c r="C4" s="447">
        <f>huishoudens!C8</f>
        <v>0</v>
      </c>
      <c r="D4" s="447">
        <f>huishoudens!D8</f>
        <v>162464.47649719252</v>
      </c>
      <c r="E4" s="447">
        <f>huishoudens!E8</f>
        <v>2949.061762382677</v>
      </c>
      <c r="F4" s="447">
        <f>huishoudens!F8</f>
        <v>89908.331136237379</v>
      </c>
      <c r="G4" s="447">
        <f>huishoudens!G8</f>
        <v>0</v>
      </c>
      <c r="H4" s="447">
        <f>huishoudens!H8</f>
        <v>0</v>
      </c>
      <c r="I4" s="447">
        <f>huishoudens!I8</f>
        <v>0</v>
      </c>
      <c r="J4" s="447">
        <f>huishoudens!J8</f>
        <v>1631.3553402836048</v>
      </c>
      <c r="K4" s="447">
        <f>huishoudens!K8</f>
        <v>0</v>
      </c>
      <c r="L4" s="447">
        <f>huishoudens!L8</f>
        <v>0</v>
      </c>
      <c r="M4" s="447">
        <f>huishoudens!M8</f>
        <v>0</v>
      </c>
      <c r="N4" s="447">
        <f>huishoudens!N8</f>
        <v>21514.74704626267</v>
      </c>
      <c r="O4" s="447">
        <f>huishoudens!O8</f>
        <v>131.32000000000002</v>
      </c>
      <c r="P4" s="448">
        <f>huishoudens!P8</f>
        <v>362.26666666666665</v>
      </c>
      <c r="Q4" s="449">
        <f>SUM(B4:P4)</f>
        <v>341771.13600579888</v>
      </c>
    </row>
    <row r="5" spans="1:17">
      <c r="A5" s="446" t="s">
        <v>149</v>
      </c>
      <c r="B5" s="447">
        <f ca="1">tertiair!B16</f>
        <v>76931.232789329209</v>
      </c>
      <c r="C5" s="447">
        <f ca="1">tertiair!C16</f>
        <v>0</v>
      </c>
      <c r="D5" s="447">
        <f ca="1">tertiair!D16</f>
        <v>69923.97909224921</v>
      </c>
      <c r="E5" s="447">
        <f>tertiair!E16</f>
        <v>509.97659649669299</v>
      </c>
      <c r="F5" s="447">
        <f ca="1">tertiair!F16</f>
        <v>13478.220138660208</v>
      </c>
      <c r="G5" s="447">
        <f>tertiair!G16</f>
        <v>0</v>
      </c>
      <c r="H5" s="447">
        <f>tertiair!H16</f>
        <v>0</v>
      </c>
      <c r="I5" s="447">
        <f>tertiair!I16</f>
        <v>0</v>
      </c>
      <c r="J5" s="447">
        <f>tertiair!J16</f>
        <v>0</v>
      </c>
      <c r="K5" s="447">
        <f>tertiair!K16</f>
        <v>0</v>
      </c>
      <c r="L5" s="447">
        <f ca="1">tertiair!L16</f>
        <v>0</v>
      </c>
      <c r="M5" s="447">
        <f>tertiair!M16</f>
        <v>0</v>
      </c>
      <c r="N5" s="447">
        <f ca="1">tertiair!N16</f>
        <v>4633.4583354600672</v>
      </c>
      <c r="O5" s="447">
        <f>tertiair!O16</f>
        <v>0</v>
      </c>
      <c r="P5" s="448">
        <f>tertiair!P16</f>
        <v>38.133333333333333</v>
      </c>
      <c r="Q5" s="446">
        <f t="shared" ref="Q5:Q14" ca="1" si="0">SUM(B5:P5)</f>
        <v>165515.00028552872</v>
      </c>
    </row>
    <row r="6" spans="1:17">
      <c r="A6" s="446" t="s">
        <v>187</v>
      </c>
      <c r="B6" s="447">
        <f>'openbare verlichting'!B8</f>
        <v>3410.1039999999998</v>
      </c>
      <c r="C6" s="447"/>
      <c r="D6" s="447"/>
      <c r="E6" s="447"/>
      <c r="F6" s="447"/>
      <c r="G6" s="447"/>
      <c r="H6" s="447"/>
      <c r="I6" s="447"/>
      <c r="J6" s="447"/>
      <c r="K6" s="447"/>
      <c r="L6" s="447"/>
      <c r="M6" s="447"/>
      <c r="N6" s="447"/>
      <c r="O6" s="447"/>
      <c r="P6" s="448"/>
      <c r="Q6" s="446">
        <f t="shared" si="0"/>
        <v>3410.1039999999998</v>
      </c>
    </row>
    <row r="7" spans="1:17">
      <c r="A7" s="446" t="s">
        <v>105</v>
      </c>
      <c r="B7" s="447">
        <f>landbouw!B8</f>
        <v>523.65682833972789</v>
      </c>
      <c r="C7" s="447">
        <f>landbouw!C8</f>
        <v>22.5</v>
      </c>
      <c r="D7" s="447">
        <f>landbouw!D8</f>
        <v>59.580621101413954</v>
      </c>
      <c r="E7" s="447">
        <f>landbouw!E8</f>
        <v>5.1712064897995837</v>
      </c>
      <c r="F7" s="447">
        <f>landbouw!F8</f>
        <v>1747.0577378745947</v>
      </c>
      <c r="G7" s="447">
        <f>landbouw!G8</f>
        <v>0</v>
      </c>
      <c r="H7" s="447">
        <f>landbouw!H8</f>
        <v>0</v>
      </c>
      <c r="I7" s="447">
        <f>landbouw!I8</f>
        <v>0</v>
      </c>
      <c r="J7" s="447">
        <f>landbouw!J8</f>
        <v>52.245057355858769</v>
      </c>
      <c r="K7" s="447">
        <f>landbouw!K8</f>
        <v>0</v>
      </c>
      <c r="L7" s="447">
        <f>landbouw!L8</f>
        <v>0</v>
      </c>
      <c r="M7" s="447">
        <f>landbouw!M8</f>
        <v>0</v>
      </c>
      <c r="N7" s="447">
        <f>landbouw!N8</f>
        <v>0</v>
      </c>
      <c r="O7" s="447">
        <f>landbouw!O8</f>
        <v>0</v>
      </c>
      <c r="P7" s="448">
        <f>landbouw!P8</f>
        <v>0</v>
      </c>
      <c r="Q7" s="446">
        <f t="shared" si="0"/>
        <v>2410.2114511613954</v>
      </c>
    </row>
    <row r="8" spans="1:17">
      <c r="A8" s="446" t="s">
        <v>640</v>
      </c>
      <c r="B8" s="447">
        <f>industrie!B18</f>
        <v>26236.331746171676</v>
      </c>
      <c r="C8" s="447">
        <f>industrie!C18</f>
        <v>0</v>
      </c>
      <c r="D8" s="447">
        <f>industrie!D18</f>
        <v>44868.063693466822</v>
      </c>
      <c r="E8" s="447">
        <f>industrie!E18</f>
        <v>239.63844605214666</v>
      </c>
      <c r="F8" s="447">
        <f>industrie!F18</f>
        <v>5516.0137803207135</v>
      </c>
      <c r="G8" s="447">
        <f>industrie!G18</f>
        <v>0</v>
      </c>
      <c r="H8" s="447">
        <f>industrie!H18</f>
        <v>0</v>
      </c>
      <c r="I8" s="447">
        <f>industrie!I18</f>
        <v>0</v>
      </c>
      <c r="J8" s="447">
        <f>industrie!J18</f>
        <v>124.72356050981172</v>
      </c>
      <c r="K8" s="447">
        <f>industrie!K18</f>
        <v>0</v>
      </c>
      <c r="L8" s="447">
        <f>industrie!L18</f>
        <v>0</v>
      </c>
      <c r="M8" s="447">
        <f>industrie!M18</f>
        <v>0</v>
      </c>
      <c r="N8" s="447">
        <f>industrie!N18</f>
        <v>893.84209354069219</v>
      </c>
      <c r="O8" s="447">
        <f>industrie!O18</f>
        <v>0</v>
      </c>
      <c r="P8" s="448">
        <f>industrie!P18</f>
        <v>0</v>
      </c>
      <c r="Q8" s="446">
        <f t="shared" si="0"/>
        <v>77878.613320061864</v>
      </c>
    </row>
    <row r="9" spans="1:17" s="452" customFormat="1">
      <c r="A9" s="450" t="s">
        <v>560</v>
      </c>
      <c r="B9" s="451">
        <f>transport!B14</f>
        <v>16.271101017749018</v>
      </c>
      <c r="C9" s="451">
        <f>transport!C14</f>
        <v>0</v>
      </c>
      <c r="D9" s="451">
        <f>transport!D14</f>
        <v>19.515166972225977</v>
      </c>
      <c r="E9" s="451">
        <f>transport!E14</f>
        <v>1426.6113959985751</v>
      </c>
      <c r="F9" s="451">
        <f>transport!F14</f>
        <v>0</v>
      </c>
      <c r="G9" s="451">
        <f>transport!G14</f>
        <v>307934.03933291923</v>
      </c>
      <c r="H9" s="451">
        <f>transport!H14</f>
        <v>51396.458309601694</v>
      </c>
      <c r="I9" s="451">
        <f>transport!I14</f>
        <v>0</v>
      </c>
      <c r="J9" s="451">
        <f>transport!J14</f>
        <v>0</v>
      </c>
      <c r="K9" s="451">
        <f>transport!K14</f>
        <v>0</v>
      </c>
      <c r="L9" s="451">
        <f>transport!L14</f>
        <v>0</v>
      </c>
      <c r="M9" s="451">
        <f>transport!M14</f>
        <v>16055.964161768306</v>
      </c>
      <c r="N9" s="451">
        <f>transport!N14</f>
        <v>0</v>
      </c>
      <c r="O9" s="451">
        <f>transport!O14</f>
        <v>0</v>
      </c>
      <c r="P9" s="451">
        <f>transport!P14</f>
        <v>0</v>
      </c>
      <c r="Q9" s="450">
        <f>SUM(B9:P9)</f>
        <v>376848.85946827778</v>
      </c>
    </row>
    <row r="10" spans="1:17">
      <c r="A10" s="446" t="s">
        <v>550</v>
      </c>
      <c r="B10" s="447">
        <f>transport!B54</f>
        <v>24.193988306671386</v>
      </c>
      <c r="C10" s="447">
        <f>transport!C54</f>
        <v>0</v>
      </c>
      <c r="D10" s="447">
        <f>transport!D54</f>
        <v>0</v>
      </c>
      <c r="E10" s="447">
        <f>transport!E54</f>
        <v>0</v>
      </c>
      <c r="F10" s="447">
        <f>transport!F54</f>
        <v>0</v>
      </c>
      <c r="G10" s="447">
        <f>transport!G54</f>
        <v>4825.5388014520713</v>
      </c>
      <c r="H10" s="447">
        <f>transport!H54</f>
        <v>0</v>
      </c>
      <c r="I10" s="447">
        <f>transport!I54</f>
        <v>0</v>
      </c>
      <c r="J10" s="447">
        <f>transport!J54</f>
        <v>0</v>
      </c>
      <c r="K10" s="447">
        <f>transport!K54</f>
        <v>0</v>
      </c>
      <c r="L10" s="447">
        <f>transport!L54</f>
        <v>0</v>
      </c>
      <c r="M10" s="447">
        <f>transport!M54</f>
        <v>213.28367561821929</v>
      </c>
      <c r="N10" s="447">
        <f>transport!N54</f>
        <v>0</v>
      </c>
      <c r="O10" s="447">
        <f>transport!O54</f>
        <v>0</v>
      </c>
      <c r="P10" s="448">
        <f>transport!P54</f>
        <v>0</v>
      </c>
      <c r="Q10" s="446">
        <f t="shared" si="0"/>
        <v>5063.0164653769625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2310.4299017698299</v>
      </c>
      <c r="C14" s="454"/>
      <c r="D14" s="454">
        <f>'SEAP template'!E25</f>
        <v>8854.4662004263191</v>
      </c>
      <c r="E14" s="454"/>
      <c r="F14" s="454"/>
      <c r="G14" s="454"/>
      <c r="H14" s="454"/>
      <c r="I14" s="454"/>
      <c r="J14" s="454"/>
      <c r="K14" s="454"/>
      <c r="L14" s="454"/>
      <c r="M14" s="454"/>
      <c r="N14" s="454"/>
      <c r="O14" s="454"/>
      <c r="P14" s="455"/>
      <c r="Q14" s="446">
        <f t="shared" si="0"/>
        <v>11164.89610219615</v>
      </c>
    </row>
    <row r="15" spans="1:17" s="459" customFormat="1">
      <c r="A15" s="456" t="s">
        <v>554</v>
      </c>
      <c r="B15" s="457">
        <f ca="1">SUM(B4:B14)</f>
        <v>172261.79791170824</v>
      </c>
      <c r="C15" s="457">
        <f t="shared" ref="C15:Q15" ca="1" si="1">SUM(C4:C14)</f>
        <v>22.5</v>
      </c>
      <c r="D15" s="457">
        <f t="shared" ca="1" si="1"/>
        <v>286190.08127140853</v>
      </c>
      <c r="E15" s="457">
        <f t="shared" si="1"/>
        <v>5130.4594074198922</v>
      </c>
      <c r="F15" s="457">
        <f t="shared" ca="1" si="1"/>
        <v>110649.6227930929</v>
      </c>
      <c r="G15" s="457">
        <f t="shared" si="1"/>
        <v>312759.57813437132</v>
      </c>
      <c r="H15" s="457">
        <f t="shared" si="1"/>
        <v>51396.458309601694</v>
      </c>
      <c r="I15" s="457">
        <f t="shared" si="1"/>
        <v>0</v>
      </c>
      <c r="J15" s="457">
        <f t="shared" si="1"/>
        <v>1808.3239581492753</v>
      </c>
      <c r="K15" s="457">
        <f t="shared" si="1"/>
        <v>0</v>
      </c>
      <c r="L15" s="457">
        <f t="shared" ca="1" si="1"/>
        <v>0</v>
      </c>
      <c r="M15" s="457">
        <f t="shared" si="1"/>
        <v>16269.247837386525</v>
      </c>
      <c r="N15" s="457">
        <f t="shared" ca="1" si="1"/>
        <v>27042.047475263429</v>
      </c>
      <c r="O15" s="457">
        <f t="shared" si="1"/>
        <v>131.32000000000002</v>
      </c>
      <c r="P15" s="457">
        <f t="shared" si="1"/>
        <v>400.4</v>
      </c>
      <c r="Q15" s="457">
        <f t="shared" ca="1" si="1"/>
        <v>984061.83709840174</v>
      </c>
    </row>
    <row r="17" spans="1:17">
      <c r="A17" s="460" t="s">
        <v>555</v>
      </c>
      <c r="B17" s="729">
        <f ca="1">huishoudens!B10</f>
        <v>0.21277852961991772</v>
      </c>
      <c r="C17" s="729">
        <f ca="1">huishoudens!C10</f>
        <v>0.22444444444444447</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13364.529558578428</v>
      </c>
      <c r="C22" s="447">
        <f t="shared" ref="C22:C32" ca="1" si="3">C4*$C$17</f>
        <v>0</v>
      </c>
      <c r="D22" s="447">
        <f t="shared" ref="D22:D32" si="4">D4*$D$17</f>
        <v>32817.824252432889</v>
      </c>
      <c r="E22" s="447">
        <f t="shared" ref="E22:E32" si="5">E4*$E$17</f>
        <v>669.43702006086767</v>
      </c>
      <c r="F22" s="447">
        <f t="shared" ref="F22:F32" si="6">F4*$F$17</f>
        <v>24005.52441337538</v>
      </c>
      <c r="G22" s="447">
        <f t="shared" ref="G22:G32" si="7">G4*$G$17</f>
        <v>0</v>
      </c>
      <c r="H22" s="447">
        <f t="shared" ref="H22:H32" si="8">H4*$H$17</f>
        <v>0</v>
      </c>
      <c r="I22" s="447">
        <f t="shared" ref="I22:I32" si="9">I4*$I$17</f>
        <v>0</v>
      </c>
      <c r="J22" s="447">
        <f t="shared" ref="J22:J32" si="10">J4*$J$17</f>
        <v>577.49979046039607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71434.815034907951</v>
      </c>
    </row>
    <row r="23" spans="1:17">
      <c r="A23" s="446" t="s">
        <v>149</v>
      </c>
      <c r="B23" s="447">
        <f t="shared" ca="1" si="2"/>
        <v>16369.31459476107</v>
      </c>
      <c r="C23" s="447">
        <f t="shared" ca="1" si="3"/>
        <v>0</v>
      </c>
      <c r="D23" s="447">
        <f t="shared" ca="1" si="4"/>
        <v>14124.643776634341</v>
      </c>
      <c r="E23" s="447">
        <f t="shared" si="5"/>
        <v>115.76468740474931</v>
      </c>
      <c r="F23" s="447">
        <f t="shared" ca="1" si="6"/>
        <v>3598.6847770222757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34208.407835822436</v>
      </c>
    </row>
    <row r="24" spans="1:17">
      <c r="A24" s="446" t="s">
        <v>187</v>
      </c>
      <c r="B24" s="447">
        <f t="shared" ca="1" si="2"/>
        <v>725.59691497099982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725.59691497099982</v>
      </c>
    </row>
    <row r="25" spans="1:17">
      <c r="A25" s="446" t="s">
        <v>105</v>
      </c>
      <c r="B25" s="447">
        <f t="shared" ca="1" si="2"/>
        <v>111.42292995955697</v>
      </c>
      <c r="C25" s="447">
        <f t="shared" ca="1" si="3"/>
        <v>5.0500000000000007</v>
      </c>
      <c r="D25" s="447">
        <f t="shared" si="4"/>
        <v>12.03528546248562</v>
      </c>
      <c r="E25" s="447">
        <f t="shared" si="5"/>
        <v>1.1738638731845055</v>
      </c>
      <c r="F25" s="447">
        <f t="shared" si="6"/>
        <v>466.46441601251684</v>
      </c>
      <c r="G25" s="447">
        <f t="shared" si="7"/>
        <v>0</v>
      </c>
      <c r="H25" s="447">
        <f t="shared" si="8"/>
        <v>0</v>
      </c>
      <c r="I25" s="447">
        <f t="shared" si="9"/>
        <v>0</v>
      </c>
      <c r="J25" s="447">
        <f t="shared" si="10"/>
        <v>18.494750303974005</v>
      </c>
      <c r="K25" s="447">
        <f t="shared" si="11"/>
        <v>0</v>
      </c>
      <c r="L25" s="447">
        <f t="shared" si="12"/>
        <v>0</v>
      </c>
      <c r="M25" s="447">
        <f t="shared" si="13"/>
        <v>0</v>
      </c>
      <c r="N25" s="447">
        <f t="shared" si="14"/>
        <v>0</v>
      </c>
      <c r="O25" s="447">
        <f t="shared" si="15"/>
        <v>0</v>
      </c>
      <c r="P25" s="448">
        <f t="shared" si="16"/>
        <v>0</v>
      </c>
      <c r="Q25" s="446">
        <f t="shared" ca="1" si="17"/>
        <v>614.64124561171786</v>
      </c>
    </row>
    <row r="26" spans="1:17">
      <c r="A26" s="446" t="s">
        <v>640</v>
      </c>
      <c r="B26" s="447">
        <f t="shared" ca="1" si="2"/>
        <v>5582.5280915707772</v>
      </c>
      <c r="C26" s="447">
        <f t="shared" ca="1" si="3"/>
        <v>0</v>
      </c>
      <c r="D26" s="447">
        <f t="shared" si="4"/>
        <v>9063.3488660802977</v>
      </c>
      <c r="E26" s="447">
        <f t="shared" si="5"/>
        <v>54.397927253837295</v>
      </c>
      <c r="F26" s="447">
        <f t="shared" si="6"/>
        <v>1472.7756793456306</v>
      </c>
      <c r="G26" s="447">
        <f t="shared" si="7"/>
        <v>0</v>
      </c>
      <c r="H26" s="447">
        <f t="shared" si="8"/>
        <v>0</v>
      </c>
      <c r="I26" s="447">
        <f t="shared" si="9"/>
        <v>0</v>
      </c>
      <c r="J26" s="447">
        <f t="shared" si="10"/>
        <v>44.152140420473344</v>
      </c>
      <c r="K26" s="447">
        <f t="shared" si="11"/>
        <v>0</v>
      </c>
      <c r="L26" s="447">
        <f t="shared" si="12"/>
        <v>0</v>
      </c>
      <c r="M26" s="447">
        <f t="shared" si="13"/>
        <v>0</v>
      </c>
      <c r="N26" s="447">
        <f t="shared" si="14"/>
        <v>0</v>
      </c>
      <c r="O26" s="447">
        <f t="shared" si="15"/>
        <v>0</v>
      </c>
      <c r="P26" s="448">
        <f t="shared" si="16"/>
        <v>0</v>
      </c>
      <c r="Q26" s="446">
        <f t="shared" ca="1" si="17"/>
        <v>16217.202704671017</v>
      </c>
    </row>
    <row r="27" spans="1:17" s="452" customFormat="1">
      <c r="A27" s="450" t="s">
        <v>560</v>
      </c>
      <c r="B27" s="723">
        <f t="shared" ca="1" si="2"/>
        <v>3.462140949853783</v>
      </c>
      <c r="C27" s="451">
        <f t="shared" ca="1" si="3"/>
        <v>0</v>
      </c>
      <c r="D27" s="451">
        <f t="shared" si="4"/>
        <v>3.9420637283896474</v>
      </c>
      <c r="E27" s="451">
        <f t="shared" si="5"/>
        <v>323.84078689167654</v>
      </c>
      <c r="F27" s="451">
        <f t="shared" si="6"/>
        <v>0</v>
      </c>
      <c r="G27" s="451">
        <f t="shared" si="7"/>
        <v>82218.388501889436</v>
      </c>
      <c r="H27" s="451">
        <f t="shared" si="8"/>
        <v>12797.718119090821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95347.351612550177</v>
      </c>
    </row>
    <row r="28" spans="1:17">
      <c r="A28" s="446" t="s">
        <v>550</v>
      </c>
      <c r="B28" s="447">
        <f t="shared" ca="1" si="2"/>
        <v>5.1479612575350204</v>
      </c>
      <c r="C28" s="447">
        <f t="shared" ca="1" si="3"/>
        <v>0</v>
      </c>
      <c r="D28" s="447">
        <f t="shared" si="4"/>
        <v>0</v>
      </c>
      <c r="E28" s="447">
        <f t="shared" si="5"/>
        <v>0</v>
      </c>
      <c r="F28" s="447">
        <f t="shared" si="6"/>
        <v>0</v>
      </c>
      <c r="G28" s="447">
        <f t="shared" si="7"/>
        <v>1288.4188599877032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1293.5668212452381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491.60987728847533</v>
      </c>
      <c r="C32" s="447">
        <f t="shared" ca="1" si="3"/>
        <v>0</v>
      </c>
      <c r="D32" s="447">
        <f t="shared" si="4"/>
        <v>1788.6021724861166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2280.2120497745918</v>
      </c>
    </row>
    <row r="33" spans="1:17" s="459" customFormat="1">
      <c r="A33" s="456" t="s">
        <v>554</v>
      </c>
      <c r="B33" s="457">
        <f ca="1">SUM(B22:B32)</f>
        <v>36653.61206933669</v>
      </c>
      <c r="C33" s="457">
        <f t="shared" ref="C33:Q33" ca="1" si="18">SUM(C22:C32)</f>
        <v>5.0500000000000007</v>
      </c>
      <c r="D33" s="457">
        <f t="shared" ca="1" si="18"/>
        <v>57810.396416824515</v>
      </c>
      <c r="E33" s="457">
        <f t="shared" si="18"/>
        <v>1164.6142854843154</v>
      </c>
      <c r="F33" s="457">
        <f t="shared" ca="1" si="18"/>
        <v>29543.449285755803</v>
      </c>
      <c r="G33" s="457">
        <f t="shared" si="18"/>
        <v>83506.807361877145</v>
      </c>
      <c r="H33" s="457">
        <f t="shared" si="18"/>
        <v>12797.718119090821</v>
      </c>
      <c r="I33" s="457">
        <f t="shared" si="18"/>
        <v>0</v>
      </c>
      <c r="J33" s="457">
        <f t="shared" si="18"/>
        <v>640.14668118484337</v>
      </c>
      <c r="K33" s="457">
        <f t="shared" si="18"/>
        <v>0</v>
      </c>
      <c r="L33" s="457">
        <f t="shared" ca="1" si="18"/>
        <v>0</v>
      </c>
      <c r="M33" s="457">
        <f t="shared" si="18"/>
        <v>0</v>
      </c>
      <c r="N33" s="457">
        <f t="shared" ca="1" si="18"/>
        <v>0</v>
      </c>
      <c r="O33" s="457">
        <f t="shared" si="18"/>
        <v>0</v>
      </c>
      <c r="P33" s="457">
        <f t="shared" si="18"/>
        <v>0</v>
      </c>
      <c r="Q33" s="457">
        <f t="shared" ca="1" si="18"/>
        <v>222121.79421955414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6408.4197699132883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4.5</v>
      </c>
      <c r="D8" s="977">
        <f>'SEAP template'!D76</f>
        <v>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1.01</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6408.4197699132883</v>
      </c>
      <c r="C10" s="981">
        <f>SUM(C4:C9)</f>
        <v>4.5</v>
      </c>
      <c r="D10" s="981">
        <f t="shared" ref="D10:H10" si="0">SUM(D8:D9)</f>
        <v>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1.01</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0.21277852961991772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22.5</v>
      </c>
      <c r="D17" s="978">
        <f>'SEAP template'!D87</f>
        <v>25</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5.0500000000000007</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22.5</v>
      </c>
      <c r="D20" s="981">
        <f t="shared" ref="D20:H20" si="2">SUM(D17:D19)</f>
        <v>25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5.0500000000000007</v>
      </c>
    </row>
    <row r="22" spans="1:16">
      <c r="A22" s="460" t="s">
        <v>867</v>
      </c>
      <c r="B22" s="729" t="s">
        <v>861</v>
      </c>
      <c r="C22" s="729">
        <f ca="1">'EF ele_warmte'!B22</f>
        <v>0.22444444444444447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0.21277852961991772</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2022-07-26T12:22:19Z</dcterms:modified>
</cp:coreProperties>
</file>