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BD226AE-09C4-49E1-B51F-8A738F6098B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<sst xmlns="http://schemas.openxmlformats.org/spreadsheetml/2006/main" count="2502" uniqueCount="948">
  <si>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</si>
  <si>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</si>
  <si>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</si>
  <si>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</si>
  <si>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</si>
  <si>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</si>
  <si>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</si>
  <si>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</si>
  <si>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</si>
  <si>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</si>
  <si>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</si>
  <si>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</si>
  <si>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</si>
  <si>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</si>
  <si>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</si>
  <si>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</si>
  <si>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</si>
  <si>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</si>
  <si>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</si>
  <si>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</si>
  <si>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</si>
  <si>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</si>
  <si>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</si>
  <si>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</si>
  <si>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</si>
  <si>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</si>
  <si>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</si>
  <si>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</si>
  <si>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</si>
  <si>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</si>
  <si>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</si>
  <si>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</si>
  <si>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</si>
  <si>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</si>
  <si>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</si>
  <si>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</si>
  <si>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</si>
  <si>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</si>
  <si>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</si>
  <si>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</si>
  <si>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</si>
  <si>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</si>
  <si>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</si>
  <si>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</si>
  <si>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</si>
  <si>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</si>
  <si>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</si>
  <si>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</si>
  <si>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</si>
  <si>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</si>
  <si>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</si>
  <si>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</si>
  <si>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</si>
  <si>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</si>
  <si>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</si>
  <si>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</si>
  <si>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</si>
  <si>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</si>
  <si>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</si>
  <si>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</si>
  <si>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</si>
  <si>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</si>
  <si>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</si>
  <si>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</si>
  <si>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</si>
  <si>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</si>
  <si>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</si>
  <si>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</si>
  <si>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</si>
  <si>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</si>
  <si>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</si>
  <si>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</si>
  <si>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</si>
  <si>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</si>
  <si>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</si>
  <si>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</si>
  <si>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</si>
  <si>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</si>
  <si>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</si>
  <si>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</si>
  <si>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</si>
  <si>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</si>
  <si>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</si>
  <si>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</si>
  <si>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</si>
  <si>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</si>
  <si>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</si>
  <si>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</si>
  <si>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</si>
  <si>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</si>
  <si>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</si>
  <si>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</si>
  <si>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</si>
  <si>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</si>
  <si>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</si>
  <si>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</si>
  <si>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</si>
  <si>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</si>
  <si>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</si>
  <si>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</si>
  <si>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</si>
  <si>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</si>
  <si>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</si>
  <si>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</si>
  <si>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</si>
  <si>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</si>
  <si>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</si>
  <si>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</si>
  <si>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</si>
  <si>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</si>
  <si>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</si>
  <si>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</si>
  <si>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</si>
  <si>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</si>
  <si>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</si>
  <si>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</si>
  <si>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</si>
  <si>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</si>
  <si>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</si>
  <si>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</si>
  <si>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</si>
  <si>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</si>
  <si>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</si>
  <si>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</si>
  <si>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</si>
  <si>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</si>
  <si>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</si>
  <si>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</si>
  <si>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</si>
  <si>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</si>
  <si>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</si>
  <si>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</si>
  <si>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</si>
  <si>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</si>
  <si>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</si>
  <si>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</si>
  <si>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</si>
  <si>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</si>
  <si>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</si>
  <si>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</si>
  <si>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</si>
  <si>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</si>
  <si>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</si>
  <si>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</si>
  <si>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</si>
  <si>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</si>
  <si>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</si>
  <si>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</si>
  <si>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</si>
  <si>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</si>
  <si>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</si>
  <si>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</si>
  <si>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</si>
  <si>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</si>
  <si>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</si>
  <si>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</si>
  <si>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</si>
  <si>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</si>
  <si>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</si>
  <si>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</si>
  <si>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</si>
  <si>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</si>
  <si>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</si>
  <si>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</si>
  <si>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</si>
  <si>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</si>
  <si>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</si>
  <si>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</si>
  <si>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</si>
  <si>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</si>
  <si>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</si>
  <si>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</si>
  <si>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</si>
  <si>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</si>
  <si>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</si>
  <si>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</si>
  <si>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</si>
  <si>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</si>
  <si>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</si>
  <si>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</si>
  <si>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</si>
  <si>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</si>
  <si>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</si>
  <si>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</si>
  <si>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</si>
  <si>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</si>
  <si>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</si>
  <si>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</si>
  <si>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</si>
  <si>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</si>
  <si>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</si>
  <si>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</si>
  <si>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</si>
  <si>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</si>
  <si>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</si>
  <si>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</si>
  <si>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</si>
  <si>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</si>
  <si>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</si>
  <si>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</si>
  <si>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</si>
  <si>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</si>
  <si>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</si>
  <si>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</si>
  <si>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</si>
  <si>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</si>
  <si>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</si>
  <si>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</si>
  <si>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</si>
  <si>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</si>
  <si>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</si>
  <si>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</si>
  <si>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</si>
  <si>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</si>
  <si>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</si>
  <si>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</si>
  <si>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</si>
  <si>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</si>
  <si>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</si>
  <si>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</si>
  <si>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</si>
  <si>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</si>
  <si>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</si>
  <si>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</si>
  <si>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</si>
  <si>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</si>
  <si>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</si>
  <si>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</si>
  <si>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</si>
  <si>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</si>
  <si>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</si>
  <si>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</si>
  <si>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</si>
  <si>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</si>
  <si>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</si>
  <si>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</si>
  <si>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</si>
  <si>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</si>
  <si>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</si>
  <si>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</si>
  <si>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</si>
  <si>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</si>
  <si>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</si>
  <si>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</si>
  <si>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</si>
  <si>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</si>
  <si>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</si>
  <si>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</si>
  <si>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</si>
  <si>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</si>
  <si>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</si>
  <si>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</si>
  <si>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</si>
  <si>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</si>
  <si>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</si>
  <si>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</si>
  <si>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</si>
  <si>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</si>
  <si>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</si>
  <si>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</si>
  <si>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</si>
  <si>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</si>
  <si>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</si>
  <si>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</si>
  <si>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</si>
  <si>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</si>
  <si>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</si>
  <si>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</si>
  <si>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</si>
  <si>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</si>
  <si>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</si>
  <si>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</si>
  <si>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</si>
  <si>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</si>
  <si>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</si>
  <si>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</si>
  <si>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</si>
  <si>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</si>
  <si>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</si>
  <si>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</si>
  <si>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</si>
  <si>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</si>
  <si>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</si>
  <si>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</si>
  <si>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</si>
  <si>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</si>
  <si>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</si>
  <si>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</si>
  <si>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</si>
  <si>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</si>
  <si>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</si>
  <si>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</si>
  <si>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</si>
  <si>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</si>
  <si>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</si>
  <si>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</si>
  <si>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</si>
  <si>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</si>
  <si>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</si>
  <si>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</si>
  <si>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</si>
  <si>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</si>
  <si>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</si>
  <si>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</si>
  <si>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</si>
  <si>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</si>
  <si>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</si>
  <si>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</si>
  <si>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</si>
  <si>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</si>
  <si>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</si>
  <si>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</si>
  <si>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</si>
  <si>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</si>
  <si>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</si>
  <si>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</si>
  <si>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</si>
  <si>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</si>
  <si>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</si>
  <si>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</si>
  <si>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</si>
  <si>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</si>
  <si>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</si>
  <si>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</si>
  <si>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</si>
  <si>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</si>
  <si>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</si>
  <si>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</si>
  <si>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</si>
  <si>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</si>
  <si>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</si>
  <si>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</si>
  <si>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</si>
  <si>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</si>
  <si>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</si>
  <si>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</si>
  <si>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</si>
  <si>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</si>
  <si>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</si>
  <si>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</si>
  <si>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</si>
  <si>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</si>
  <si>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</si>
  <si>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</si>
  <si>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</si>
  <si>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</si>
  <si>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</si>
  <si>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</si>
  <si>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</si>
  <si>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</si>
  <si>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</si>
  <si>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</si>
  <si>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</si>
  <si>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</si>
  <si>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</si>
  <si>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</si>
  <si>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</si>
  <si>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</si>
  <si>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</si>
  <si>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</si>
  <si>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</si>
  <si>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</si>
  <si>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</si>
  <si>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</si>
  <si>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</si>
  <si>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</si>
  <si>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</si>
  <si>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</si>
  <si>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</si>
  <si>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</si>
  <si>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</si>
  <si>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</si>
  <si>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</si>
  <si>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</si>
  <si>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</si>
  <si>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</si>
  <si>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</si>
  <si>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</si>
  <si>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</si>
  <si>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</si>
  <si>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</si>
  <si>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</si>
  <si>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</si>
  <si>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</si>
  <si>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</si>
  <si>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</si>
  <si>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</si>
  <si>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</si>
  <si>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</si>
  <si>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</si>
  <si>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</si>
  <si>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</si>
  <si>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</si>
  <si>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</si>
  <si>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</si>
  <si>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</si>
  <si>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</si>
  <si>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</si>
  <si>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</si>
  <si>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</si>
  <si>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</si>
  <si>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</si>
  <si>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</si>
  <si>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</si>
  <si>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</si>
  <si>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</si>
  <si>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</si>
  <si>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</si>
  <si>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</si>
  <si>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</si>
  <si>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</si>
  <si>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</si>
  <si>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</si>
  <si>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</si>
  <si>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</si>
  <si>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</si>
  <si>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</si>
  <si>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</si>
  <si>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</si>
  <si>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</si>
  <si>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</si>
  <si>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</si>
  <si>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</si>
  <si>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</si>
  <si>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</si>
  <si>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</si>
  <si>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</si>
  <si>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</si>
  <si>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</si>
  <si>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</si>
  <si>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</si>
  <si>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</si>
  <si>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</si>
  <si>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</si>
  <si>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</si>
  <si>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</si>
  <si>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</si>
  <si>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</si>
  <si>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</si>
  <si>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</si>
  <si>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</si>
  <si>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</si>
  <si>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</si>
  <si>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</si>
  <si>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</si>
  <si>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</si>
  <si>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</si>
  <si>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</si>
  <si>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</si>
  <si>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</si>
  <si>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</si>
  <si>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</si>
  <si>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</si>
  <si>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</si>
  <si>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</si>
  <si>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</si>
  <si>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</si>
  <si>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</si>
  <si>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</si>
  <si>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</si>
  <si>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</si>
  <si>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</si>
  <si>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</si>
  <si>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</si>
  <si>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</si>
  <si>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</si>
  <si>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</si>
  <si>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</si>
  <si>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</si>
  <si>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</si>
  <si>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</si>
  <si>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</si>
  <si>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</si>
  <si>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</si>
  <si>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</si>
  <si>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</si>
  <si>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</si>
  <si>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</si>
  <si>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</si>
  <si>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</si>
  <si>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</si>
  <si>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</si>
  <si>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</si>
  <si>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</si>
  <si>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</si>
  <si>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</si>
  <si>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</si>
  <si>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</si>
  <si>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</si>
  <si>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</si>
  <si>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</si>
  <si>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</si>
  <si>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</si>
  <si>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</si>
  <si>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</si>
  <si>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</si>
  <si>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</si>
  <si>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</si>
  <si>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</si>
  <si>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</si>
  <si>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</si>
  <si>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</si>
  <si>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</si>
  <si>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</si>
  <si>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</si>
  <si>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</si>
  <si>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</si>
  <si>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</si>
  <si>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</si>
  <si>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</si>
  <si>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</si>
  <si>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</si>
  <si>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</si>
  <si>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</si>
  <si>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</si>
  <si>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</si>
  <si>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</si>
  <si>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</si>
  <si>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</si>
  <si>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</si>
  <si>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</si>
  <si>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</si>
  <si>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</si>
  <si>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</si>
  <si>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</si>
  <si>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</si>
  <si>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</si>
  <si>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</si>
  <si>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</si>
  <si>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</si>
  <si>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</si>
  <si>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</si>
  <si>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</si>
  <si>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</si>
  <si>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</si>
  <si>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</si>
  <si>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</si>
  <si>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</si>
  <si>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</si>
  <si>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</si>
  <si>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</si>
  <si>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</si>
  <si>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</si>
  <si>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</si>
  <si>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</si>
  <si>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</si>
  <si>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</si>
  <si>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</si>
  <si>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</si>
  <si>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</si>
  <si>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</si>
  <si>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</si>
  <si>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</si>
  <si>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</si>
  <si>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</si>
  <si>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</si>
  <si>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</si>
  <si>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</si>
  <si>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</si>
  <si>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</si>
  <si>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</si>
  <si>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</si>
  <si>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</si>
  <si>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</si>
  <si>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</si>
  <si>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</si>
  <si>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</si>
  <si>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</si>
  <si>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</si>
  <si>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</si>
  <si>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</si>
  <si>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</si>
  <si>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</si>
  <si>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</si>
  <si>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</si>
  <si>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</si>
  <si>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</si>
  <si>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</si>
  <si>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</si>
  <si>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</si>
  <si>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</si>
  <si>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</si>
  <si>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</si>
  <si>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</si>
  <si>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</si>
  <si>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</si>
  <si>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</si>
  <si>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</si>
  <si>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</si>
  <si>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</si>
  <si>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</si>
  <si>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</si>
  <si>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</si>
  <si>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</si>
  <si>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</si>
  <si>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</si>
  <si>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</si>
  <si>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</si>
  <si>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</si>
  <si>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</si>
  <si>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</si>
  <si>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</si>
  <si>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</si>
  <si>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</si>
  <si>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</si>
  <si>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</si>
  <si>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</si>
  <si>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</si>
  <si>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</si>
  <si>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</si>
  <si>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</si>
  <si>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</si>
  <si>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</si>
  <si>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</si>
  <si>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</si>
  <si>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</si>
  <si>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</si>
  <si>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</si>
  <si>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</si>
  <si>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</si>
  <si>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</si>
  <si>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</si>
  <si>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</si>
  <si>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</si>
  <si>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</si>
  <si>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</si>
  <si>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</si>
  <si>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</si>
  <si>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</si>
  <si>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</si>
  <si>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</si>
  <si>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</si>
  <si>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</si>
  <si>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</si>
  <si>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</si>
  <si>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</si>
  <si>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</si>
  <si>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</si>
  <si>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</si>
  <si>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</si>
  <si>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</si>
  <si>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</si>
  <si>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</si>
  <si>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</si>
  <si>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</si>
  <si>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</si>
  <si>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</si>
  <si>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</si>
  <si>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</si>
  <si>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</si>
  <si>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</si>
  <si>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</si>
  <si>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</si>
  <si>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</si>
  <si>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</si>
  <si>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</si>
  <si>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</si>
  <si>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</si>
  <si>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</si>
  <si>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</si>
  <si>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</si>
  <si>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</si>
  <si>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</si>
  <si>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</si>
  <si>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</si>
  <si>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</si>
  <si>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</si>
  <si>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</si>
  <si>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</si>
  <si>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</si>
  <si>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</si>
  <si>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</si>
  <si>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</si>
  <si>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</si>
  <si>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</si>
  <si>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</si>
  <si>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</si>
  <si>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</si>
  <si>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</si>
  <si>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</si>
  <si>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</si>
  <si>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</si>
  <si>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</si>
  <si>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</si>
  <si>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</si>
  <si>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</si>
  <si>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</si>
  <si>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</si>
  <si>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</si>
  <si>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</si>
  <si>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</si>
  <si>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</si>
  <si>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</si>
  <si>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</si>
  <si>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</si>
  <si>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</si>
  <si>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</si>
  <si>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</si>
  <si>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</si>
  <si>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</si>
  <si>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</si>
  <si>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</si>
  <si>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</si>
  <si>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</si>
  <si>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</si>
  <si>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</si>
  <si>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</si>
  <si>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</si>
  <si>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</si>
  <si>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</si>
  <si>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</si>
  <si>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</si>
  <si>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</si>
  <si>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</si>
  <si>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</si>
  <si>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</si>
  <si>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</si>
  <si>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</si>
  <si>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</si>
  <si>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</si>
  <si>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</si>
  <si>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</si>
  <si>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</si>
  <si>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</si>
  <si>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</si>
  <si>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</si>
  <si>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</si>
  <si>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</si>
  <si>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</si>
  <si>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</si>
  <si>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</si>
  <si>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</si>
  <si>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</si>
  <si>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</si>
  <si>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</si>
  <si>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</si>
  <si>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</si>
  <si>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</si>
  <si>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</si>
  <si>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</si>
  <si>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</si>
  <si>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</si>
  <si>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</si>
  <si>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</si>
  <si>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</si>
  <si>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</si>
  <si>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</si>
  <si>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</si>
  <si>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</si>
  <si>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</si>
  <si>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</si>
  <si>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</si>
  <si>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</si>
  <si>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</si>
  <si>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</si>
  <si>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</si>
  <si>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</si>
  <si>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</si>
  <si>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</si>
  <si>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</si>
  <si>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</si>
  <si>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</si>
  <si>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</si>
  <si>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</si>
  <si>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</si>
  <si>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</si>
  <si>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</si>
  <si>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</si>
  <si>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</si>
  <si>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</si>
  <si>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</si>
  <si>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</si>
  <si>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</si>
  <si>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</si>
  <si>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</si>
  <si>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</si>
  <si>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</si>
  <si>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</si>
  <si>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</si>
  <si>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</si>
  <si>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</si>
  <si>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</si>
  <si>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</si>
  <si>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</si>
  <si>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</si>
  <si>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</si>
  <si>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</si>
  <si>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</si>
  <si>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</si>
  <si>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</si>
  <si>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</si>
  <si>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</si>
  <si>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</si>
  <si>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</si>
  <si>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</si>
  <si>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</si>
  <si>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</si>
  <si>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</si>
  <si>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</si>
  <si>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</si>
  <si>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</si>
  <si>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</si>
  <si>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</si>
  <si>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</si>
  <si>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</si>
  <si>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</si>
  <si>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</si>
  <si>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</si>
  <si>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</si>
  <si>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</si>
  <si>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</si>
  <si>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</si>
  <si>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</si>
  <si>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</si>
  <si>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</si>
  <si>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</si>
  <si>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</si>
  <si>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</si>
  <si>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</si>
  <si>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</si>
  <si>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</si>
  <si>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</si>
  <si>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</si>
  <si>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</si>
  <si>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</si>
  <si>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</si>
  <si>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</si>
  <si>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</si>
  <si>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</si>
  <si>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</si>
  <si>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</si>
  <si>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</si>
  <si>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</si>
  <si>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</si>
  <si>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</si>
  <si>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</si>
  <si>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</si>
  <si>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</si>
  <si>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</si>
  <si>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</si>
  <si>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</si>
  <si>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</si>
  <si>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</si>
  <si>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</si>
  <si>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</si>
  <si>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</si>
  <si>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</si>
  <si>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</si>
  <si>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</si>
  <si>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</si>
  <si>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</si>
  <si>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</si>
  <si>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</si>
  <si>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</si>
  <si>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</si>
  <si>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</si>
  <si>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</si>
  <si>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</si>
  <si>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</si>
  <si>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</si>
  <si>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</si>
  <si>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</si>
  <si>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</si>
  <si>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</si>
  <si>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</si>
  <si>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</si>
  <si>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</si>
  <si>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</si>
  <si>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</si>
  <si>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</si>
  <si>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</si>
  <si>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</si>
  <si>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</si>
  <si>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</si>
  <si>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</si>
  <si>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</si>
  <si>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</si>
  <si>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</si>
  <si>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</si>
  <si>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</si>
  <si>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</si>
  <si>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</si>
  <si>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</si>
  <si>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</si>
  <si>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</si>
  <si>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</si>
  <si>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</si>
  <si>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</si>
  <si>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</si>
  <si>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</si>
  <si>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</si>
  <si>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</si>
  <si>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</si>
  <si>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</si>
  <si>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</si>
  <si>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</si>
  <si>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</si>
  <si>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</si>
  <si>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</si>
  <si>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</si>
  <si>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</si>
  <si>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</si>
  <si>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</si>
  <si>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</si>
  <si>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</si>
  <si>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</si>
  <si>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</si>
  <si>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</si>
  <si>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</si>
  <si>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</si>
  <si>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</si>
  <si>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</si>
  <si>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</si>
  <si>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</si>
  <si>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</si>
  <si>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</si>
  <si>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</si>
  <si>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</si>
  <si>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</si>
  <si>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</si>
  <si>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</si>
  <si>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</si>
  <si>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</si>
  <si>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</si>
  <si>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</si>
  <si>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</si>
  <si>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</si>
  <si>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</si>
  <si>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</si>
  <si>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</si>
  <si>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</si>
  <si>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</si>
  <si>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</si>
  <si>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</si>
  <si>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</si>
  <si>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</si>
  <si>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</si>
  <si>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13029</t>
  </si>
  <si>
    <t>OLEN</t>
  </si>
  <si>
    <t>Paarden&amp;pony's 200 - 600 kg</t>
  </si>
  <si>
    <t>Paarden&amp;pony's &lt; 200 kg</t>
  </si>
  <si>
    <t>vloeibaar gas (MWh)</t>
  </si>
  <si>
    <t>interne verbrandingsmotor</t>
  </si>
  <si>
    <t>WKK interne verbrandinsgmotor (gas)</t>
  </si>
  <si>
    <t>IVEKA</t>
  </si>
  <si>
    <t>Iveka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</si>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</sst>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05E0F8E-EB25-4193-B2BC-46AAA5723AF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13029</v>
      </c>
      <c r="B6" s="384"/>
      <c r="C6" s="385"/>
    </row>
    <row r="7" spans="1:7" s="382" customFormat="1" ht="15.75" customHeight="1">
      <c r="A7" s="386" t="str">
        <f>txtMunicipality</f>
        <v>OLEN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0.20740372419078826</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0.20740372419078826</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4895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656</v>
      </c>
      <c r="C14" s="327"/>
      <c r="D14" s="327"/>
      <c r="E14" s="327"/>
      <c r="F14" s="327"/>
    </row>
    <row r="15" spans="1:6">
      <c r="A15" s="1258" t="s">
        <v>177</v>
      </c>
      <c r="B15" s="1259">
        <v>312</v>
      </c>
      <c r="C15" s="327"/>
      <c r="D15" s="327"/>
      <c r="E15" s="327"/>
      <c r="F15" s="327"/>
    </row>
    <row r="16" spans="1:6">
      <c r="A16" s="1258" t="s">
        <v>6</v>
      </c>
      <c r="B16" s="1259">
        <v>502</v>
      </c>
      <c r="C16" s="327"/>
      <c r="D16" s="327"/>
      <c r="E16" s="327"/>
      <c r="F16" s="327"/>
    </row>
    <row r="17" spans="1:6">
      <c r="A17" s="1258" t="s">
        <v>7</v>
      </c>
      <c r="B17" s="1259">
        <v>71</v>
      </c>
      <c r="C17" s="327"/>
      <c r="D17" s="327"/>
      <c r="E17" s="327"/>
      <c r="F17" s="327"/>
    </row>
    <row r="18" spans="1:6">
      <c r="A18" s="1258" t="s">
        <v>8</v>
      </c>
      <c r="B18" s="1259">
        <v>269</v>
      </c>
      <c r="C18" s="327"/>
      <c r="D18" s="327"/>
      <c r="E18" s="327"/>
      <c r="F18" s="327"/>
    </row>
    <row r="19" spans="1:6">
      <c r="A19" s="1258" t="s">
        <v>9</v>
      </c>
      <c r="B19" s="1259">
        <v>219</v>
      </c>
      <c r="C19" s="327"/>
      <c r="D19" s="327"/>
      <c r="E19" s="327"/>
      <c r="F19" s="327"/>
    </row>
    <row r="20" spans="1:6">
      <c r="A20" s="1258" t="s">
        <v>10</v>
      </c>
      <c r="B20" s="1259">
        <v>114</v>
      </c>
      <c r="C20" s="327"/>
      <c r="D20" s="327"/>
      <c r="E20" s="327"/>
      <c r="F20" s="327"/>
    </row>
    <row r="21" spans="1:6">
      <c r="A21" s="1258" t="s">
        <v>11</v>
      </c>
      <c r="B21" s="1259">
        <v>456</v>
      </c>
      <c r="C21" s="327"/>
      <c r="D21" s="327"/>
      <c r="E21" s="327"/>
      <c r="F21" s="327"/>
    </row>
    <row r="22" spans="1:6">
      <c r="A22" s="1258" t="s">
        <v>12</v>
      </c>
      <c r="B22" s="1259">
        <v>2054</v>
      </c>
      <c r="C22" s="327"/>
      <c r="D22" s="327"/>
      <c r="E22" s="327"/>
      <c r="F22" s="327"/>
    </row>
    <row r="23" spans="1:6">
      <c r="A23" s="1258" t="s">
        <v>13</v>
      </c>
      <c r="B23" s="1259">
        <v>59</v>
      </c>
      <c r="C23" s="327"/>
      <c r="D23" s="327"/>
      <c r="E23" s="327"/>
      <c r="F23" s="327"/>
    </row>
    <row r="24" spans="1:6">
      <c r="A24" s="1258" t="s">
        <v>14</v>
      </c>
      <c r="B24" s="1259">
        <v>2</v>
      </c>
      <c r="C24" s="327"/>
      <c r="D24" s="327"/>
      <c r="E24" s="327"/>
      <c r="F24" s="327"/>
    </row>
    <row r="25" spans="1:6">
      <c r="A25" s="1258" t="s">
        <v>15</v>
      </c>
      <c r="B25" s="1259">
        <v>152</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74</v>
      </c>
      <c r="C29" s="327"/>
      <c r="D29" s="327"/>
      <c r="E29" s="327"/>
      <c r="F29" s="327"/>
    </row>
    <row r="30" spans="1:6">
      <c r="A30" s="1253" t="s">
        <v>940</v>
      </c>
      <c r="B30" s="1261">
        <v>32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9699.6230880153998</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2181.1006248344002</v>
      </c>
    </row>
    <row r="39" spans="1:6">
      <c r="A39" s="1258" t="s">
        <v>29</v>
      </c>
      <c r="B39" s="1258" t="s">
        <v>30</v>
      </c>
      <c r="C39" s="1259">
        <v>3204</v>
      </c>
      <c r="D39" s="1259">
        <v>60269503.747370698</v>
      </c>
      <c r="E39" s="1259">
        <v>4822</v>
      </c>
      <c r="F39" s="1259">
        <v>18210184.052455999</v>
      </c>
    </row>
    <row r="40" spans="1:6">
      <c r="A40" s="1258" t="s">
        <v>29</v>
      </c>
      <c r="B40" s="1258" t="s">
        <v>28</v>
      </c>
      <c r="C40" s="1259">
        <v>0</v>
      </c>
      <c r="D40" s="1259">
        <v>0</v>
      </c>
      <c r="E40" s="1259">
        <v>0</v>
      </c>
      <c r="F40" s="1259">
        <v>0</v>
      </c>
    </row>
    <row r="41" spans="1:6">
      <c r="A41" s="1258" t="s">
        <v>31</v>
      </c>
      <c r="B41" s="1258" t="s">
        <v>32</v>
      </c>
      <c r="C41" s="1259">
        <v>35</v>
      </c>
      <c r="D41" s="1259">
        <v>1997280.8854249499</v>
      </c>
      <c r="E41" s="1259">
        <v>81</v>
      </c>
      <c r="F41" s="1259">
        <v>2084950.9789050601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108508.25166792401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136484.36252229399</v>
      </c>
    </row>
    <row r="48" spans="1:6">
      <c r="A48" s="1258" t="s">
        <v>31</v>
      </c>
      <c r="B48" s="1258" t="s">
        <v>28</v>
      </c>
      <c r="C48" s="1259">
        <v>36</v>
      </c>
      <c r="D48" s="1259">
        <v>101459461.69940899</v>
      </c>
      <c r="E48" s="1259">
        <v>45</v>
      </c>
      <c r="F48" s="1259">
        <v>45486234.129601099</v>
      </c>
    </row>
    <row r="49" spans="1:6">
      <c r="A49" s="1258" t="s">
        <v>31</v>
      </c>
      <c r="B49" s="1258" t="s">
        <v>39</v>
      </c>
      <c r="C49" s="1259">
        <v>0</v>
      </c>
      <c r="D49" s="1259">
        <v>0</v>
      </c>
      <c r="E49" s="1259">
        <v>0</v>
      </c>
      <c r="F49" s="1259">
        <v>0</v>
      </c>
    </row>
    <row r="50" spans="1:6">
      <c r="A50" s="1258" t="s">
        <v>31</v>
      </c>
      <c r="B50" s="1258" t="s">
        <v>40</v>
      </c>
      <c r="C50" s="1259">
        <v>8</v>
      </c>
      <c r="D50" s="1259">
        <v>17816722.718233801</v>
      </c>
      <c r="E50" s="1259">
        <v>16</v>
      </c>
      <c r="F50" s="1259">
        <v>25813334.3963219</v>
      </c>
    </row>
    <row r="51" spans="1:6">
      <c r="A51" s="1258" t="s">
        <v>41</v>
      </c>
      <c r="B51" s="1258" t="s">
        <v>42</v>
      </c>
      <c r="C51" s="1259">
        <v>3</v>
      </c>
      <c r="D51" s="1259">
        <v>46933.704274776799</v>
      </c>
      <c r="E51" s="1259">
        <v>17</v>
      </c>
      <c r="F51" s="1259">
        <v>285907.66879890801</v>
      </c>
    </row>
    <row r="52" spans="1:6">
      <c r="A52" s="1258" t="s">
        <v>41</v>
      </c>
      <c r="B52" s="1258" t="s">
        <v>28</v>
      </c>
      <c r="C52" s="1259">
        <v>4</v>
      </c>
      <c r="D52" s="1259">
        <v>23086153.714956701</v>
      </c>
      <c r="E52" s="1259">
        <v>8</v>
      </c>
      <c r="F52" s="1259">
        <v>234268.38777647301</v>
      </c>
    </row>
    <row r="53" spans="1:6">
      <c r="A53" s="1258" t="s">
        <v>43</v>
      </c>
      <c r="B53" s="1258" t="s">
        <v>44</v>
      </c>
      <c r="C53" s="1259">
        <v>69</v>
      </c>
      <c r="D53" s="1259">
        <v>2071255.6940836899</v>
      </c>
      <c r="E53" s="1259">
        <v>126</v>
      </c>
      <c r="F53" s="1259">
        <v>700420.95682169998</v>
      </c>
    </row>
    <row r="54" spans="1:6">
      <c r="A54" s="1258" t="s">
        <v>45</v>
      </c>
      <c r="B54" s="1258" t="s">
        <v>46</v>
      </c>
      <c r="C54" s="1259">
        <v>0</v>
      </c>
      <c r="D54" s="1259">
        <v>0</v>
      </c>
      <c r="E54" s="1259">
        <v>1</v>
      </c>
      <c r="F54" s="1259">
        <v>642854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13</v>
      </c>
      <c r="D57" s="1259">
        <v>402428.55478742498</v>
      </c>
      <c r="E57" s="1259">
        <v>71</v>
      </c>
      <c r="F57" s="1259">
        <v>1088742.42495625</v>
      </c>
    </row>
    <row r="58" spans="1:6">
      <c r="A58" s="1258" t="s">
        <v>48</v>
      </c>
      <c r="B58" s="1258" t="s">
        <v>50</v>
      </c>
      <c r="C58" s="1259">
        <v>6</v>
      </c>
      <c r="D58" s="1259">
        <v>264718.48189636902</v>
      </c>
      <c r="E58" s="1259">
        <v>10</v>
      </c>
      <c r="F58" s="1259">
        <v>69535.489785476093</v>
      </c>
    </row>
    <row r="59" spans="1:6">
      <c r="A59" s="1258" t="s">
        <v>48</v>
      </c>
      <c r="B59" s="1258" t="s">
        <v>51</v>
      </c>
      <c r="C59" s="1259">
        <v>58</v>
      </c>
      <c r="D59" s="1259">
        <v>5810280.3762351396</v>
      </c>
      <c r="E59" s="1259">
        <v>140</v>
      </c>
      <c r="F59" s="1259">
        <v>7757816.7193186702</v>
      </c>
    </row>
    <row r="60" spans="1:6">
      <c r="A60" s="1258" t="s">
        <v>48</v>
      </c>
      <c r="B60" s="1258" t="s">
        <v>52</v>
      </c>
      <c r="C60" s="1259">
        <v>42</v>
      </c>
      <c r="D60" s="1259">
        <v>2698629.7627782999</v>
      </c>
      <c r="E60" s="1259">
        <v>59</v>
      </c>
      <c r="F60" s="1259">
        <v>2787860.9191854699</v>
      </c>
    </row>
    <row r="61" spans="1:6">
      <c r="A61" s="1258" t="s">
        <v>48</v>
      </c>
      <c r="B61" s="1258" t="s">
        <v>53</v>
      </c>
      <c r="C61" s="1259">
        <v>55</v>
      </c>
      <c r="D61" s="1259">
        <v>3368314.1199804801</v>
      </c>
      <c r="E61" s="1259">
        <v>121</v>
      </c>
      <c r="F61" s="1259">
        <v>2423728.8425616999</v>
      </c>
    </row>
    <row r="62" spans="1:6">
      <c r="A62" s="1258" t="s">
        <v>48</v>
      </c>
      <c r="B62" s="1258" t="s">
        <v>54</v>
      </c>
      <c r="C62" s="1259">
        <v>0</v>
      </c>
      <c r="D62" s="1259">
        <v>0</v>
      </c>
      <c r="E62" s="1259">
        <v>4</v>
      </c>
      <c r="F62" s="1259">
        <v>89833.835023395004</v>
      </c>
    </row>
    <row r="63" spans="1:6">
      <c r="A63" s="1258" t="s">
        <v>48</v>
      </c>
      <c r="B63" s="1258" t="s">
        <v>28</v>
      </c>
      <c r="C63" s="1259">
        <v>92</v>
      </c>
      <c r="D63" s="1259">
        <v>5254684.0864151996</v>
      </c>
      <c r="E63" s="1259">
        <v>104</v>
      </c>
      <c r="F63" s="1259">
        <v>7862384.2710071802</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11098</v>
      </c>
    </row>
    <row r="66" spans="1:6">
      <c r="A66" s="1258" t="s">
        <v>55</v>
      </c>
      <c r="B66" s="1258" t="s">
        <v>57</v>
      </c>
      <c r="C66" s="1259">
        <v>0</v>
      </c>
      <c r="D66" s="1259">
        <v>0</v>
      </c>
      <c r="E66" s="1259">
        <v>0</v>
      </c>
      <c r="F66" s="1259">
        <v>0</v>
      </c>
    </row>
    <row r="67" spans="1:6">
      <c r="A67" s="1258" t="s">
        <v>55</v>
      </c>
      <c r="B67" s="1258" t="s">
        <v>58</v>
      </c>
      <c r="C67" s="1259">
        <v>0</v>
      </c>
      <c r="D67" s="1259">
        <v>0</v>
      </c>
      <c r="E67" s="1259">
        <v>3</v>
      </c>
      <c r="F67" s="1259">
        <v>8465.8033216699005</v>
      </c>
    </row>
    <row r="68" spans="1:6">
      <c r="A68" s="1253" t="s">
        <v>55</v>
      </c>
      <c r="B68" s="1253" t="s">
        <v>59</v>
      </c>
      <c r="C68" s="1261">
        <v>7</v>
      </c>
      <c r="D68" s="1261">
        <v>276823.41186673398</v>
      </c>
      <c r="E68" s="1261">
        <v>11</v>
      </c>
      <c r="F68" s="1261">
        <v>215091.242841862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75043598</v>
      </c>
      <c r="E73" s="445"/>
      <c r="F73" s="327"/>
    </row>
    <row r="74" spans="1:6">
      <c r="A74" s="1258" t="s">
        <v>63</v>
      </c>
      <c r="B74" s="1258" t="s">
        <v>724</v>
      </c>
      <c r="C74" s="1271" t="s">
        <v>718</v>
      </c>
      <c r="D74" s="1259">
        <v>5715304.422696271</v>
      </c>
      <c r="E74" s="445"/>
      <c r="F74" s="327"/>
    </row>
    <row r="75" spans="1:6">
      <c r="A75" s="1258" t="s">
        <v>64</v>
      </c>
      <c r="B75" s="1258" t="s">
        <v>723</v>
      </c>
      <c r="C75" s="1271" t="s">
        <v>719</v>
      </c>
      <c r="D75" s="1259">
        <v>7545423</v>
      </c>
      <c r="E75" s="445"/>
      <c r="F75" s="327"/>
    </row>
    <row r="76" spans="1:6">
      <c r="A76" s="1258" t="s">
        <v>64</v>
      </c>
      <c r="B76" s="1258" t="s">
        <v>724</v>
      </c>
      <c r="C76" s="1271" t="s">
        <v>720</v>
      </c>
      <c r="D76" s="1259">
        <v>449815.42269627075</v>
      </c>
      <c r="E76" s="445"/>
      <c r="F76" s="327"/>
    </row>
    <row r="77" spans="1:6">
      <c r="A77" s="1258" t="s">
        <v>65</v>
      </c>
      <c r="B77" s="1258" t="s">
        <v>723</v>
      </c>
      <c r="C77" s="1271" t="s">
        <v>721</v>
      </c>
      <c r="D77" s="1259">
        <v>63002911</v>
      </c>
      <c r="E77" s="445"/>
      <c r="F77" s="327"/>
    </row>
    <row r="78" spans="1:6">
      <c r="A78" s="1253" t="s">
        <v>65</v>
      </c>
      <c r="B78" s="1253" t="s">
        <v>724</v>
      </c>
      <c r="C78" s="1253" t="s">
        <v>722</v>
      </c>
      <c r="D78" s="1261">
        <v>9083537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190263.15460745853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2288.2725016916092</v>
      </c>
      <c r="C91" s="327"/>
      <c r="D91" s="327"/>
      <c r="E91" s="327"/>
      <c r="F91" s="327"/>
    </row>
    <row r="92" spans="1:6">
      <c r="A92" s="1253" t="s">
        <v>68</v>
      </c>
      <c r="B92" s="1254">
        <v>4479.4768313679278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1860</v>
      </c>
      <c r="C97" s="327"/>
      <c r="D97" s="327"/>
      <c r="E97" s="327"/>
      <c r="F97" s="327"/>
    </row>
    <row r="98" spans="1:6">
      <c r="A98" s="1258" t="s">
        <v>71</v>
      </c>
      <c r="B98" s="1259">
        <v>2</v>
      </c>
      <c r="C98" s="327"/>
      <c r="D98" s="327"/>
      <c r="E98" s="327"/>
      <c r="F98" s="327"/>
    </row>
    <row r="99" spans="1:6">
      <c r="A99" s="1258" t="s">
        <v>72</v>
      </c>
      <c r="B99" s="1259">
        <v>106</v>
      </c>
      <c r="C99" s="327"/>
      <c r="D99" s="327"/>
      <c r="E99" s="327"/>
      <c r="F99" s="327"/>
    </row>
    <row r="100" spans="1:6">
      <c r="A100" s="1258" t="s">
        <v>73</v>
      </c>
      <c r="B100" s="1259">
        <v>136</v>
      </c>
      <c r="C100" s="327"/>
      <c r="D100" s="327"/>
      <c r="E100" s="327"/>
      <c r="F100" s="327"/>
    </row>
    <row r="101" spans="1:6">
      <c r="A101" s="1258" t="s">
        <v>74</v>
      </c>
      <c r="B101" s="1259">
        <v>70</v>
      </c>
      <c r="C101" s="327"/>
      <c r="D101" s="327"/>
      <c r="E101" s="327"/>
      <c r="F101" s="327"/>
    </row>
    <row r="102" spans="1:6">
      <c r="A102" s="1258" t="s">
        <v>75</v>
      </c>
      <c r="B102" s="1259">
        <v>52</v>
      </c>
      <c r="C102" s="327"/>
      <c r="D102" s="327"/>
      <c r="E102" s="327"/>
      <c r="F102" s="327"/>
    </row>
    <row r="103" spans="1:6">
      <c r="A103" s="1258" t="s">
        <v>76</v>
      </c>
      <c r="B103" s="1259">
        <v>136</v>
      </c>
      <c r="C103" s="327"/>
      <c r="D103" s="327"/>
      <c r="E103" s="327"/>
      <c r="F103" s="327"/>
    </row>
    <row r="104" spans="1:6">
      <c r="A104" s="1258" t="s">
        <v>77</v>
      </c>
      <c r="B104" s="1259">
        <v>1749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12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107</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119115.78984891265</v>
      </c>
      <c r="C3" s="44" t="s">
        <v>163</v>
      </c>
      <c r="D3" s="44"/>
      <c r="E3" s="157"/>
      <c r="F3" s="44"/>
      <c r="G3" s="44"/>
      <c r="H3" s="44"/>
      <c r="I3" s="44"/>
      <c r="J3" s="44"/>
      <c r="K3" s="97"/>
    </row>
    <row r="4" spans="1:11">
      <c r="A4" s="352" t="s">
        <v>164</v>
      </c>
      <c r="B4" s="50">
        <f>IF(ISERROR('SEAP template'!B78+'SEAP template'!C78),0,'SEAP template'!B78+'SEAP template'!C78)</f>
        <v>14102.749333059537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1497.1764705882354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0.20740372419078826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2138.8235294117649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9000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642.85400000000004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642.85400000000004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0.20740372419078826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133.33031371094501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18210.184052455999</v>
      </c>
      <c r="C5" s="18">
        <f>IF(ISERROR('Eigen informatie GS &amp; warmtenet'!B57),0,'Eigen informatie GS &amp; warmtenet'!B57)</f>
        <v>0</v>
      </c>
      <c r="D5" s="31">
        <f>(SUM(HH_hh_gas_kWh,HH_rest_gas_kWh)/1000)*0.902</f>
        <v>54363.092380128372</v>
      </c>
      <c r="E5" s="18">
        <f>B32*B41</f>
        <v>954.00648763433639</v>
      </c>
      <c r="F5" s="18">
        <f>B36*B45</f>
        <v>29084.888044883388</v>
      </c>
      <c r="G5" s="19"/>
      <c r="H5" s="18"/>
      <c r="I5" s="18"/>
      <c r="J5" s="18">
        <f>B35*B44+C35*C44</f>
        <v>527.73515906633872</v>
      </c>
      <c r="K5" s="18"/>
      <c r="L5" s="18"/>
      <c r="M5" s="18"/>
      <c r="N5" s="18">
        <f>B34*B43+C34*C43</f>
        <v>6960.1610844371589</v>
      </c>
      <c r="O5" s="18">
        <f>B52*B53*B54</f>
        <v>186.03666666666666</v>
      </c>
      <c r="P5" s="18">
        <f>B60*B61*B62/1000-B60*B61*B62/1000/B63</f>
        <v>324.13333333333333</v>
      </c>
    </row>
    <row r="6" spans="1:16">
      <c r="A6" s="17" t="s">
        <v>597</v>
      </c>
      <c r="B6" s="731">
        <f>kWh_PV_kleiner_dan_10kW</f>
        <v>2288.2725016916092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20498.456554147608</v>
      </c>
      <c r="C8" s="22">
        <f>C5</f>
        <v>0</v>
      </c>
      <c r="D8" s="22">
        <f>D5</f>
        <v>54363.092380128372</v>
      </c>
      <c r="E8" s="22">
        <f>E5</f>
        <v>954.00648763433639</v>
      </c>
      <c r="F8" s="22">
        <f>F5</f>
        <v>29084.888044883388</v>
      </c>
      <c r="G8" s="22"/>
      <c r="H8" s="22"/>
      <c r="I8" s="22"/>
      <c r="J8" s="22">
        <f>J5</f>
        <v>527.73515906633872</v>
      </c>
      <c r="K8" s="22"/>
      <c r="L8" s="22">
        <f>L5</f>
        <v>0</v>
      </c>
      <c r="M8" s="22">
        <f>M5</f>
        <v>0</v>
      </c>
      <c r="N8" s="22">
        <f>N5</f>
        <v>6960.1610844371589</v>
      </c>
      <c r="O8" s="22">
        <f>O5</f>
        <v>186.03666666666666</v>
      </c>
      <c r="P8" s="22">
        <f>P5</f>
        <v>324.13333333333333</v>
      </c>
    </row>
    <row r="9" spans="1:16">
      <c r="B9" s="20"/>
      <c r="C9" s="20"/>
      <c r="D9" s="258"/>
      <c r="E9" s="20"/>
      <c r="F9" s="20"/>
      <c r="G9" s="20"/>
      <c r="H9" s="20"/>
      <c r="I9" s="20"/>
      <c r="J9" s="20"/>
      <c r="K9" s="20"/>
      <c r="L9" s="20"/>
      <c r="M9" s="20"/>
      <c r="N9" s="20"/>
      <c r="O9" s="20"/>
      <c r="P9" s="20"/>
    </row>
    <row r="10" spans="1:16">
      <c r="A10" s="25" t="s">
        <v>207</v>
      </c>
      <c r="B10" s="26">
        <f ca="1">'EF ele_warmte'!B12</f>
        <v>0.20740372419078826</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4251.4562294932866</v>
      </c>
      <c r="C12" s="24">
        <f ca="1">C10*C8</f>
        <v>0</v>
      </c>
      <c r="D12" s="24">
        <f>D8*D10</f>
        <v>10981.344660785931</v>
      </c>
      <c r="E12" s="24">
        <f>E10*E8</f>
        <v>216.55947269299438</v>
      </c>
      <c r="F12" s="24">
        <f>F10*F8</f>
        <v>7765.6651079838648</v>
      </c>
      <c r="G12" s="24"/>
      <c r="H12" s="24"/>
      <c r="I12" s="24"/>
      <c r="J12" s="24">
        <f>J10*J8</f>
        <v>186.8182463094839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4895</v>
      </c>
      <c r="C26" s="37"/>
      <c r="D26" s="228"/>
    </row>
    <row r="27" spans="1:5" s="16" customFormat="1">
      <c r="A27" s="230" t="s">
        <v>623</v>
      </c>
      <c r="B27" s="38">
        <f>SUM(HH_hh_gas_aantal,HH_rest_gas_aantal)</f>
        <v>3204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3043.8</v>
      </c>
      <c r="C31" s="35" t="s">
        <v>104</v>
      </c>
      <c r="D31" s="174"/>
    </row>
    <row r="32" spans="1:5">
      <c r="A32" s="171" t="s">
        <v>72</v>
      </c>
      <c r="B32" s="34">
        <f>IF((B21*($B$26-($B$27-0.05*$B$27)-$B$60))&lt;0,0,B21*($B$26-($B$27-0.05*$B$27)-$B$60))</f>
        <v>45.076071328501961</v>
      </c>
      <c r="C32" s="35" t="s">
        <v>104</v>
      </c>
      <c r="D32" s="174"/>
    </row>
    <row r="33" spans="1:6">
      <c r="A33" s="171" t="s">
        <v>73</v>
      </c>
      <c r="B33" s="34">
        <f>IF((B22*($B$26-($B$27-0.05*$B$27)-$B$60))&lt;0,0,B22*($B$26-($B$27-0.05*$B$27)-$B$60))</f>
        <v>303.41482703805536</v>
      </c>
      <c r="C33" s="35" t="s">
        <v>104</v>
      </c>
      <c r="D33" s="174"/>
    </row>
    <row r="34" spans="1:6">
      <c r="A34" s="171" t="s">
        <v>74</v>
      </c>
      <c r="B34" s="34">
        <f>IF((B24*($B$26-($B$27-0.05*$B$27)-$B$60))&lt;0,0,B24*($B$26-($B$27-0.05*$B$27)-$B$60))</f>
        <v>76.952395541914655</v>
      </c>
      <c r="C34" s="34">
        <f>B26*C24</f>
        <v>1001.0388939401087</v>
      </c>
      <c r="D34" s="233"/>
    </row>
    <row r="35" spans="1:6">
      <c r="A35" s="171" t="s">
        <v>76</v>
      </c>
      <c r="B35" s="34">
        <f>IF((B19*($B$26-($B$27-0.05*$B$27)-$B$60))&lt;0,0,B19*($B$26-($B$27-0.05*$B$27)-$B$60))</f>
        <v>28.608465434725169</v>
      </c>
      <c r="C35" s="34">
        <f>B35/2</f>
        <v>14.304232717362584</v>
      </c>
      <c r="D35" s="233"/>
    </row>
    <row r="36" spans="1:6">
      <c r="A36" s="171" t="s">
        <v>77</v>
      </c>
      <c r="B36" s="34">
        <f>IF((B18*($B$26-($B$27-0.05*$B$27)-$B$60))&lt;0,0,B18*($B$26-($B$27-0.05*$B$27)-$B$60))</f>
        <v>1380.1482406568023</v>
      </c>
      <c r="C36" s="35" t="s">
        <v>104</v>
      </c>
      <c r="D36" s="174"/>
    </row>
    <row r="37" spans="1:6">
      <c r="A37" s="171" t="s">
        <v>78</v>
      </c>
      <c r="B37" s="34">
        <f>B60</f>
        <v>17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119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22079.90250183814</v>
      </c>
      <c r="C5" s="18">
        <f>IF(ISERROR('Eigen informatie GS &amp; warmtenet'!B58),0,'Eigen informatie GS &amp; warmtenet'!B58)</f>
        <v>0</v>
      </c>
      <c r="D5" s="31">
        <f>SUM(D6:D12)</f>
        <v>16054.747954647808</v>
      </c>
      <c r="E5" s="18">
        <f>SUM(E6:E12)</f>
        <v>265.62676818856397</v>
      </c>
      <c r="F5" s="18">
        <f>SUM(F6:F12)</f>
        <v>4299.3870191127771</v>
      </c>
      <c r="G5" s="19"/>
      <c r="H5" s="18"/>
      <c r="I5" s="18"/>
      <c r="J5" s="18">
        <f>SUM(J6:J12)</f>
        <v>0</v>
      </c>
      <c r="K5" s="18"/>
      <c r="L5" s="18"/>
      <c r="M5" s="18"/>
      <c r="N5" s="18">
        <f>SUM(N6:N12)</f>
        <v>1026.2646373534262</v>
      </c>
      <c r="O5" s="18">
        <f>B38*B39*B40</f>
        <v>1.5633333333333335</v>
      </c>
      <c r="P5" s="18">
        <f>B46*B47*B48/1000-B46*B47*B48/1000/B49</f>
        <v>19.066666666666666</v>
      </c>
      <c r="R5" s="33"/>
    </row>
    <row r="6" spans="1:18">
      <c r="A6" s="33" t="s">
        <v>53</v>
      </c>
      <c r="B6" s="38">
        <f>B26</f>
        <v>2423.7288425616998</v>
      </c>
      <c r="C6" s="34"/>
      <c r="D6" s="38">
        <f>IF(ISERROR(TER_kantoor_gas_kWh/1000),0,TER_kantoor_gas_kWh/1000)*0.902</f>
        <v>3038.2193362223929</v>
      </c>
      <c r="E6" s="34">
        <f>$C$26*'E Balans VL '!I12/100/3.6*1000000</f>
        <v>3.9592339486300849</v>
      </c>
      <c r="F6" s="34">
        <f>$C$26*('E Balans VL '!L12+'E Balans VL '!N12)/100/3.6*1000000</f>
        <v>284.74458358300853</v>
      </c>
      <c r="G6" s="35"/>
      <c r="H6" s="34"/>
      <c r="I6" s="34"/>
      <c r="J6" s="34">
        <f>$C$26*('E Balans VL '!D12+'E Balans VL '!E12)/100/3.6*1000000</f>
        <v>0</v>
      </c>
      <c r="K6" s="34"/>
      <c r="L6" s="34"/>
      <c r="M6" s="34"/>
      <c r="N6" s="34">
        <f>$C$26*'E Balans VL '!Y12/100/3.6*1000000</f>
        <v>17.647845945064923</v>
      </c>
      <c r="O6" s="34"/>
      <c r="P6" s="34"/>
      <c r="R6" s="33"/>
    </row>
    <row r="7" spans="1:18">
      <c r="A7" s="33" t="s">
        <v>52</v>
      </c>
      <c r="B7" s="38">
        <f t="shared" ref="B7:B12" si="0">B27</f>
        <v>2787.8609191854698</v>
      </c>
      <c r="C7" s="34"/>
      <c r="D7" s="38">
        <f>IF(ISERROR(TER_horeca_gas_kWh/1000),0,TER_horeca_gas_kWh/1000)*0.902</f>
        <v>2434.1640460260264</v>
      </c>
      <c r="E7" s="34">
        <f>$C$27*'E Balans VL '!I9/100/3.6*1000000</f>
        <v>144.23541101979893</v>
      </c>
      <c r="F7" s="34">
        <f>$C$27*('E Balans VL '!L9+'E Balans VL '!N9)/100/3.6*1000000</f>
        <v>634.28160332080722</v>
      </c>
      <c r="G7" s="35"/>
      <c r="H7" s="34"/>
      <c r="I7" s="34"/>
      <c r="J7" s="34">
        <f>$C$27*('E Balans VL '!D9+'E Balans VL '!E9)/100/3.6*1000000</f>
        <v>0</v>
      </c>
      <c r="K7" s="34"/>
      <c r="L7" s="34"/>
      <c r="M7" s="34"/>
      <c r="N7" s="34">
        <f>$C$27*'E Balans VL '!Y9/100/3.6*1000000</f>
        <v>0.29351302818104918</v>
      </c>
      <c r="O7" s="34"/>
      <c r="P7" s="34"/>
      <c r="R7" s="33"/>
    </row>
    <row r="8" spans="1:18">
      <c r="A8" s="6" t="s">
        <v>51</v>
      </c>
      <c r="B8" s="38">
        <f t="shared" si="0"/>
        <v>7757.81671931867</v>
      </c>
      <c r="C8" s="34"/>
      <c r="D8" s="38">
        <f>IF(ISERROR(TER_handel_gas_kWh/1000),0,TER_handel_gas_kWh/1000)*0.902</f>
        <v>5240.8728993640962</v>
      </c>
      <c r="E8" s="34">
        <f>$C$28*'E Balans VL '!I13/100/3.6*1000000</f>
        <v>40.749840817660022</v>
      </c>
      <c r="F8" s="34">
        <f>$C$28*('E Balans VL '!L13+'E Balans VL '!N13)/100/3.6*1000000</f>
        <v>1462.6082638403373</v>
      </c>
      <c r="G8" s="35"/>
      <c r="H8" s="34"/>
      <c r="I8" s="34"/>
      <c r="J8" s="34">
        <f>$C$28*('E Balans VL '!D13+'E Balans VL '!E13)/100/3.6*1000000</f>
        <v>0</v>
      </c>
      <c r="K8" s="34"/>
      <c r="L8" s="34"/>
      <c r="M8" s="34"/>
      <c r="N8" s="34">
        <f>$C$28*'E Balans VL '!Y13/100/3.6*1000000</f>
        <v>38.459718363368985</v>
      </c>
      <c r="O8" s="34"/>
      <c r="P8" s="34"/>
      <c r="R8" s="33"/>
    </row>
    <row r="9" spans="1:18">
      <c r="A9" s="33" t="s">
        <v>50</v>
      </c>
      <c r="B9" s="38">
        <f t="shared" si="0"/>
        <v>69.535489785476088</v>
      </c>
      <c r="C9" s="34"/>
      <c r="D9" s="38">
        <f>IF(ISERROR(TER_gezond_gas_kWh/1000),0,TER_gezond_gas_kWh/1000)*0.902</f>
        <v>238.77607067052489</v>
      </c>
      <c r="E9" s="34">
        <f>$C$29*'E Balans VL '!I10/100/3.6*1000000</f>
        <v>6.172967846946361E-2</v>
      </c>
      <c r="F9" s="34">
        <f>$C$29*('E Balans VL '!L10+'E Balans VL '!N10)/100/3.6*1000000</f>
        <v>21.612687548655575</v>
      </c>
      <c r="G9" s="35"/>
      <c r="H9" s="34"/>
      <c r="I9" s="34"/>
      <c r="J9" s="34">
        <f>$C$29*('E Balans VL '!D10+'E Balans VL '!E10)/100/3.6*1000000</f>
        <v>0</v>
      </c>
      <c r="K9" s="34"/>
      <c r="L9" s="34"/>
      <c r="M9" s="34"/>
      <c r="N9" s="34">
        <f>$C$29*'E Balans VL '!Y10/100/3.6*1000000</f>
        <v>0.53674388287465757</v>
      </c>
      <c r="O9" s="34"/>
      <c r="P9" s="34"/>
      <c r="R9" s="33"/>
    </row>
    <row r="10" spans="1:18">
      <c r="A10" s="33" t="s">
        <v>49</v>
      </c>
      <c r="B10" s="38">
        <f t="shared" si="0"/>
        <v>1088.74242495625</v>
      </c>
      <c r="C10" s="34"/>
      <c r="D10" s="38">
        <f>IF(ISERROR(TER_ander_gas_kWh/1000),0,TER_ander_gas_kWh/1000)*0.902</f>
        <v>362.99055641825731</v>
      </c>
      <c r="E10" s="34">
        <f>$C$30*'E Balans VL '!I14/100/3.6*1000000</f>
        <v>8.8802567051846921</v>
      </c>
      <c r="F10" s="34">
        <f>$C$30*('E Balans VL '!L14+'E Balans VL '!N14)/100/3.6*1000000</f>
        <v>317.34820314379732</v>
      </c>
      <c r="G10" s="35"/>
      <c r="H10" s="34"/>
      <c r="I10" s="34"/>
      <c r="J10" s="34">
        <f>$C$30*('E Balans VL '!D14+'E Balans VL '!E14)/100/3.6*1000000</f>
        <v>0</v>
      </c>
      <c r="K10" s="34"/>
      <c r="L10" s="34"/>
      <c r="M10" s="34"/>
      <c r="N10" s="34">
        <f>$C$30*'E Balans VL '!Y14/100/3.6*1000000</f>
        <v>517.10411961003706</v>
      </c>
      <c r="O10" s="34"/>
      <c r="P10" s="34"/>
      <c r="R10" s="33"/>
    </row>
    <row r="11" spans="1:18">
      <c r="A11" s="33" t="s">
        <v>54</v>
      </c>
      <c r="B11" s="38">
        <f t="shared" si="0"/>
        <v>89.833835023395011</v>
      </c>
      <c r="C11" s="34"/>
      <c r="D11" s="38">
        <f>IF(ISERROR(TER_onderwijs_gas_kWh/1000),0,TER_onderwijs_gas_kWh/1000)*0.902</f>
        <v>0</v>
      </c>
      <c r="E11" s="34">
        <f>$C$31*'E Balans VL '!I11/100/3.6*1000000</f>
        <v>7.4945345579472591E-2</v>
      </c>
      <c r="F11" s="34">
        <f>$C$31*('E Balans VL '!L11+'E Balans VL '!N11)/100/3.6*1000000</f>
        <v>47.010168514038114</v>
      </c>
      <c r="G11" s="35"/>
      <c r="H11" s="34"/>
      <c r="I11" s="34"/>
      <c r="J11" s="34">
        <f>$C$31*('E Balans VL '!D11+'E Balans VL '!E11)/100/3.6*1000000</f>
        <v>0</v>
      </c>
      <c r="K11" s="34"/>
      <c r="L11" s="34"/>
      <c r="M11" s="34"/>
      <c r="N11" s="34">
        <f>$C$31*'E Balans VL '!Y11/100/3.6*1000000</f>
        <v>0.39551887949996889</v>
      </c>
      <c r="O11" s="34"/>
      <c r="P11" s="34"/>
      <c r="R11" s="33"/>
    </row>
    <row r="12" spans="1:18">
      <c r="A12" s="33" t="s">
        <v>249</v>
      </c>
      <c r="B12" s="38">
        <f t="shared" si="0"/>
        <v>7862.3842710071804</v>
      </c>
      <c r="C12" s="34"/>
      <c r="D12" s="38">
        <f>IF(ISERROR(TER_rest_gas_kWh/1000),0,TER_rest_gas_kWh/1000)*0.902</f>
        <v>4739.7250459465104</v>
      </c>
      <c r="E12" s="34">
        <f>$C$32*'E Balans VL '!I8/100/3.6*1000000</f>
        <v>67.665350673241321</v>
      </c>
      <c r="F12" s="34">
        <f>$C$32*('E Balans VL '!L8+'E Balans VL '!N8)/100/3.6*1000000</f>
        <v>1531.7815091621333</v>
      </c>
      <c r="G12" s="35"/>
      <c r="H12" s="34"/>
      <c r="I12" s="34"/>
      <c r="J12" s="34">
        <f>$C$32*('E Balans VL '!D8+'E Balans VL '!E8)/100/3.6*1000000</f>
        <v>0</v>
      </c>
      <c r="K12" s="34"/>
      <c r="L12" s="34"/>
      <c r="M12" s="34"/>
      <c r="N12" s="34">
        <f>$C$32*'E Balans VL '!Y8/100/3.6*1000000</f>
        <v>451.82717764439957</v>
      </c>
      <c r="O12" s="34"/>
      <c r="P12" s="34"/>
      <c r="R12" s="33"/>
    </row>
    <row r="13" spans="1:18">
      <c r="A13" s="17" t="s">
        <v>488</v>
      </c>
      <c r="B13" s="246">
        <f ca="1">'lokale energieproductie'!N38+'lokale energieproductie'!N31</f>
        <v>1035</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-2957.1428571428573</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23114.90250183814</v>
      </c>
      <c r="C16" s="22">
        <f t="shared" ca="1" si="1"/>
        <v>0</v>
      </c>
      <c r="D16" s="22">
        <f t="shared" ca="1" si="1"/>
        <v>16054.747954647808</v>
      </c>
      <c r="E16" s="22">
        <f t="shared" si="1"/>
        <v>265.62676818856397</v>
      </c>
      <c r="F16" s="22">
        <f t="shared" ca="1" si="1"/>
        <v>4299.3870191127771</v>
      </c>
      <c r="G16" s="22">
        <f t="shared" si="1"/>
        <v>0</v>
      </c>
      <c r="H16" s="22">
        <f t="shared" si="1"/>
        <v>0</v>
      </c>
      <c r="I16" s="22">
        <f t="shared" si="1"/>
        <v>0</v>
      </c>
      <c r="J16" s="22">
        <f t="shared" si="1"/>
        <v>0</v>
      </c>
      <c r="K16" s="22">
        <f t="shared" si="1"/>
        <v>0</v>
      </c>
      <c r="L16" s="22">
        <f t="shared" ca="1" si="1"/>
        <v>0</v>
      </c>
      <c r="M16" s="22">
        <f t="shared" si="1"/>
        <v>0</v>
      </c>
      <c r="N16" s="22">
        <f t="shared" ca="1" si="1"/>
        <v>0</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0.20740372419078826</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4794.1168631881992</v>
      </c>
      <c r="C20" s="24">
        <f t="shared" ref="C20:P20" ca="1" si="2">C16*C18</f>
        <v>0</v>
      </c>
      <c r="D20" s="24">
        <f t="shared" ca="1" si="2"/>
        <v>3243.0590868388576</v>
      </c>
      <c r="E20" s="24">
        <f t="shared" si="2"/>
        <v>60.297276378804021</v>
      </c>
      <c r="F20" s="24">
        <f t="shared" ca="1" si="2"/>
        <v>1147.9363341031114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2423.7288425616998</v>
      </c>
      <c r="C26" s="40">
        <f>IF(ISERROR(B26*3.6/1000000/'E Balans VL '!Z12*100),0,B26*3.6/1000000/'E Balans VL '!Z12*100)</f>
        <v>5.137106940083519E-2</v>
      </c>
      <c r="D26" s="236" t="s">
        <v>660</v>
      </c>
      <c r="F26" s="6"/>
    </row>
    <row r="27" spans="1:18">
      <c r="A27" s="231" t="s">
        <v>52</v>
      </c>
      <c r="B27" s="34">
        <f>IF(ISERROR(TER_horeca_ele_kWh/1000),0,TER_horeca_ele_kWh/1000)</f>
        <v>2787.8609191854698</v>
      </c>
      <c r="C27" s="40">
        <f>IF(ISERROR(B27*3.6/1000000/'E Balans VL '!Z9*100),0,B27*3.6/1000000/'E Balans VL '!Z9*100)</f>
        <v>0.2187674744206578</v>
      </c>
      <c r="D27" s="236" t="s">
        <v>660</v>
      </c>
      <c r="F27" s="6"/>
    </row>
    <row r="28" spans="1:18">
      <c r="A28" s="171" t="s">
        <v>51</v>
      </c>
      <c r="B28" s="34">
        <f>IF(ISERROR(TER_handel_ele_kWh/1000),0,TER_handel_ele_kWh/1000)</f>
        <v>7757.81671931867</v>
      </c>
      <c r="C28" s="40">
        <f>IF(ISERROR(B28*3.6/1000000/'E Balans VL '!Z13*100),0,B28*3.6/1000000/'E Balans VL '!Z13*100)</f>
        <v>0.21664824107075492</v>
      </c>
      <c r="D28" s="236" t="s">
        <v>660</v>
      </c>
      <c r="F28" s="6"/>
    </row>
    <row r="29" spans="1:18">
      <c r="A29" s="231" t="s">
        <v>50</v>
      </c>
      <c r="B29" s="34">
        <f>IF(ISERROR(TER_gezond_ele_kWh/1000),0,TER_gezond_ele_kWh/1000)</f>
        <v>69.535489785476088</v>
      </c>
      <c r="C29" s="40">
        <f>IF(ISERROR(B29*3.6/1000000/'E Balans VL '!Z10*100),0,B29*3.6/1000000/'E Balans VL '!Z10*100)</f>
        <v>7.9687203699605521E-3</v>
      </c>
      <c r="D29" s="236" t="s">
        <v>660</v>
      </c>
      <c r="F29" s="6"/>
    </row>
    <row r="30" spans="1:18">
      <c r="A30" s="231" t="s">
        <v>49</v>
      </c>
      <c r="B30" s="34">
        <f>IF(ISERROR(TER_ander_ele_kWh/1000),0,TER_ander_ele_kWh/1000)</f>
        <v>1088.74242495625</v>
      </c>
      <c r="C30" s="40">
        <f>IF(ISERROR(B30*3.6/1000000/'E Balans VL '!Z14*100),0,B30*3.6/1000000/'E Balans VL '!Z14*100)</f>
        <v>8.1184302604419473E-2</v>
      </c>
      <c r="D30" s="236" t="s">
        <v>660</v>
      </c>
      <c r="F30" s="6"/>
    </row>
    <row r="31" spans="1:18">
      <c r="A31" s="231" t="s">
        <v>54</v>
      </c>
      <c r="B31" s="34">
        <f>IF(ISERROR(TER_onderwijs_ele_kWh/1000),0,TER_onderwijs_ele_kWh/1000)</f>
        <v>89.833835023395011</v>
      </c>
      <c r="C31" s="40">
        <f>IF(ISERROR(B31*3.6/1000000/'E Balans VL '!Z11*100),0,B31*3.6/1000000/'E Balans VL '!Z11*100)</f>
        <v>2.5674708179160587E-2</v>
      </c>
      <c r="D31" s="236" t="s">
        <v>660</v>
      </c>
    </row>
    <row r="32" spans="1:18">
      <c r="A32" s="231" t="s">
        <v>249</v>
      </c>
      <c r="B32" s="34">
        <f>IF(ISERROR(TER_rest_ele_kWh/1000),0,TER_rest_ele_kWh/1000)</f>
        <v>7862.3842710071804</v>
      </c>
      <c r="C32" s="40">
        <f>IF(ISERROR(B32*3.6/1000000/'E Balans VL '!Z8*100),0,B32*3.6/1000000/'E Balans VL '!Z8*100)</f>
        <v>6.4781156369890014E-2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73629.512119018284</v>
      </c>
      <c r="C5" s="18">
        <f>IF(ISERROR('Eigen informatie GS &amp; warmtenet'!B59),0,'Eigen informatie GS &amp; warmtenet'!B59)</f>
        <v>0</v>
      </c>
      <c r="D5" s="31">
        <f>SUM(D6:D15)</f>
        <v>109388.66570336712</v>
      </c>
      <c r="E5" s="18">
        <f>SUM(E6:E15)</f>
        <v>680.22619947836267</v>
      </c>
      <c r="F5" s="18">
        <f>SUM(F6:F15)</f>
        <v>13519.612595784478</v>
      </c>
      <c r="G5" s="19"/>
      <c r="H5" s="18"/>
      <c r="I5" s="18"/>
      <c r="J5" s="18">
        <f>SUM(J6:J15)</f>
        <v>230.81816099179048</v>
      </c>
      <c r="K5" s="18"/>
      <c r="L5" s="18"/>
      <c r="M5" s="18"/>
      <c r="N5" s="18">
        <f>SUM(N6:N15)</f>
        <v>1987.1043928749023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108.508251667924</v>
      </c>
      <c r="C8" s="34"/>
      <c r="D8" s="38">
        <f>IF( ISERROR(IND_metaal_Gas_kWH/1000),0,IND_metaal_Gas_kWH/1000)*0.902</f>
        <v>0</v>
      </c>
      <c r="E8" s="34">
        <f>C30*'E Balans VL '!I18/100/3.6*1000000</f>
        <v>0.98816509341227532</v>
      </c>
      <c r="F8" s="34">
        <f>C30*'E Balans VL '!L18/100/3.6*1000000+C30*'E Balans VL '!N18/100/3.6*1000000</f>
        <v>14.311414369182923</v>
      </c>
      <c r="G8" s="35"/>
      <c r="H8" s="34"/>
      <c r="I8" s="34"/>
      <c r="J8" s="41">
        <f>C30*'E Balans VL '!D18/100/3.6*1000000+C30*'E Balans VL '!E18/100/3.6*1000000</f>
        <v>1.7793777790456766</v>
      </c>
      <c r="K8" s="34"/>
      <c r="L8" s="34"/>
      <c r="M8" s="34"/>
      <c r="N8" s="34">
        <f>C30*'E Balans VL '!Y18/100/3.6*1000000</f>
        <v>0.37289975619025184</v>
      </c>
      <c r="O8" s="34"/>
      <c r="P8" s="34"/>
      <c r="R8" s="33"/>
    </row>
    <row r="9" spans="1:18">
      <c r="A9" s="6" t="s">
        <v>32</v>
      </c>
      <c r="B9" s="38">
        <f t="shared" si="0"/>
        <v>2084.9509789050603</v>
      </c>
      <c r="C9" s="34"/>
      <c r="D9" s="38">
        <f>IF( ISERROR(IND_andere_gas_kWh/1000),0,IND_andere_gas_kWh/1000)*0.902</f>
        <v>1801.5473586533049</v>
      </c>
      <c r="E9" s="34">
        <f>C31*'E Balans VL '!I19/100/3.6*1000000</f>
        <v>12.051328228224152</v>
      </c>
      <c r="F9" s="34">
        <f>C31*'E Balans VL '!L19/100/3.6*1000000+C31*'E Balans VL '!N19/100/3.6*1000000</f>
        <v>1658.6788275901188</v>
      </c>
      <c r="G9" s="35"/>
      <c r="H9" s="34"/>
      <c r="I9" s="34"/>
      <c r="J9" s="41">
        <f>C31*'E Balans VL '!D19/100/3.6*1000000+C31*'E Balans VL '!E19/100/3.6*1000000</f>
        <v>0.19721320362489525</v>
      </c>
      <c r="K9" s="34"/>
      <c r="L9" s="34"/>
      <c r="M9" s="34"/>
      <c r="N9" s="34">
        <f>C31*'E Balans VL '!Y19/100/3.6*1000000</f>
        <v>157.96658885582428</v>
      </c>
      <c r="O9" s="34"/>
      <c r="P9" s="34"/>
      <c r="R9" s="33"/>
    </row>
    <row r="10" spans="1:18">
      <c r="A10" s="6" t="s">
        <v>40</v>
      </c>
      <c r="B10" s="38">
        <f t="shared" si="0"/>
        <v>25813.334396321901</v>
      </c>
      <c r="C10" s="34"/>
      <c r="D10" s="38">
        <f>IF( ISERROR(IND_voed_gas_kWh/1000),0,IND_voed_gas_kWh/1000)*0.902</f>
        <v>16070.683891846891</v>
      </c>
      <c r="E10" s="34">
        <f>C32*'E Balans VL '!I20/100/3.6*1000000</f>
        <v>253.81260870456225</v>
      </c>
      <c r="F10" s="34">
        <f>C32*'E Balans VL '!L20/100/3.6*1000000+C32*'E Balans VL '!N20/100/3.6*1000000</f>
        <v>2866.9077169859834</v>
      </c>
      <c r="G10" s="35"/>
      <c r="H10" s="34"/>
      <c r="I10" s="34"/>
      <c r="J10" s="41">
        <f>C32*'E Balans VL '!D20/100/3.6*1000000+C32*'E Balans VL '!E20/100/3.6*1000000</f>
        <v>0.10174206940458846</v>
      </c>
      <c r="K10" s="34"/>
      <c r="L10" s="34"/>
      <c r="M10" s="34"/>
      <c r="N10" s="34">
        <f>C32*'E Balans VL '!Y20/100/3.6*1000000</f>
        <v>382.23476304673716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136.48436252229399</v>
      </c>
      <c r="C13" s="34"/>
      <c r="D13" s="38">
        <f>IF( ISERROR(IND_papier_gas_kWh/1000),0,IND_papier_gas_kWh/1000)*0.902</f>
        <v>0</v>
      </c>
      <c r="E13" s="34">
        <f>C35*'E Balans VL '!I23/100/3.6*1000000</f>
        <v>4.648855277040937</v>
      </c>
      <c r="F13" s="34">
        <f>C35*'E Balans VL '!L23/100/3.6*1000000+C35*'E Balans VL '!N23/100/3.6*1000000</f>
        <v>22.544013469645677</v>
      </c>
      <c r="G13" s="35"/>
      <c r="H13" s="34"/>
      <c r="I13" s="34"/>
      <c r="J13" s="41">
        <f>C35*'E Balans VL '!D23/100/3.6*1000000+C35*'E Balans VL '!E23/100/3.6*1000000</f>
        <v>0</v>
      </c>
      <c r="K13" s="34"/>
      <c r="L13" s="34"/>
      <c r="M13" s="34"/>
      <c r="N13" s="34">
        <f>C35*'E Balans VL '!Y23/100/3.6*1000000</f>
        <v>50.222585181342318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45486.2341296011</v>
      </c>
      <c r="C15" s="34"/>
      <c r="D15" s="38">
        <f>IF( ISERROR(IND_rest_gas_kWh/1000),0,IND_rest_gas_kWh/1000)*0.902</f>
        <v>91516.434452866917</v>
      </c>
      <c r="E15" s="34">
        <f>C37*'E Balans VL '!I15/100/3.6*1000000</f>
        <v>408.72524217512307</v>
      </c>
      <c r="F15" s="34">
        <f>C37*'E Balans VL '!L15/100/3.6*1000000+C37*'E Balans VL '!N15/100/3.6*1000000</f>
        <v>8957.1706233695477</v>
      </c>
      <c r="G15" s="35"/>
      <c r="H15" s="34"/>
      <c r="I15" s="34"/>
      <c r="J15" s="41">
        <f>C37*'E Balans VL '!D15/100/3.6*1000000+C37*'E Balans VL '!E15/100/3.6*1000000</f>
        <v>228.73982793971533</v>
      </c>
      <c r="K15" s="34"/>
      <c r="L15" s="34"/>
      <c r="M15" s="34"/>
      <c r="N15" s="34">
        <f>C37*'E Balans VL '!Y15/100/3.6*1000000</f>
        <v>1396.3075560348082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73629.512119018284</v>
      </c>
      <c r="C18" s="22">
        <f>C5+C16</f>
        <v>0</v>
      </c>
      <c r="D18" s="22">
        <f>MAX((D5+D16),0)</f>
        <v>109388.66570336712</v>
      </c>
      <c r="E18" s="22">
        <f>MAX((E5+E16),0)</f>
        <v>680.22619947836267</v>
      </c>
      <c r="F18" s="22">
        <f>MAX((F5+F16),0)</f>
        <v>13519.612595784478</v>
      </c>
      <c r="G18" s="22"/>
      <c r="H18" s="22"/>
      <c r="I18" s="22"/>
      <c r="J18" s="22">
        <f>MAX((J5+J16),0)</f>
        <v>230.81816099179048</v>
      </c>
      <c r="K18" s="22"/>
      <c r="L18" s="22">
        <f>MAX((L5+L16),0)</f>
        <v>0</v>
      </c>
      <c r="M18" s="22"/>
      <c r="N18" s="22">
        <f>MAX((N5+N16),0)</f>
        <v>1987.1043928749023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0.20740372419078826</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15271.035023835169</v>
      </c>
      <c r="C22" s="24">
        <f ca="1">C18*C20</f>
        <v>0</v>
      </c>
      <c r="D22" s="24">
        <f>D18*D20</f>
        <v>22096.510472080161</v>
      </c>
      <c r="E22" s="24">
        <f>E18*E20</f>
        <v>154.41134728158832</v>
      </c>
      <c r="F22" s="24">
        <f>F18*F20</f>
        <v>3609.7365630744557</v>
      </c>
      <c r="G22" s="24"/>
      <c r="H22" s="24"/>
      <c r="I22" s="24"/>
      <c r="J22" s="24">
        <f>J18*J20</f>
        <v>81.709628991093822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108.508251667924</v>
      </c>
      <c r="C30" s="40">
        <f>IF(ISERROR(B30*3.6/1000000/'E Balans VL '!Z18*100),0,B30*3.6/1000000/'E Balans VL '!Z18*100)</f>
        <v>6.0377586168664276E-3</v>
      </c>
      <c r="D30" s="236" t="s">
        <v>660</v>
      </c>
    </row>
    <row r="31" spans="1:18">
      <c r="A31" s="6" t="s">
        <v>32</v>
      </c>
      <c r="B31" s="38">
        <f>IF( ISERROR(IND_ander_ele_kWh/1000),0,IND_ander_ele_kWh/1000)</f>
        <v>2084.9509789050603</v>
      </c>
      <c r="C31" s="40">
        <f>IF(ISERROR(B31*3.6/1000000/'E Balans VL '!Z19*100),0,B31*3.6/1000000/'E Balans VL '!Z19*100)</f>
        <v>9.6923895296876866E-2</v>
      </c>
      <c r="D31" s="236" t="s">
        <v>660</v>
      </c>
    </row>
    <row r="32" spans="1:18">
      <c r="A32" s="171" t="s">
        <v>40</v>
      </c>
      <c r="B32" s="38">
        <f>IF( ISERROR(IND_voed_ele_kWh/1000),0,IND_voed_ele_kWh/1000)</f>
        <v>25813.334396321901</v>
      </c>
      <c r="C32" s="40">
        <f>IF(ISERROR(B32*3.6/1000000/'E Balans VL '!Z20*100),0,B32*3.6/1000000/'E Balans VL '!Z20*100)</f>
        <v>0.91244923867334282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136.48436252229399</v>
      </c>
      <c r="C35" s="40">
        <f>IF(ISERROR(B35*3.6/1000000/'E Balans VL '!Z22*100),0,B35*3.6/1000000/'E Balans VL '!Z22*100)</f>
        <v>2.742950813798381E-2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45486.2341296011</v>
      </c>
      <c r="C37" s="40">
        <f>IF(ISERROR(B37*3.6/1000000/'E Balans VL '!Z15*100),0,B37*3.6/1000000/'E Balans VL '!Z15*100)</f>
        <v>0.34348826100693475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520.17605657538104</v>
      </c>
      <c r="C5" s="18">
        <f>'Eigen informatie GS &amp; warmtenet'!B60</f>
        <v>0</v>
      </c>
      <c r="D5" s="31">
        <f>IF(ISERROR(SUM(LB_lb_gas_kWh,LB_rest_gas_kWh)/1000),0,SUM(LB_lb_gas_kWh,LB_rest_gas_kWh)/1000)*0.902</f>
        <v>20866.044852146792</v>
      </c>
      <c r="E5" s="18">
        <f>B17*'E Balans VL '!I25/3.6*1000000/100</f>
        <v>5.1368332350969368</v>
      </c>
      <c r="F5" s="18">
        <f>B17*('E Balans VL '!L25/3.6*1000000+'E Balans VL '!N25/3.6*1000000)/100</f>
        <v>1735.4449622635941</v>
      </c>
      <c r="G5" s="19"/>
      <c r="H5" s="18"/>
      <c r="I5" s="18"/>
      <c r="J5" s="18">
        <f>('E Balans VL '!D25+'E Balans VL '!E25)/3.6*1000000*landbouw!B17/100</f>
        <v>51.897781982695925</v>
      </c>
      <c r="K5" s="18"/>
      <c r="L5" s="18">
        <f>L6*(-1)</f>
        <v>0</v>
      </c>
      <c r="M5" s="18"/>
      <c r="N5" s="18">
        <f>N6*(-1)</f>
        <v>0</v>
      </c>
      <c r="O5" s="18"/>
      <c r="P5" s="18"/>
      <c r="R5" s="33"/>
    </row>
    <row r="6" spans="1:18">
      <c r="A6" s="17" t="s">
        <v>488</v>
      </c>
      <c r="B6" s="18" t="s">
        <v>204</v>
      </c>
      <c r="C6" s="18">
        <f>'lokale energieproductie'!O39+'lokale energieproductie'!O32</f>
        <v>9000</v>
      </c>
      <c r="D6" s="305">
        <f>('lokale energieproductie'!P32+'lokale energieproductie'!P39)*(-1)</f>
        <v>-18000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520.17605657538104</v>
      </c>
      <c r="C8" s="22">
        <f>C5+C6</f>
        <v>9000</v>
      </c>
      <c r="D8" s="22">
        <f>MAX((D5+D6),0)</f>
        <v>2866.0448521467915</v>
      </c>
      <c r="E8" s="22">
        <f>MAX((E5+E6),0)</f>
        <v>5.1368332350969368</v>
      </c>
      <c r="F8" s="22">
        <f>MAX((F5+F6),0)</f>
        <v>1735.4449622635941</v>
      </c>
      <c r="G8" s="22"/>
      <c r="H8" s="22"/>
      <c r="I8" s="22"/>
      <c r="J8" s="22">
        <f>MAX((J5+J6),0)</f>
        <v>51.897781982695925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0.20740372419078826</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107.8864513686122</v>
      </c>
      <c r="C12" s="24">
        <f ca="1">C8*C10</f>
        <v>2138.8235294117649</v>
      </c>
      <c r="D12" s="24">
        <f>D8*D10</f>
        <v>578.94106013365194</v>
      </c>
      <c r="E12" s="24">
        <f>E8*E10</f>
        <v>1.1660611443670046</v>
      </c>
      <c r="F12" s="24">
        <f>F8*F10</f>
        <v>463.36380492437968</v>
      </c>
      <c r="G12" s="24"/>
      <c r="H12" s="24"/>
      <c r="I12" s="24"/>
      <c r="J12" s="24">
        <f>J8*J10</f>
        <v>18.371814821874356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7.0423525912636689E-2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97.315131467030426</v>
      </c>
      <c r="C26" s="246">
        <f>B26*'GWP N2O_CH4'!B5</f>
        <v>2043.6177608076389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31.560230928430325</v>
      </c>
      <c r="C27" s="246">
        <f>B27*'GWP N2O_CH4'!B5</f>
        <v>662.76484949703683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1.4626846920279062</v>
      </c>
      <c r="C28" s="246">
        <f>B28*'GWP N2O_CH4'!B4</f>
        <v>453.4322545286509</v>
      </c>
      <c r="D28" s="51"/>
    </row>
    <row r="29" spans="1:4">
      <c r="A29" s="42" t="s">
        <v>266</v>
      </c>
      <c r="B29" s="246">
        <f>B34*'ha_N2O bodem landbouw'!B4</f>
        <v>3.6180793443161465</v>
      </c>
      <c r="C29" s="246">
        <f>B29*'GWP N2O_CH4'!B4</f>
        <v>1121.6045967380055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9.7676752486215821E-4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2.1651013560210067E-5</v>
      </c>
      <c r="C5" s="433" t="s">
        <v>204</v>
      </c>
      <c r="D5" s="418">
        <f>SUM(D6:D11)</f>
        <v>2.4464179014879629E-5</v>
      </c>
      <c r="E5" s="418">
        <f>SUM(E6:E11)</f>
        <v>1.733224770895284E-3</v>
      </c>
      <c r="F5" s="431" t="s">
        <v>204</v>
      </c>
      <c r="G5" s="418">
        <f>SUM(G6:G11)</f>
        <v>0.40566915725845037</v>
      </c>
      <c r="H5" s="418">
        <f>SUM(H6:H11)</f>
        <v>6.4290941958838443E-2</v>
      </c>
      <c r="I5" s="433" t="s">
        <v>204</v>
      </c>
      <c r="J5" s="433" t="s">
        <v>204</v>
      </c>
      <c r="K5" s="433" t="s">
        <v>204</v>
      </c>
      <c r="L5" s="433" t="s">
        <v>204</v>
      </c>
      <c r="M5" s="418">
        <f>SUM(M6:M11)</f>
        <v>2.099538675005512E-2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1.0536368878329799E-5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1.2220271111016862E-5</v>
      </c>
      <c r="E6" s="421">
        <f>vkm_GW_PW*SUMIFS(TableVerdeelsleutelVkm[LPG],TableVerdeelsleutelVkm[Voertuigtype],"Lichte voertuigen")*SUMIFS(TableECFTransport[EnergieConsumptieFactor (PJ per km)],TableECFTransport[Index],CONCATENATE($A6,"_LPG_LPG"))</f>
        <v>7.9097323864379444E-4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0.12471413074127111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3.1535626201704053E-2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6.9937495657708491E-3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3.3454376192027722E-7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5.5340538991268E-2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1.7246861044426878E-6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2.4624844339682607E-3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1.1061163617905255E-6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2.0908569102291444E-6</v>
      </c>
      <c r="E8" s="421">
        <f>vkm_NGW_PW*SUMIFS(TableVerdeelsleutelVkm[LPG],TableVerdeelsleutelVkm[Voertuigtype],"Lichte voertuigen")*SUMIFS(TableECFTransport[EnergieConsumptieFactor (PJ per km)],TableECFTransport[Index],CONCATENATE($A8,"_LPG_LPG"))</f>
        <v>1.2790014137436877E-4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1.9068012165427826E-2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5.1354572170082867E-3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1.083677280141657E-3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2.6329821221942495E-8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5.5852598547808975E-3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1.638405829900041E-7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2.4852648322239558E-4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9.1159524137161711E-6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1.0153050993633623E-5</v>
      </c>
      <c r="E10" s="421">
        <f>vkm_SW_PW*SUMIFS(TableVerdeelsleutelVkm[LPG],TableVerdeelsleutelVkm[Voertuigtype],"Lichte voertuigen")*SUMIFS(TableECFTransport[EnergieConsumptieFactor (PJ per km)],TableECFTransport[Index],CONCATENATE($A10,"_LPG_LPG"))</f>
        <v>8.1435139087712098E-4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0.1185726479869094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2.7615148668896222E-2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6.540898531265698E-3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5.3170232323135221E-7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8.2388567518793157E-2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2.8213445424360915E-6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3.6660504556862636E-3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6.0141704333916852</v>
      </c>
      <c r="C14" s="22"/>
      <c r="D14" s="22">
        <f t="shared" ref="D14:M14" si="0">((D5)*10^9/3600)+D12</f>
        <v>6.7956052819110075</v>
      </c>
      <c r="E14" s="22">
        <f t="shared" si="0"/>
        <v>481.45132524869001</v>
      </c>
      <c r="F14" s="22"/>
      <c r="G14" s="22">
        <f t="shared" si="0"/>
        <v>112685.87701623622</v>
      </c>
      <c r="H14" s="22">
        <f t="shared" si="0"/>
        <v>17858.594988566234</v>
      </c>
      <c r="I14" s="22"/>
      <c r="J14" s="22"/>
      <c r="K14" s="22"/>
      <c r="L14" s="22"/>
      <c r="M14" s="22">
        <f t="shared" si="0"/>
        <v>5832.0518750153105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0.20740372419078826</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1.2473613458035626</v>
      </c>
      <c r="C18" s="24"/>
      <c r="D18" s="24">
        <f t="shared" ref="D18:M18" si="1">D14*D16</f>
        <v>1.3727122669460237</v>
      </c>
      <c r="E18" s="24">
        <f t="shared" si="1"/>
        <v>109.28945083145264</v>
      </c>
      <c r="F18" s="24"/>
      <c r="G18" s="24">
        <f t="shared" si="1"/>
        <v>30087.129163335074</v>
      </c>
      <c r="H18" s="24">
        <f t="shared" si="1"/>
        <v>4446.7901521529921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1.2432564281301986E-5</v>
      </c>
      <c r="C50" s="316">
        <f t="shared" ref="C50:P50" si="2">SUM(C51:C52)</f>
        <v>0</v>
      </c>
      <c r="D50" s="316">
        <f t="shared" si="2"/>
        <v>0</v>
      </c>
      <c r="E50" s="316">
        <f t="shared" si="2"/>
        <v>0</v>
      </c>
      <c r="F50" s="316">
        <f t="shared" si="2"/>
        <v>0</v>
      </c>
      <c r="G50" s="316">
        <f t="shared" si="2"/>
        <v>2.4796995262011765E-3</v>
      </c>
      <c r="H50" s="316">
        <f t="shared" si="2"/>
        <v>0</v>
      </c>
      <c r="I50" s="316">
        <f t="shared" si="2"/>
        <v>0</v>
      </c>
      <c r="J50" s="316">
        <f t="shared" si="2"/>
        <v>0</v>
      </c>
      <c r="K50" s="316">
        <f t="shared" si="2"/>
        <v>0</v>
      </c>
      <c r="L50" s="316">
        <f t="shared" si="2"/>
        <v>0</v>
      </c>
      <c r="M50" s="316">
        <f t="shared" si="2"/>
        <v>1.0960007807165421E-4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1.2432564281301986E-5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2.4796995262011765E-3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1.0960007807165421E-4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3.4534900781394406</v>
      </c>
      <c r="C54" s="22">
        <f t="shared" ref="C54:P54" si="3">(C50)*10^9/3600</f>
        <v>0</v>
      </c>
      <c r="D54" s="22">
        <f t="shared" si="3"/>
        <v>0</v>
      </c>
      <c r="E54" s="22">
        <f t="shared" si="3"/>
        <v>0</v>
      </c>
      <c r="F54" s="22">
        <f t="shared" si="3"/>
        <v>0</v>
      </c>
      <c r="G54" s="22">
        <f t="shared" si="3"/>
        <v>688.80542394477129</v>
      </c>
      <c r="H54" s="22">
        <f t="shared" si="3"/>
        <v>0</v>
      </c>
      <c r="I54" s="22">
        <f t="shared" si="3"/>
        <v>0</v>
      </c>
      <c r="J54" s="22">
        <f t="shared" si="3"/>
        <v>0</v>
      </c>
      <c r="K54" s="22">
        <f t="shared" si="3"/>
        <v>0</v>
      </c>
      <c r="L54" s="22">
        <f t="shared" si="3"/>
        <v>0</v>
      </c>
      <c r="M54" s="22">
        <f t="shared" si="3"/>
        <v>30.444466131015059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0.20740372419078826</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0.71626670366205636</v>
      </c>
      <c r="C58" s="24">
        <f t="shared" ref="C58:P58" ca="1" si="4">C54*C56</f>
        <v>0</v>
      </c>
      <c r="D58" s="24">
        <f t="shared" si="4"/>
        <v>0</v>
      </c>
      <c r="E58" s="24">
        <f t="shared" si="4"/>
        <v>0</v>
      </c>
      <c r="F58" s="24">
        <f t="shared" si="4"/>
        <v>0</v>
      </c>
      <c r="G58" s="24">
        <f t="shared" si="4"/>
        <v>183.91104819325395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6767.7493330595371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6300</v>
      </c>
      <c r="C8" s="544">
        <f>B48</f>
        <v>7411.7647058823522</v>
      </c>
      <c r="D8" s="931"/>
      <c r="E8" s="931">
        <f>E48</f>
        <v>0</v>
      </c>
      <c r="F8" s="932"/>
      <c r="G8" s="545"/>
      <c r="H8" s="931">
        <f>I48</f>
        <v>0</v>
      </c>
      <c r="I8" s="931">
        <f>G48+F48</f>
        <v>0</v>
      </c>
      <c r="J8" s="931">
        <f>H48+D48+C48</f>
        <v>0</v>
      </c>
      <c r="K8" s="931"/>
      <c r="L8" s="931"/>
      <c r="M8" s="931"/>
      <c r="N8" s="546"/>
      <c r="O8" s="547">
        <f>C8*$C$12+D8*$D$12+E8*$E$12+F8*$F$12+G8*$G$12+H8*$H$12+I8*$I$12+J8*$J$12</f>
        <v>1497.1764705882354</v>
      </c>
      <c r="P8" s="1206"/>
      <c r="Q8" s="1207"/>
      <c r="S8" s="968"/>
      <c r="T8" s="1227"/>
      <c r="U8" s="1227"/>
    </row>
    <row r="9" spans="1:21" s="532" customFormat="1" ht="17.45" customHeight="1" thickBot="1">
      <c r="A9" s="548" t="s">
        <v>237</v>
      </c>
      <c r="B9" s="933">
        <f>N36+'Eigen informatie GS &amp; warmtenet'!B12</f>
        <v>1035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2957.1428571428573</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14102.749333059537</v>
      </c>
      <c r="C10" s="556">
        <f t="shared" ref="C10:L10" si="0">SUM(C8:C9)</f>
        <v>7411.7647058823522</v>
      </c>
      <c r="D10" s="556">
        <f t="shared" si="0"/>
        <v>0</v>
      </c>
      <c r="E10" s="556">
        <f t="shared" si="0"/>
        <v>0</v>
      </c>
      <c r="F10" s="556">
        <f t="shared" si="0"/>
        <v>0</v>
      </c>
      <c r="G10" s="556">
        <f t="shared" si="0"/>
        <v>0</v>
      </c>
      <c r="H10" s="556">
        <f t="shared" si="0"/>
        <v>0</v>
      </c>
      <c r="I10" s="556">
        <f t="shared" si="0"/>
        <v>0</v>
      </c>
      <c r="J10" s="556">
        <f t="shared" si="0"/>
        <v>2957.1428571428573</v>
      </c>
      <c r="K10" s="556">
        <f t="shared" si="0"/>
        <v>0</v>
      </c>
      <c r="L10" s="556">
        <f t="shared" si="0"/>
        <v>0</v>
      </c>
      <c r="M10" s="935"/>
      <c r="N10" s="935"/>
      <c r="O10" s="557">
        <f>SUM(O4:O9)</f>
        <v>1497.1764705882354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9000</v>
      </c>
      <c r="C17" s="568">
        <f>B49</f>
        <v>10588.235294117647</v>
      </c>
      <c r="D17" s="569"/>
      <c r="E17" s="569">
        <f>E49</f>
        <v>0</v>
      </c>
      <c r="F17" s="570"/>
      <c r="G17" s="571"/>
      <c r="H17" s="568">
        <f>I49</f>
        <v>0</v>
      </c>
      <c r="I17" s="569">
        <f>G49+F49</f>
        <v>0</v>
      </c>
      <c r="J17" s="569">
        <f>H49+D49+C49</f>
        <v>0</v>
      </c>
      <c r="K17" s="569"/>
      <c r="L17" s="569"/>
      <c r="M17" s="569"/>
      <c r="N17" s="938"/>
      <c r="O17" s="572">
        <f>C17*$C$22+E17*$E$22+H17*$H$22+I17*$I$22+J17*$J$22+D17*$D$22+F17*$F$22+G17*$G$22+K17*$K$22+L17*$L$22</f>
        <v>2138.8235294117649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9000</v>
      </c>
      <c r="C20" s="555">
        <f>SUM(C17:C19)</f>
        <v>10588.235294117647</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2138.8235294117649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13029</v>
      </c>
      <c r="C28" s="740">
        <v>2250</v>
      </c>
      <c r="D28" s="628"/>
      <c r="E28" s="627"/>
      <c r="F28" s="627"/>
      <c r="G28" s="627" t="s">
        <v>942</v>
      </c>
      <c r="H28" s="627" t="s">
        <v>943</v>
      </c>
      <c r="I28" s="627"/>
      <c r="J28" s="739"/>
      <c r="K28" s="739"/>
      <c r="L28" s="627" t="s">
        <v>944</v>
      </c>
      <c r="M28" s="627">
        <v>1400</v>
      </c>
      <c r="N28" s="627">
        <v>6300</v>
      </c>
      <c r="O28" s="627">
        <v>9000</v>
      </c>
      <c r="P28" s="627">
        <v>18000</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1400</v>
      </c>
      <c r="N29" s="585">
        <f>SUM(N28:N28)</f>
        <v>6300</v>
      </c>
      <c r="O29" s="585">
        <f>SUM(O28:O28)</f>
        <v>9000</v>
      </c>
      <c r="P29" s="585">
        <f>SUM(P28:P28)</f>
        <v>18000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1400</v>
      </c>
      <c r="N32" s="590">
        <f>SUMIF($AA$28:$AA$28,"landbouw",N28:N28)</f>
        <v>6300</v>
      </c>
      <c r="O32" s="590">
        <f>SUMIF($AA$28:$AA$28,"landbouw",O28:O28)</f>
        <v>9000</v>
      </c>
      <c r="P32" s="590">
        <f>SUMIF($AA$28:$AA$28,"landbouw",P28:P28)</f>
        <v>18000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13029</v>
      </c>
      <c r="C35" s="740">
        <v>2250</v>
      </c>
      <c r="D35" s="630"/>
      <c r="E35" s="630"/>
      <c r="F35" s="630"/>
      <c r="G35" s="630" t="s">
        <v>946</v>
      </c>
      <c r="H35" s="630" t="s">
        <v>947</v>
      </c>
      <c r="I35" s="630"/>
      <c r="J35" s="739"/>
      <c r="K35" s="739"/>
      <c r="L35" s="630" t="s">
        <v>945</v>
      </c>
      <c r="M35" s="630">
        <v>230</v>
      </c>
      <c r="N35" s="630">
        <v>1035</v>
      </c>
      <c r="O35" s="630">
        <v>0</v>
      </c>
      <c r="P35" s="630">
        <v>0</v>
      </c>
      <c r="Q35" s="630">
        <v>0</v>
      </c>
      <c r="R35" s="630">
        <v>2957.1428571428573</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230</v>
      </c>
      <c r="N36" s="585">
        <f>SUM(N35:N35)</f>
        <v>1035</v>
      </c>
      <c r="O36" s="585">
        <f>SUM(O35:O35)</f>
        <v>0</v>
      </c>
      <c r="P36" s="585">
        <f>SUM(P35:P35)</f>
        <v>0</v>
      </c>
      <c r="Q36" s="585">
        <f>SUM(Q35:Q35)</f>
        <v>0</v>
      </c>
      <c r="R36" s="585">
        <f>SUM(R35:R35)</f>
        <v>2957.1428571428573</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230</v>
      </c>
      <c r="N38" s="585">
        <f>SUMIF($AA$35:$AA$36,"tertiair",N35:N36)</f>
        <v>1035</v>
      </c>
      <c r="O38" s="585">
        <f>SUMIF($AA$35:$AA$36,"tertiair",O35:O36)</f>
        <v>0</v>
      </c>
      <c r="P38" s="585">
        <f>SUMIF($AA$35:$AA$36,"tertiair",P35:P36)</f>
        <v>0</v>
      </c>
      <c r="Q38" s="585">
        <f>SUMIF($AA$35:$AA$36,"tertiair",Q35:Q36)</f>
        <v>0</v>
      </c>
      <c r="R38" s="585">
        <f>SUMIF($AA$35:$AA$36,"tertiair",R35:R36)</f>
        <v>2957.1428571428573</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7411.7647058823522</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10588.235294117647</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23757.756501838139</v>
      </c>
      <c r="D10" s="639">
        <f ca="1">tertiair!C16</f>
        <v>0</v>
      </c>
      <c r="E10" s="639">
        <f ca="1">tertiair!D16</f>
        <v>16054.747954647808</v>
      </c>
      <c r="F10" s="639">
        <f>tertiair!E16</f>
        <v>265.62676818856397</v>
      </c>
      <c r="G10" s="639">
        <f ca="1">tertiair!F16</f>
        <v>4299.3870191127771</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1.5633333333333335</v>
      </c>
      <c r="Q10" s="640">
        <f>tertiair!P16</f>
        <v>19.066666666666666</v>
      </c>
      <c r="R10" s="642">
        <f ca="1">SUM(C10:Q10)</f>
        <v>44398.148243787291</v>
      </c>
      <c r="S10" s="68"/>
    </row>
    <row r="11" spans="1:19" s="443" customFormat="1">
      <c r="A11" s="753" t="s">
        <v>214</v>
      </c>
      <c r="B11" s="758"/>
      <c r="C11" s="639">
        <f>huishoudens!B8</f>
        <v>20498.456554147608</v>
      </c>
      <c r="D11" s="639">
        <f>huishoudens!C8</f>
        <v>0</v>
      </c>
      <c r="E11" s="639">
        <f>huishoudens!D8</f>
        <v>54363.092380128372</v>
      </c>
      <c r="F11" s="639">
        <f>huishoudens!E8</f>
        <v>954.00648763433639</v>
      </c>
      <c r="G11" s="639">
        <f>huishoudens!F8</f>
        <v>29084.888044883388</v>
      </c>
      <c r="H11" s="639">
        <f>huishoudens!G8</f>
        <v>0</v>
      </c>
      <c r="I11" s="639">
        <f>huishoudens!H8</f>
        <v>0</v>
      </c>
      <c r="J11" s="639">
        <f>huishoudens!I8</f>
        <v>0</v>
      </c>
      <c r="K11" s="639">
        <f>huishoudens!J8</f>
        <v>527.73515906633872</v>
      </c>
      <c r="L11" s="639">
        <f>huishoudens!K8</f>
        <v>0</v>
      </c>
      <c r="M11" s="639">
        <f>huishoudens!L8</f>
        <v>0</v>
      </c>
      <c r="N11" s="639">
        <f>huishoudens!M8</f>
        <v>0</v>
      </c>
      <c r="O11" s="639">
        <f>huishoudens!N8</f>
        <v>6960.1610844371589</v>
      </c>
      <c r="P11" s="639">
        <f>huishoudens!O8</f>
        <v>186.03666666666666</v>
      </c>
      <c r="Q11" s="640">
        <f>huishoudens!P8</f>
        <v>324.13333333333333</v>
      </c>
      <c r="R11" s="642">
        <f>SUM(C11:Q11)</f>
        <v>112898.50971029722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73629.512119018284</v>
      </c>
      <c r="D13" s="639">
        <f>industrie!C18</f>
        <v>0</v>
      </c>
      <c r="E13" s="639">
        <f>industrie!D18</f>
        <v>109388.66570336712</v>
      </c>
      <c r="F13" s="639">
        <f>industrie!E18</f>
        <v>680.22619947836267</v>
      </c>
      <c r="G13" s="639">
        <f>industrie!F18</f>
        <v>13519.612595784478</v>
      </c>
      <c r="H13" s="639">
        <f>industrie!G18</f>
        <v>0</v>
      </c>
      <c r="I13" s="639">
        <f>industrie!H18</f>
        <v>0</v>
      </c>
      <c r="J13" s="639">
        <f>industrie!I18</f>
        <v>0</v>
      </c>
      <c r="K13" s="639">
        <f>industrie!J18</f>
        <v>230.81816099179048</v>
      </c>
      <c r="L13" s="639">
        <f>industrie!K18</f>
        <v>0</v>
      </c>
      <c r="M13" s="639">
        <f>industrie!L18</f>
        <v>0</v>
      </c>
      <c r="N13" s="639">
        <f>industrie!M18</f>
        <v>0</v>
      </c>
      <c r="O13" s="639">
        <f>industrie!N18</f>
        <v>1987.1043928749023</v>
      </c>
      <c r="P13" s="639">
        <f>industrie!O18</f>
        <v>0</v>
      </c>
      <c r="Q13" s="640">
        <f>industrie!P18</f>
        <v>0</v>
      </c>
      <c r="R13" s="642">
        <f>SUM(C13:Q13)</f>
        <v>199435.93917151494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117885.72517500403</v>
      </c>
      <c r="D16" s="672">
        <f t="shared" ref="D16:R16" ca="1" si="0">SUM(D9:D15)</f>
        <v>0</v>
      </c>
      <c r="E16" s="672">
        <f t="shared" ca="1" si="0"/>
        <v>179806.5060381433</v>
      </c>
      <c r="F16" s="672">
        <f t="shared" si="0"/>
        <v>1899.8594553012631</v>
      </c>
      <c r="G16" s="672">
        <f t="shared" ca="1" si="0"/>
        <v>46903.887659780645</v>
      </c>
      <c r="H16" s="672">
        <f t="shared" si="0"/>
        <v>0</v>
      </c>
      <c r="I16" s="672">
        <f t="shared" si="0"/>
        <v>0</v>
      </c>
      <c r="J16" s="672">
        <f t="shared" si="0"/>
        <v>0</v>
      </c>
      <c r="K16" s="672">
        <f t="shared" si="0"/>
        <v>758.5533200581292</v>
      </c>
      <c r="L16" s="672">
        <f t="shared" si="0"/>
        <v>0</v>
      </c>
      <c r="M16" s="672">
        <f t="shared" ca="1" si="0"/>
        <v>0</v>
      </c>
      <c r="N16" s="672">
        <f t="shared" si="0"/>
        <v>0</v>
      </c>
      <c r="O16" s="672">
        <f t="shared" ca="1" si="0"/>
        <v>8947.2654773120612</v>
      </c>
      <c r="P16" s="672">
        <f t="shared" si="0"/>
        <v>187.6</v>
      </c>
      <c r="Q16" s="672">
        <f t="shared" si="0"/>
        <v>343.2</v>
      </c>
      <c r="R16" s="672">
        <f t="shared" ca="1" si="0"/>
        <v>356732.59712559945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3.4534900781394406</v>
      </c>
      <c r="D19" s="639">
        <f>transport!C54</f>
        <v>0</v>
      </c>
      <c r="E19" s="639">
        <f>transport!D54</f>
        <v>0</v>
      </c>
      <c r="F19" s="639">
        <f>transport!E54</f>
        <v>0</v>
      </c>
      <c r="G19" s="639">
        <f>transport!F54</f>
        <v>0</v>
      </c>
      <c r="H19" s="639">
        <f>transport!G54</f>
        <v>688.80542394477129</v>
      </c>
      <c r="I19" s="639">
        <f>transport!H54</f>
        <v>0</v>
      </c>
      <c r="J19" s="639">
        <f>transport!I54</f>
        <v>0</v>
      </c>
      <c r="K19" s="639">
        <f>transport!J54</f>
        <v>0</v>
      </c>
      <c r="L19" s="639">
        <f>transport!K54</f>
        <v>0</v>
      </c>
      <c r="M19" s="639">
        <f>transport!L54</f>
        <v>0</v>
      </c>
      <c r="N19" s="639">
        <f>transport!M54</f>
        <v>30.444466131015059</v>
      </c>
      <c r="O19" s="639">
        <f>transport!N54</f>
        <v>0</v>
      </c>
      <c r="P19" s="639">
        <f>transport!O54</f>
        <v>0</v>
      </c>
      <c r="Q19" s="640">
        <f>transport!P54</f>
        <v>0</v>
      </c>
      <c r="R19" s="642">
        <f>SUM(C19:Q19)</f>
        <v>722.70338015392576</v>
      </c>
      <c r="S19" s="68"/>
    </row>
    <row r="20" spans="1:19" s="443" customFormat="1">
      <c r="A20" s="753" t="s">
        <v>296</v>
      </c>
      <c r="B20" s="758"/>
      <c r="C20" s="639">
        <f>transport!B14</f>
        <v>6.0141704333916852</v>
      </c>
      <c r="D20" s="639">
        <f>transport!C14</f>
        <v>0</v>
      </c>
      <c r="E20" s="639">
        <f>transport!D14</f>
        <v>6.7956052819110075</v>
      </c>
      <c r="F20" s="639">
        <f>transport!E14</f>
        <v>481.45132524869001</v>
      </c>
      <c r="G20" s="639">
        <f>transport!F14</f>
        <v>0</v>
      </c>
      <c r="H20" s="639">
        <f>transport!G14</f>
        <v>112685.87701623622</v>
      </c>
      <c r="I20" s="639">
        <f>transport!H14</f>
        <v>17858.594988566234</v>
      </c>
      <c r="J20" s="639">
        <f>transport!I14</f>
        <v>0</v>
      </c>
      <c r="K20" s="639">
        <f>transport!J14</f>
        <v>0</v>
      </c>
      <c r="L20" s="639">
        <f>transport!K14</f>
        <v>0</v>
      </c>
      <c r="M20" s="639">
        <f>transport!L14</f>
        <v>0</v>
      </c>
      <c r="N20" s="639">
        <f>transport!M14</f>
        <v>5832.0518750153105</v>
      </c>
      <c r="O20" s="639">
        <f>transport!N14</f>
        <v>0</v>
      </c>
      <c r="P20" s="639">
        <f>transport!O14</f>
        <v>0</v>
      </c>
      <c r="Q20" s="640">
        <f>transport!P14</f>
        <v>0</v>
      </c>
      <c r="R20" s="642">
        <f>SUM(C20:Q20)</f>
        <v>136870.78498078175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9.4676605115311254</v>
      </c>
      <c r="D22" s="756">
        <f t="shared" ref="D22:R22" si="1">SUM(D18:D21)</f>
        <v>0</v>
      </c>
      <c r="E22" s="756">
        <f t="shared" si="1"/>
        <v>6.7956052819110075</v>
      </c>
      <c r="F22" s="756">
        <f t="shared" si="1"/>
        <v>481.45132524869001</v>
      </c>
      <c r="G22" s="756">
        <f t="shared" si="1"/>
        <v>0</v>
      </c>
      <c r="H22" s="756">
        <f t="shared" si="1"/>
        <v>113374.68244018099</v>
      </c>
      <c r="I22" s="756">
        <f t="shared" si="1"/>
        <v>17858.594988566234</v>
      </c>
      <c r="J22" s="756">
        <f t="shared" si="1"/>
        <v>0</v>
      </c>
      <c r="K22" s="756">
        <f t="shared" si="1"/>
        <v>0</v>
      </c>
      <c r="L22" s="756">
        <f t="shared" si="1"/>
        <v>0</v>
      </c>
      <c r="M22" s="756">
        <f t="shared" si="1"/>
        <v>0</v>
      </c>
      <c r="N22" s="756">
        <f t="shared" si="1"/>
        <v>5862.4963411463259</v>
      </c>
      <c r="O22" s="756">
        <f t="shared" si="1"/>
        <v>0</v>
      </c>
      <c r="P22" s="756">
        <f t="shared" si="1"/>
        <v>0</v>
      </c>
      <c r="Q22" s="756">
        <f t="shared" si="1"/>
        <v>0</v>
      </c>
      <c r="R22" s="756">
        <f t="shared" si="1"/>
        <v>137593.48836093568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520.17605657538104</v>
      </c>
      <c r="D24" s="639">
        <f>+landbouw!C8</f>
        <v>9000</v>
      </c>
      <c r="E24" s="639">
        <f>+landbouw!D8</f>
        <v>2866.0448521467915</v>
      </c>
      <c r="F24" s="639">
        <f>+landbouw!E8</f>
        <v>5.1368332350969368</v>
      </c>
      <c r="G24" s="639">
        <f>+landbouw!F8</f>
        <v>1735.4449622635941</v>
      </c>
      <c r="H24" s="639">
        <f>+landbouw!G8</f>
        <v>0</v>
      </c>
      <c r="I24" s="639">
        <f>+landbouw!H8</f>
        <v>0</v>
      </c>
      <c r="J24" s="639">
        <f>+landbouw!I8</f>
        <v>0</v>
      </c>
      <c r="K24" s="639">
        <f>+landbouw!J8</f>
        <v>51.897781982695925</v>
      </c>
      <c r="L24" s="639">
        <f>+landbouw!K8</f>
        <v>0</v>
      </c>
      <c r="M24" s="639">
        <f>+landbouw!L8</f>
        <v>0</v>
      </c>
      <c r="N24" s="639">
        <f>+landbouw!M8</f>
        <v>0</v>
      </c>
      <c r="O24" s="639">
        <f>+landbouw!N8</f>
        <v>0</v>
      </c>
      <c r="P24" s="639">
        <f>+landbouw!O8</f>
        <v>0</v>
      </c>
      <c r="Q24" s="640">
        <f>+landbouw!P8</f>
        <v>0</v>
      </c>
      <c r="R24" s="642">
        <f>SUM(C24:Q24)</f>
        <v>14178.700486203561</v>
      </c>
      <c r="S24" s="68"/>
    </row>
    <row r="25" spans="1:19" s="443" customFormat="1" ht="15" thickBot="1">
      <c r="A25" s="775" t="s">
        <v>847</v>
      </c>
      <c r="B25" s="941"/>
      <c r="C25" s="942">
        <f>IF(Onbekend_ele_kWh="---",0,Onbekend_ele_kWh)/1000+IF(REST_rest_ele_kWh="---",0,REST_rest_ele_kWh)/1000</f>
        <v>700.42095682169997</v>
      </c>
      <c r="D25" s="942"/>
      <c r="E25" s="942">
        <f>IF(onbekend_gas_kWh="---",0,onbekend_gas_kWh)/1000+IF(REST_rest_gas_kWh="---",0,REST_rest_gas_kWh)/1000</f>
        <v>2071.2556940836898</v>
      </c>
      <c r="F25" s="942"/>
      <c r="G25" s="942"/>
      <c r="H25" s="942"/>
      <c r="I25" s="942"/>
      <c r="J25" s="942"/>
      <c r="K25" s="942"/>
      <c r="L25" s="942"/>
      <c r="M25" s="942"/>
      <c r="N25" s="942"/>
      <c r="O25" s="942"/>
      <c r="P25" s="942"/>
      <c r="Q25" s="943"/>
      <c r="R25" s="642">
        <f>SUM(C25:Q25)</f>
        <v>2771.6766509053896</v>
      </c>
      <c r="S25" s="68"/>
    </row>
    <row r="26" spans="1:19" s="443" customFormat="1" ht="15.75" thickBot="1">
      <c r="A26" s="645" t="s">
        <v>848</v>
      </c>
      <c r="B26" s="761"/>
      <c r="C26" s="756">
        <f>SUM(C24:C25)</f>
        <v>1220.5970133970809</v>
      </c>
      <c r="D26" s="756">
        <f t="shared" ref="D26:R26" si="2">SUM(D24:D25)</f>
        <v>9000</v>
      </c>
      <c r="E26" s="756">
        <f t="shared" si="2"/>
        <v>4937.3005462304809</v>
      </c>
      <c r="F26" s="756">
        <f t="shared" si="2"/>
        <v>5.1368332350969368</v>
      </c>
      <c r="G26" s="756">
        <f t="shared" si="2"/>
        <v>1735.4449622635941</v>
      </c>
      <c r="H26" s="756">
        <f t="shared" si="2"/>
        <v>0</v>
      </c>
      <c r="I26" s="756">
        <f t="shared" si="2"/>
        <v>0</v>
      </c>
      <c r="J26" s="756">
        <f t="shared" si="2"/>
        <v>0</v>
      </c>
      <c r="K26" s="756">
        <f t="shared" si="2"/>
        <v>51.897781982695925</v>
      </c>
      <c r="L26" s="756">
        <f t="shared" si="2"/>
        <v>0</v>
      </c>
      <c r="M26" s="756">
        <f t="shared" si="2"/>
        <v>0</v>
      </c>
      <c r="N26" s="756">
        <f t="shared" si="2"/>
        <v>0</v>
      </c>
      <c r="O26" s="756">
        <f t="shared" si="2"/>
        <v>0</v>
      </c>
      <c r="P26" s="756">
        <f t="shared" si="2"/>
        <v>0</v>
      </c>
      <c r="Q26" s="756">
        <f t="shared" si="2"/>
        <v>0</v>
      </c>
      <c r="R26" s="756">
        <f t="shared" si="2"/>
        <v>16950.37713710895</v>
      </c>
      <c r="S26" s="68"/>
    </row>
    <row r="27" spans="1:19" s="443" customFormat="1" ht="17.25" thickTop="1" thickBot="1">
      <c r="A27" s="646" t="s">
        <v>109</v>
      </c>
      <c r="B27" s="748"/>
      <c r="C27" s="647">
        <f ca="1">C22+C16+C26</f>
        <v>119115.78984891265</v>
      </c>
      <c r="D27" s="647">
        <f t="shared" ref="D27:R27" ca="1" si="3">D22+D16+D26</f>
        <v>9000</v>
      </c>
      <c r="E27" s="647">
        <f t="shared" ca="1" si="3"/>
        <v>184750.60218965571</v>
      </c>
      <c r="F27" s="647">
        <f t="shared" si="3"/>
        <v>2386.4476137850502</v>
      </c>
      <c r="G27" s="647">
        <f t="shared" ca="1" si="3"/>
        <v>48639.33262204424</v>
      </c>
      <c r="H27" s="647">
        <f t="shared" si="3"/>
        <v>113374.68244018099</v>
      </c>
      <c r="I27" s="647">
        <f t="shared" si="3"/>
        <v>17858.594988566234</v>
      </c>
      <c r="J27" s="647">
        <f t="shared" si="3"/>
        <v>0</v>
      </c>
      <c r="K27" s="647">
        <f t="shared" si="3"/>
        <v>810.45110204082516</v>
      </c>
      <c r="L27" s="647">
        <f t="shared" si="3"/>
        <v>0</v>
      </c>
      <c r="M27" s="647">
        <f t="shared" ca="1" si="3"/>
        <v>0</v>
      </c>
      <c r="N27" s="647">
        <f t="shared" si="3"/>
        <v>5862.4963411463259</v>
      </c>
      <c r="O27" s="647">
        <f t="shared" ca="1" si="3"/>
        <v>8947.2654773120612</v>
      </c>
      <c r="P27" s="647">
        <f t="shared" si="3"/>
        <v>187.6</v>
      </c>
      <c r="Q27" s="647">
        <f t="shared" si="3"/>
        <v>343.2</v>
      </c>
      <c r="R27" s="647">
        <f t="shared" ca="1" si="3"/>
        <v>511276.46262364404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4927.4471768991443</v>
      </c>
      <c r="D40" s="639">
        <f ca="1">tertiair!C20</f>
        <v>0</v>
      </c>
      <c r="E40" s="639">
        <f ca="1">tertiair!D20</f>
        <v>3243.0590868388576</v>
      </c>
      <c r="F40" s="639">
        <f>tertiair!E20</f>
        <v>60.297276378804021</v>
      </c>
      <c r="G40" s="639">
        <f ca="1">tertiair!F20</f>
        <v>1147.9363341031114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9378.7398742199166</v>
      </c>
    </row>
    <row r="41" spans="1:18">
      <c r="A41" s="766" t="s">
        <v>214</v>
      </c>
      <c r="B41" s="773"/>
      <c r="C41" s="639">
        <f ca="1">huishoudens!B12</f>
        <v>4251.4562294932866</v>
      </c>
      <c r="D41" s="639">
        <f ca="1">huishoudens!C12</f>
        <v>0</v>
      </c>
      <c r="E41" s="639">
        <f>huishoudens!D12</f>
        <v>10981.344660785931</v>
      </c>
      <c r="F41" s="639">
        <f>huishoudens!E12</f>
        <v>216.55947269299438</v>
      </c>
      <c r="G41" s="639">
        <f>huishoudens!F12</f>
        <v>7765.6651079838648</v>
      </c>
      <c r="H41" s="639">
        <f>huishoudens!G12</f>
        <v>0</v>
      </c>
      <c r="I41" s="639">
        <f>huishoudens!H12</f>
        <v>0</v>
      </c>
      <c r="J41" s="639">
        <f>huishoudens!I12</f>
        <v>0</v>
      </c>
      <c r="K41" s="639">
        <f>huishoudens!J12</f>
        <v>186.8182463094839</v>
      </c>
      <c r="L41" s="639">
        <f>huishoudens!K12</f>
        <v>0</v>
      </c>
      <c r="M41" s="639">
        <f>huishoudens!L12</f>
        <v>0</v>
      </c>
      <c r="N41" s="639">
        <f>huishoudens!M12</f>
        <v>0</v>
      </c>
      <c r="O41" s="639">
        <f>huishoudens!N12</f>
        <v>0</v>
      </c>
      <c r="P41" s="639">
        <f>huishoudens!O12</f>
        <v>0</v>
      </c>
      <c r="Q41" s="714">
        <f>huishoudens!P12</f>
        <v>0</v>
      </c>
      <c r="R41" s="794">
        <f t="shared" ca="1" si="4"/>
        <v>23401.843717265561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15271.035023835169</v>
      </c>
      <c r="D43" s="639">
        <f ca="1">industrie!C22</f>
        <v>0</v>
      </c>
      <c r="E43" s="639">
        <f>industrie!D22</f>
        <v>22096.510472080161</v>
      </c>
      <c r="F43" s="639">
        <f>industrie!E22</f>
        <v>154.41134728158832</v>
      </c>
      <c r="G43" s="639">
        <f>industrie!F22</f>
        <v>3609.7365630744557</v>
      </c>
      <c r="H43" s="639">
        <f>industrie!G22</f>
        <v>0</v>
      </c>
      <c r="I43" s="639">
        <f>industrie!H22</f>
        <v>0</v>
      </c>
      <c r="J43" s="639">
        <f>industrie!I22</f>
        <v>0</v>
      </c>
      <c r="K43" s="639">
        <f>industrie!J22</f>
        <v>81.709628991093822</v>
      </c>
      <c r="L43" s="639">
        <f>industrie!K22</f>
        <v>0</v>
      </c>
      <c r="M43" s="639">
        <f>industrie!L22</f>
        <v>0</v>
      </c>
      <c r="N43" s="639">
        <f>industrie!M22</f>
        <v>0</v>
      </c>
      <c r="O43" s="639">
        <f>industrie!N22</f>
        <v>0</v>
      </c>
      <c r="P43" s="639">
        <f>industrie!O22</f>
        <v>0</v>
      </c>
      <c r="Q43" s="714">
        <f>industrie!P22</f>
        <v>0</v>
      </c>
      <c r="R43" s="793">
        <f t="shared" ca="1" si="4"/>
        <v>41213.403035262461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24449.938430227601</v>
      </c>
      <c r="D46" s="672">
        <f t="shared" ref="D46:Q46" ca="1" si="5">SUM(D39:D45)</f>
        <v>0</v>
      </c>
      <c r="E46" s="672">
        <f t="shared" ca="1" si="5"/>
        <v>36320.914219704951</v>
      </c>
      <c r="F46" s="672">
        <f t="shared" si="5"/>
        <v>431.26809635338668</v>
      </c>
      <c r="G46" s="672">
        <f t="shared" ca="1" si="5"/>
        <v>12523.338005161431</v>
      </c>
      <c r="H46" s="672">
        <f t="shared" si="5"/>
        <v>0</v>
      </c>
      <c r="I46" s="672">
        <f t="shared" si="5"/>
        <v>0</v>
      </c>
      <c r="J46" s="672">
        <f t="shared" si="5"/>
        <v>0</v>
      </c>
      <c r="K46" s="672">
        <f t="shared" si="5"/>
        <v>268.5278753005777</v>
      </c>
      <c r="L46" s="672">
        <f t="shared" si="5"/>
        <v>0</v>
      </c>
      <c r="M46" s="672">
        <f t="shared" ca="1" si="5"/>
        <v>0</v>
      </c>
      <c r="N46" s="672">
        <f t="shared" si="5"/>
        <v>0</v>
      </c>
      <c r="O46" s="672">
        <f t="shared" ca="1" si="5"/>
        <v>0</v>
      </c>
      <c r="P46" s="672">
        <f t="shared" si="5"/>
        <v>0</v>
      </c>
      <c r="Q46" s="672">
        <f t="shared" si="5"/>
        <v>0</v>
      </c>
      <c r="R46" s="672">
        <f ca="1">SUM(R39:R45)</f>
        <v>73993.986626747937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0.71626670366205636</v>
      </c>
      <c r="D49" s="639">
        <f ca="1">transport!C58</f>
        <v>0</v>
      </c>
      <c r="E49" s="639">
        <f>transport!D58</f>
        <v>0</v>
      </c>
      <c r="F49" s="639">
        <f>transport!E58</f>
        <v>0</v>
      </c>
      <c r="G49" s="639">
        <f>transport!F58</f>
        <v>0</v>
      </c>
      <c r="H49" s="639">
        <f>transport!G58</f>
        <v>183.91104819325395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184.627314896916</v>
      </c>
    </row>
    <row r="50" spans="1:18">
      <c r="A50" s="769" t="s">
        <v>296</v>
      </c>
      <c r="B50" s="779"/>
      <c r="C50" s="948">
        <f ca="1">transport!B18</f>
        <v>1.2473613458035626</v>
      </c>
      <c r="D50" s="948">
        <f>transport!C18</f>
        <v>0</v>
      </c>
      <c r="E50" s="948">
        <f>transport!D18</f>
        <v>1.3727122669460237</v>
      </c>
      <c r="F50" s="948">
        <f>transport!E18</f>
        <v>109.28945083145264</v>
      </c>
      <c r="G50" s="948">
        <f>transport!F18</f>
        <v>0</v>
      </c>
      <c r="H50" s="948">
        <f>transport!G18</f>
        <v>30087.129163335074</v>
      </c>
      <c r="I50" s="948">
        <f>transport!H18</f>
        <v>4446.7901521529921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34645.82883993227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1.9636280494656191</v>
      </c>
      <c r="D52" s="672">
        <f t="shared" ref="D52:Q52" ca="1" si="6">SUM(D48:D51)</f>
        <v>0</v>
      </c>
      <c r="E52" s="672">
        <f t="shared" si="6"/>
        <v>1.3727122669460237</v>
      </c>
      <c r="F52" s="672">
        <f t="shared" si="6"/>
        <v>109.28945083145264</v>
      </c>
      <c r="G52" s="672">
        <f t="shared" si="6"/>
        <v>0</v>
      </c>
      <c r="H52" s="672">
        <f t="shared" si="6"/>
        <v>30271.040211528329</v>
      </c>
      <c r="I52" s="672">
        <f t="shared" si="6"/>
        <v>4446.7901521529921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34830.456154829189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107.8864513686122</v>
      </c>
      <c r="D54" s="948">
        <f ca="1">+landbouw!C12</f>
        <v>2138.8235294117649</v>
      </c>
      <c r="E54" s="948">
        <f>+landbouw!D12</f>
        <v>578.94106013365194</v>
      </c>
      <c r="F54" s="948">
        <f>+landbouw!E12</f>
        <v>1.1660611443670046</v>
      </c>
      <c r="G54" s="948">
        <f>+landbouw!F12</f>
        <v>463.36380492437968</v>
      </c>
      <c r="H54" s="948">
        <f>+landbouw!G12</f>
        <v>0</v>
      </c>
      <c r="I54" s="948">
        <f>+landbouw!H12</f>
        <v>0</v>
      </c>
      <c r="J54" s="948">
        <f>+landbouw!I12</f>
        <v>0</v>
      </c>
      <c r="K54" s="948">
        <f>+landbouw!J12</f>
        <v>18.371814821874356</v>
      </c>
      <c r="L54" s="948">
        <f>+landbouw!K12</f>
        <v>0</v>
      </c>
      <c r="M54" s="948">
        <f>+landbouw!L12</f>
        <v>0</v>
      </c>
      <c r="N54" s="948">
        <f>+landbouw!M12</f>
        <v>0</v>
      </c>
      <c r="O54" s="948">
        <f>+landbouw!N12</f>
        <v>0</v>
      </c>
      <c r="P54" s="948">
        <f>+landbouw!O12</f>
        <v>0</v>
      </c>
      <c r="Q54" s="949">
        <f>+landbouw!P12</f>
        <v>0</v>
      </c>
      <c r="R54" s="671">
        <f ca="1">SUM(C54:Q54)</f>
        <v>3308.5527218046504</v>
      </c>
    </row>
    <row r="55" spans="1:18" ht="15" thickBot="1">
      <c r="A55" s="769" t="s">
        <v>847</v>
      </c>
      <c r="B55" s="779"/>
      <c r="C55" s="948">
        <f ca="1">C25*'EF ele_warmte'!B12</f>
        <v>145.26991494609587</v>
      </c>
      <c r="D55" s="948"/>
      <c r="E55" s="948">
        <f>E25*EF_CO2_aardgas</f>
        <v>418.39365020490538</v>
      </c>
      <c r="F55" s="948"/>
      <c r="G55" s="948"/>
      <c r="H55" s="948"/>
      <c r="I55" s="948"/>
      <c r="J55" s="948"/>
      <c r="K55" s="948"/>
      <c r="L55" s="948"/>
      <c r="M55" s="948"/>
      <c r="N55" s="948"/>
      <c r="O55" s="948"/>
      <c r="P55" s="948"/>
      <c r="Q55" s="949"/>
      <c r="R55" s="671">
        <f ca="1">SUM(C55:Q55)</f>
        <v>563.66356515100119</v>
      </c>
    </row>
    <row r="56" spans="1:18" ht="15.75" thickBot="1">
      <c r="A56" s="767" t="s">
        <v>848</v>
      </c>
      <c r="B56" s="780"/>
      <c r="C56" s="672">
        <f ca="1">SUM(C54:C55)</f>
        <v>253.15636631470807</v>
      </c>
      <c r="D56" s="672">
        <f t="shared" ref="D56:Q56" ca="1" si="7">SUM(D54:D55)</f>
        <v>2138.8235294117649</v>
      </c>
      <c r="E56" s="672">
        <f t="shared" si="7"/>
        <v>997.33471033855733</v>
      </c>
      <c r="F56" s="672">
        <f t="shared" si="7"/>
        <v>1.1660611443670046</v>
      </c>
      <c r="G56" s="672">
        <f t="shared" si="7"/>
        <v>463.36380492437968</v>
      </c>
      <c r="H56" s="672">
        <f t="shared" si="7"/>
        <v>0</v>
      </c>
      <c r="I56" s="672">
        <f t="shared" si="7"/>
        <v>0</v>
      </c>
      <c r="J56" s="672">
        <f t="shared" si="7"/>
        <v>0</v>
      </c>
      <c r="K56" s="672">
        <f t="shared" si="7"/>
        <v>18.371814821874356</v>
      </c>
      <c r="L56" s="672">
        <f t="shared" si="7"/>
        <v>0</v>
      </c>
      <c r="M56" s="672">
        <f t="shared" si="7"/>
        <v>0</v>
      </c>
      <c r="N56" s="672">
        <f t="shared" si="7"/>
        <v>0</v>
      </c>
      <c r="O56" s="672">
        <f t="shared" si="7"/>
        <v>0</v>
      </c>
      <c r="P56" s="672">
        <f t="shared" si="7"/>
        <v>0</v>
      </c>
      <c r="Q56" s="673">
        <f t="shared" si="7"/>
        <v>0</v>
      </c>
      <c r="R56" s="674">
        <f ca="1">SUM(R54:R55)</f>
        <v>3872.2162869556514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24705.058424591778</v>
      </c>
      <c r="D61" s="680">
        <f t="shared" ref="D61:Q61" ca="1" si="8">D46+D52+D56</f>
        <v>2138.8235294117649</v>
      </c>
      <c r="E61" s="680">
        <f t="shared" ca="1" si="8"/>
        <v>37319.621642310456</v>
      </c>
      <c r="F61" s="680">
        <f t="shared" si="8"/>
        <v>541.72360832920629</v>
      </c>
      <c r="G61" s="680">
        <f t="shared" ca="1" si="8"/>
        <v>12986.701810085811</v>
      </c>
      <c r="H61" s="680">
        <f t="shared" si="8"/>
        <v>30271.040211528329</v>
      </c>
      <c r="I61" s="680">
        <f t="shared" si="8"/>
        <v>4446.7901521529921</v>
      </c>
      <c r="J61" s="680">
        <f t="shared" si="8"/>
        <v>0</v>
      </c>
      <c r="K61" s="680">
        <f t="shared" si="8"/>
        <v>286.89969012245206</v>
      </c>
      <c r="L61" s="680">
        <f t="shared" si="8"/>
        <v>0</v>
      </c>
      <c r="M61" s="680">
        <f t="shared" ca="1" si="8"/>
        <v>0</v>
      </c>
      <c r="N61" s="680">
        <f t="shared" si="8"/>
        <v>0</v>
      </c>
      <c r="O61" s="680">
        <f t="shared" ca="1" si="8"/>
        <v>0</v>
      </c>
      <c r="P61" s="680">
        <f t="shared" si="8"/>
        <v>0</v>
      </c>
      <c r="Q61" s="680">
        <f t="shared" si="8"/>
        <v>0</v>
      </c>
      <c r="R61" s="680">
        <f ca="1">R46+R52+R56</f>
        <v>112696.65906853277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0.20740372419078829</v>
      </c>
      <c r="D63" s="724">
        <f t="shared" ca="1" si="9"/>
        <v>0.23764705882352943</v>
      </c>
      <c r="E63" s="950">
        <f t="shared" ca="1" si="9"/>
        <v>0.20200000000000001</v>
      </c>
      <c r="F63" s="724">
        <f t="shared" si="9"/>
        <v>0.22699999999999995</v>
      </c>
      <c r="G63" s="724">
        <f t="shared" ca="1" si="9"/>
        <v>0.26699999999999996</v>
      </c>
      <c r="H63" s="724">
        <f t="shared" si="9"/>
        <v>0.26700000000000007</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6767.7493330595371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6300</v>
      </c>
      <c r="D76" s="960">
        <f>'lokale energieproductie'!C8</f>
        <v>7411.7647058823522</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1497.1764705882354</v>
      </c>
      <c r="R76" s="796">
        <v>0</v>
      </c>
    </row>
    <row r="77" spans="1:18" ht="30.75" thickBot="1">
      <c r="A77" s="693" t="s">
        <v>340</v>
      </c>
      <c r="B77" s="690">
        <f>'lokale energieproductie'!B9*IFERROR(SUM(I77:O77)/SUM(D77:O77),0)</f>
        <v>1035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2957.1428571428573</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7802.7493330595371</v>
      </c>
      <c r="C78" s="695">
        <f>SUM(C72:C77)</f>
        <v>6300</v>
      </c>
      <c r="D78" s="696">
        <f t="shared" ref="D78:H78" si="10">SUM(D76:D77)</f>
        <v>7411.7647058823522</v>
      </c>
      <c r="E78" s="696">
        <f t="shared" si="10"/>
        <v>0</v>
      </c>
      <c r="F78" s="696">
        <f t="shared" si="10"/>
        <v>0</v>
      </c>
      <c r="G78" s="696">
        <f t="shared" si="10"/>
        <v>0</v>
      </c>
      <c r="H78" s="696">
        <f t="shared" si="10"/>
        <v>0</v>
      </c>
      <c r="I78" s="696">
        <f>SUM(I76:I77)</f>
        <v>0</v>
      </c>
      <c r="J78" s="696">
        <f>SUM(J76:J77)</f>
        <v>2957.1428571428573</v>
      </c>
      <c r="K78" s="696">
        <f t="shared" ref="K78:L78" si="11">SUM(K76:K77)</f>
        <v>0</v>
      </c>
      <c r="L78" s="696">
        <f t="shared" si="11"/>
        <v>0</v>
      </c>
      <c r="M78" s="696">
        <f>SUM(M76:M77)</f>
        <v>0</v>
      </c>
      <c r="N78" s="696">
        <f>SUM(N76:N77)</f>
        <v>0</v>
      </c>
      <c r="O78" s="804">
        <f>SUM(O76:O77)</f>
        <v>0</v>
      </c>
      <c r="P78" s="697">
        <v>0</v>
      </c>
      <c r="Q78" s="697">
        <f>SUM(Q76:Q77)</f>
        <v>1497.1764705882354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9000</v>
      </c>
      <c r="D87" s="717">
        <f>'lokale energieproductie'!C17</f>
        <v>10588.235294117647</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2138.8235294117649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9000</v>
      </c>
      <c r="D90" s="695">
        <f t="shared" ref="D90:H90" si="12">SUM(D87:D89)</f>
        <v>10588.235294117647</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2138.8235294117649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20498.456554147608</v>
      </c>
      <c r="C4" s="447">
        <f>huishoudens!C8</f>
        <v>0</v>
      </c>
      <c r="D4" s="447">
        <f>huishoudens!D8</f>
        <v>54363.092380128372</v>
      </c>
      <c r="E4" s="447">
        <f>huishoudens!E8</f>
        <v>954.00648763433639</v>
      </c>
      <c r="F4" s="447">
        <f>huishoudens!F8</f>
        <v>29084.888044883388</v>
      </c>
      <c r="G4" s="447">
        <f>huishoudens!G8</f>
        <v>0</v>
      </c>
      <c r="H4" s="447">
        <f>huishoudens!H8</f>
        <v>0</v>
      </c>
      <c r="I4" s="447">
        <f>huishoudens!I8</f>
        <v>0</v>
      </c>
      <c r="J4" s="447">
        <f>huishoudens!J8</f>
        <v>527.73515906633872</v>
      </c>
      <c r="K4" s="447">
        <f>huishoudens!K8</f>
        <v>0</v>
      </c>
      <c r="L4" s="447">
        <f>huishoudens!L8</f>
        <v>0</v>
      </c>
      <c r="M4" s="447">
        <f>huishoudens!M8</f>
        <v>0</v>
      </c>
      <c r="N4" s="447">
        <f>huishoudens!N8</f>
        <v>6960.1610844371589</v>
      </c>
      <c r="O4" s="447">
        <f>huishoudens!O8</f>
        <v>186.03666666666666</v>
      </c>
      <c r="P4" s="448">
        <f>huishoudens!P8</f>
        <v>324.13333333333333</v>
      </c>
      <c r="Q4" s="449">
        <f>SUM(B4:P4)</f>
        <v>112898.50971029722</v>
      </c>
    </row>
    <row r="5" spans="1:17">
      <c r="A5" s="446" t="s">
        <v>149</v>
      </c>
      <c r="B5" s="447">
        <f ca="1">tertiair!B16</f>
        <v>23114.90250183814</v>
      </c>
      <c r="C5" s="447">
        <f ca="1">tertiair!C16</f>
        <v>0</v>
      </c>
      <c r="D5" s="447">
        <f ca="1">tertiair!D16</f>
        <v>16054.747954647808</v>
      </c>
      <c r="E5" s="447">
        <f>tertiair!E16</f>
        <v>265.62676818856397</v>
      </c>
      <c r="F5" s="447">
        <f ca="1">tertiair!F16</f>
        <v>4299.3870191127771</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1.5633333333333335</v>
      </c>
      <c r="P5" s="448">
        <f>tertiair!P16</f>
        <v>19.066666666666666</v>
      </c>
      <c r="Q5" s="446">
        <f t="shared" ref="Q5:Q14" ca="1" si="0">SUM(B5:P5)</f>
        <v>43755.294243787292</v>
      </c>
    </row>
    <row r="6" spans="1:17">
      <c r="A6" s="446" t="s">
        <v>187</v>
      </c>
      <c r="B6" s="447">
        <f>'openbare verlichting'!B8</f>
        <v>642.85400000000004</v>
      </c>
      <c r="C6" s="447"/>
      <c r="D6" s="447"/>
      <c r="E6" s="447"/>
      <c r="F6" s="447"/>
      <c r="G6" s="447"/>
      <c r="H6" s="447"/>
      <c r="I6" s="447"/>
      <c r="J6" s="447"/>
      <c r="K6" s="447"/>
      <c r="L6" s="447"/>
      <c r="M6" s="447"/>
      <c r="N6" s="447"/>
      <c r="O6" s="447"/>
      <c r="P6" s="448"/>
      <c r="Q6" s="446">
        <f t="shared" si="0"/>
        <v>642.85400000000004</v>
      </c>
    </row>
    <row r="7" spans="1:17">
      <c r="A7" s="446" t="s">
        <v>105</v>
      </c>
      <c r="B7" s="447">
        <f>landbouw!B8</f>
        <v>520.17605657538104</v>
      </c>
      <c r="C7" s="447">
        <f>landbouw!C8</f>
        <v>9000</v>
      </c>
      <c r="D7" s="447">
        <f>landbouw!D8</f>
        <v>2866.0448521467915</v>
      </c>
      <c r="E7" s="447">
        <f>landbouw!E8</f>
        <v>5.1368332350969368</v>
      </c>
      <c r="F7" s="447">
        <f>landbouw!F8</f>
        <v>1735.4449622635941</v>
      </c>
      <c r="G7" s="447">
        <f>landbouw!G8</f>
        <v>0</v>
      </c>
      <c r="H7" s="447">
        <f>landbouw!H8</f>
        <v>0</v>
      </c>
      <c r="I7" s="447">
        <f>landbouw!I8</f>
        <v>0</v>
      </c>
      <c r="J7" s="447">
        <f>landbouw!J8</f>
        <v>51.897781982695925</v>
      </c>
      <c r="K7" s="447">
        <f>landbouw!K8</f>
        <v>0</v>
      </c>
      <c r="L7" s="447">
        <f>landbouw!L8</f>
        <v>0</v>
      </c>
      <c r="M7" s="447">
        <f>landbouw!M8</f>
        <v>0</v>
      </c>
      <c r="N7" s="447">
        <f>landbouw!N8</f>
        <v>0</v>
      </c>
      <c r="O7" s="447">
        <f>landbouw!O8</f>
        <v>0</v>
      </c>
      <c r="P7" s="448">
        <f>landbouw!P8</f>
        <v>0</v>
      </c>
      <c r="Q7" s="446">
        <f t="shared" si="0"/>
        <v>14178.700486203561</v>
      </c>
    </row>
    <row r="8" spans="1:17">
      <c r="A8" s="446" t="s">
        <v>640</v>
      </c>
      <c r="B8" s="447">
        <f>industrie!B18</f>
        <v>73629.512119018284</v>
      </c>
      <c r="C8" s="447">
        <f>industrie!C18</f>
        <v>0</v>
      </c>
      <c r="D8" s="447">
        <f>industrie!D18</f>
        <v>109388.66570336712</v>
      </c>
      <c r="E8" s="447">
        <f>industrie!E18</f>
        <v>680.22619947836267</v>
      </c>
      <c r="F8" s="447">
        <f>industrie!F18</f>
        <v>13519.612595784478</v>
      </c>
      <c r="G8" s="447">
        <f>industrie!G18</f>
        <v>0</v>
      </c>
      <c r="H8" s="447">
        <f>industrie!H18</f>
        <v>0</v>
      </c>
      <c r="I8" s="447">
        <f>industrie!I18</f>
        <v>0</v>
      </c>
      <c r="J8" s="447">
        <f>industrie!J18</f>
        <v>230.81816099179048</v>
      </c>
      <c r="K8" s="447">
        <f>industrie!K18</f>
        <v>0</v>
      </c>
      <c r="L8" s="447">
        <f>industrie!L18</f>
        <v>0</v>
      </c>
      <c r="M8" s="447">
        <f>industrie!M18</f>
        <v>0</v>
      </c>
      <c r="N8" s="447">
        <f>industrie!N18</f>
        <v>1987.1043928749023</v>
      </c>
      <c r="O8" s="447">
        <f>industrie!O18</f>
        <v>0</v>
      </c>
      <c r="P8" s="448">
        <f>industrie!P18</f>
        <v>0</v>
      </c>
      <c r="Q8" s="446">
        <f t="shared" si="0"/>
        <v>199435.93917151494</v>
      </c>
    </row>
    <row r="9" spans="1:17" s="452" customFormat="1">
      <c r="A9" s="450" t="s">
        <v>560</v>
      </c>
      <c r="B9" s="451">
        <f>transport!B14</f>
        <v>6.0141704333916852</v>
      </c>
      <c r="C9" s="451">
        <f>transport!C14</f>
        <v>0</v>
      </c>
      <c r="D9" s="451">
        <f>transport!D14</f>
        <v>6.7956052819110075</v>
      </c>
      <c r="E9" s="451">
        <f>transport!E14</f>
        <v>481.45132524869001</v>
      </c>
      <c r="F9" s="451">
        <f>transport!F14</f>
        <v>0</v>
      </c>
      <c r="G9" s="451">
        <f>transport!G14</f>
        <v>112685.87701623622</v>
      </c>
      <c r="H9" s="451">
        <f>transport!H14</f>
        <v>17858.594988566234</v>
      </c>
      <c r="I9" s="451">
        <f>transport!I14</f>
        <v>0</v>
      </c>
      <c r="J9" s="451">
        <f>transport!J14</f>
        <v>0</v>
      </c>
      <c r="K9" s="451">
        <f>transport!K14</f>
        <v>0</v>
      </c>
      <c r="L9" s="451">
        <f>transport!L14</f>
        <v>0</v>
      </c>
      <c r="M9" s="451">
        <f>transport!M14</f>
        <v>5832.0518750153105</v>
      </c>
      <c r="N9" s="451">
        <f>transport!N14</f>
        <v>0</v>
      </c>
      <c r="O9" s="451">
        <f>transport!O14</f>
        <v>0</v>
      </c>
      <c r="P9" s="451">
        <f>transport!P14</f>
        <v>0</v>
      </c>
      <c r="Q9" s="450">
        <f>SUM(B9:P9)</f>
        <v>136870.78498078175</v>
      </c>
    </row>
    <row r="10" spans="1:17">
      <c r="A10" s="446" t="s">
        <v>550</v>
      </c>
      <c r="B10" s="447">
        <f>transport!B54</f>
        <v>3.4534900781394406</v>
      </c>
      <c r="C10" s="447">
        <f>transport!C54</f>
        <v>0</v>
      </c>
      <c r="D10" s="447">
        <f>transport!D54</f>
        <v>0</v>
      </c>
      <c r="E10" s="447">
        <f>transport!E54</f>
        <v>0</v>
      </c>
      <c r="F10" s="447">
        <f>transport!F54</f>
        <v>0</v>
      </c>
      <c r="G10" s="447">
        <f>transport!G54</f>
        <v>688.80542394477129</v>
      </c>
      <c r="H10" s="447">
        <f>transport!H54</f>
        <v>0</v>
      </c>
      <c r="I10" s="447">
        <f>transport!I54</f>
        <v>0</v>
      </c>
      <c r="J10" s="447">
        <f>transport!J54</f>
        <v>0</v>
      </c>
      <c r="K10" s="447">
        <f>transport!K54</f>
        <v>0</v>
      </c>
      <c r="L10" s="447">
        <f>transport!L54</f>
        <v>0</v>
      </c>
      <c r="M10" s="447">
        <f>transport!M54</f>
        <v>30.444466131015059</v>
      </c>
      <c r="N10" s="447">
        <f>transport!N54</f>
        <v>0</v>
      </c>
      <c r="O10" s="447">
        <f>transport!O54</f>
        <v>0</v>
      </c>
      <c r="P10" s="448">
        <f>transport!P54</f>
        <v>0</v>
      </c>
      <c r="Q10" s="446">
        <f t="shared" si="0"/>
        <v>722.70338015392576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700.42095682169997</v>
      </c>
      <c r="C14" s="454"/>
      <c r="D14" s="454">
        <f>'SEAP template'!E25</f>
        <v>2071.2556940836898</v>
      </c>
      <c r="E14" s="454"/>
      <c r="F14" s="454"/>
      <c r="G14" s="454"/>
      <c r="H14" s="454"/>
      <c r="I14" s="454"/>
      <c r="J14" s="454"/>
      <c r="K14" s="454"/>
      <c r="L14" s="454"/>
      <c r="M14" s="454"/>
      <c r="N14" s="454"/>
      <c r="O14" s="454"/>
      <c r="P14" s="455"/>
      <c r="Q14" s="446">
        <f t="shared" si="0"/>
        <v>2771.6766509053896</v>
      </c>
    </row>
    <row r="15" spans="1:17" s="459" customFormat="1">
      <c r="A15" s="456" t="s">
        <v>554</v>
      </c>
      <c r="B15" s="457">
        <f ca="1">SUM(B4:B14)</f>
        <v>119115.78984891265</v>
      </c>
      <c r="C15" s="457">
        <f t="shared" ref="C15:Q15" ca="1" si="1">SUM(C4:C14)</f>
        <v>9000</v>
      </c>
      <c r="D15" s="457">
        <f t="shared" ca="1" si="1"/>
        <v>184750.60218965571</v>
      </c>
      <c r="E15" s="457">
        <f t="shared" si="1"/>
        <v>2386.4476137850497</v>
      </c>
      <c r="F15" s="457">
        <f t="shared" ca="1" si="1"/>
        <v>48639.33262204424</v>
      </c>
      <c r="G15" s="457">
        <f t="shared" si="1"/>
        <v>113374.68244018099</v>
      </c>
      <c r="H15" s="457">
        <f t="shared" si="1"/>
        <v>17858.594988566234</v>
      </c>
      <c r="I15" s="457">
        <f t="shared" si="1"/>
        <v>0</v>
      </c>
      <c r="J15" s="457">
        <f t="shared" si="1"/>
        <v>810.45110204082516</v>
      </c>
      <c r="K15" s="457">
        <f t="shared" si="1"/>
        <v>0</v>
      </c>
      <c r="L15" s="457">
        <f t="shared" ca="1" si="1"/>
        <v>0</v>
      </c>
      <c r="M15" s="457">
        <f t="shared" si="1"/>
        <v>5862.4963411463259</v>
      </c>
      <c r="N15" s="457">
        <f t="shared" ca="1" si="1"/>
        <v>8947.2654773120612</v>
      </c>
      <c r="O15" s="457">
        <f t="shared" si="1"/>
        <v>187.6</v>
      </c>
      <c r="P15" s="457">
        <f t="shared" si="1"/>
        <v>343.2</v>
      </c>
      <c r="Q15" s="457">
        <f t="shared" ca="1" si="1"/>
        <v>511276.4626236441</v>
      </c>
    </row>
    <row r="17" spans="1:17">
      <c r="A17" s="460" t="s">
        <v>555</v>
      </c>
      <c r="B17" s="729">
        <f ca="1">huishoudens!B10</f>
        <v>0.20740372419078826</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4251.4562294932866</v>
      </c>
      <c r="C22" s="447">
        <f t="shared" ref="C22:C32" ca="1" si="3">C4*$C$17</f>
        <v>0</v>
      </c>
      <c r="D22" s="447">
        <f t="shared" ref="D22:D32" si="4">D4*$D$17</f>
        <v>10981.344660785931</v>
      </c>
      <c r="E22" s="447">
        <f t="shared" ref="E22:E32" si="5">E4*$E$17</f>
        <v>216.55947269299438</v>
      </c>
      <c r="F22" s="447">
        <f t="shared" ref="F22:F32" si="6">F4*$F$17</f>
        <v>7765.6651079838648</v>
      </c>
      <c r="G22" s="447">
        <f t="shared" ref="G22:G32" si="7">G4*$G$17</f>
        <v>0</v>
      </c>
      <c r="H22" s="447">
        <f t="shared" ref="H22:H32" si="8">H4*$H$17</f>
        <v>0</v>
      </c>
      <c r="I22" s="447">
        <f t="shared" ref="I22:I32" si="9">I4*$I$17</f>
        <v>0</v>
      </c>
      <c r="J22" s="447">
        <f t="shared" ref="J22:J32" si="10">J4*$J$17</f>
        <v>186.8182463094839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23401.843717265561</v>
      </c>
    </row>
    <row r="23" spans="1:17">
      <c r="A23" s="446" t="s">
        <v>149</v>
      </c>
      <c r="B23" s="447">
        <f t="shared" ca="1" si="2"/>
        <v>4794.1168631881992</v>
      </c>
      <c r="C23" s="447">
        <f t="shared" ca="1" si="3"/>
        <v>0</v>
      </c>
      <c r="D23" s="447">
        <f t="shared" ca="1" si="4"/>
        <v>3243.0590868388576</v>
      </c>
      <c r="E23" s="447">
        <f t="shared" si="5"/>
        <v>60.297276378804021</v>
      </c>
      <c r="F23" s="447">
        <f t="shared" ca="1" si="6"/>
        <v>1147.9363341031114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9245.4095605089715</v>
      </c>
    </row>
    <row r="24" spans="1:17">
      <c r="A24" s="446" t="s">
        <v>187</v>
      </c>
      <c r="B24" s="447">
        <f t="shared" ca="1" si="2"/>
        <v>133.33031371094501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133.33031371094501</v>
      </c>
    </row>
    <row r="25" spans="1:17">
      <c r="A25" s="446" t="s">
        <v>105</v>
      </c>
      <c r="B25" s="447">
        <f t="shared" ca="1" si="2"/>
        <v>107.8864513686122</v>
      </c>
      <c r="C25" s="447">
        <f t="shared" ca="1" si="3"/>
        <v>2138.8235294117649</v>
      </c>
      <c r="D25" s="447">
        <f t="shared" si="4"/>
        <v>578.94106013365194</v>
      </c>
      <c r="E25" s="447">
        <f t="shared" si="5"/>
        <v>1.1660611443670046</v>
      </c>
      <c r="F25" s="447">
        <f t="shared" si="6"/>
        <v>463.36380492437968</v>
      </c>
      <c r="G25" s="447">
        <f t="shared" si="7"/>
        <v>0</v>
      </c>
      <c r="H25" s="447">
        <f t="shared" si="8"/>
        <v>0</v>
      </c>
      <c r="I25" s="447">
        <f t="shared" si="9"/>
        <v>0</v>
      </c>
      <c r="J25" s="447">
        <f t="shared" si="10"/>
        <v>18.371814821874356</v>
      </c>
      <c r="K25" s="447">
        <f t="shared" si="11"/>
        <v>0</v>
      </c>
      <c r="L25" s="447">
        <f t="shared" si="12"/>
        <v>0</v>
      </c>
      <c r="M25" s="447">
        <f t="shared" si="13"/>
        <v>0</v>
      </c>
      <c r="N25" s="447">
        <f t="shared" si="14"/>
        <v>0</v>
      </c>
      <c r="O25" s="447">
        <f t="shared" si="15"/>
        <v>0</v>
      </c>
      <c r="P25" s="448">
        <f t="shared" si="16"/>
        <v>0</v>
      </c>
      <c r="Q25" s="446">
        <f t="shared" ca="1" si="17"/>
        <v>3308.5527218046504</v>
      </c>
    </row>
    <row r="26" spans="1:17">
      <c r="A26" s="446" t="s">
        <v>640</v>
      </c>
      <c r="B26" s="447">
        <f t="shared" ca="1" si="2"/>
        <v>15271.035023835169</v>
      </c>
      <c r="C26" s="447">
        <f t="shared" ca="1" si="3"/>
        <v>0</v>
      </c>
      <c r="D26" s="447">
        <f t="shared" si="4"/>
        <v>22096.510472080161</v>
      </c>
      <c r="E26" s="447">
        <f t="shared" si="5"/>
        <v>154.41134728158832</v>
      </c>
      <c r="F26" s="447">
        <f t="shared" si="6"/>
        <v>3609.7365630744557</v>
      </c>
      <c r="G26" s="447">
        <f t="shared" si="7"/>
        <v>0</v>
      </c>
      <c r="H26" s="447">
        <f t="shared" si="8"/>
        <v>0</v>
      </c>
      <c r="I26" s="447">
        <f t="shared" si="9"/>
        <v>0</v>
      </c>
      <c r="J26" s="447">
        <f t="shared" si="10"/>
        <v>81.709628991093822</v>
      </c>
      <c r="K26" s="447">
        <f t="shared" si="11"/>
        <v>0</v>
      </c>
      <c r="L26" s="447">
        <f t="shared" si="12"/>
        <v>0</v>
      </c>
      <c r="M26" s="447">
        <f t="shared" si="13"/>
        <v>0</v>
      </c>
      <c r="N26" s="447">
        <f t="shared" si="14"/>
        <v>0</v>
      </c>
      <c r="O26" s="447">
        <f t="shared" si="15"/>
        <v>0</v>
      </c>
      <c r="P26" s="448">
        <f t="shared" si="16"/>
        <v>0</v>
      </c>
      <c r="Q26" s="446">
        <f t="shared" ca="1" si="17"/>
        <v>41213.403035262461</v>
      </c>
    </row>
    <row r="27" spans="1:17" s="452" customFormat="1">
      <c r="A27" s="450" t="s">
        <v>560</v>
      </c>
      <c r="B27" s="723">
        <f t="shared" ca="1" si="2"/>
        <v>1.2473613458035626</v>
      </c>
      <c r="C27" s="451">
        <f t="shared" ca="1" si="3"/>
        <v>0</v>
      </c>
      <c r="D27" s="451">
        <f t="shared" si="4"/>
        <v>1.3727122669460237</v>
      </c>
      <c r="E27" s="451">
        <f t="shared" si="5"/>
        <v>109.28945083145264</v>
      </c>
      <c r="F27" s="451">
        <f t="shared" si="6"/>
        <v>0</v>
      </c>
      <c r="G27" s="451">
        <f t="shared" si="7"/>
        <v>30087.129163335074</v>
      </c>
      <c r="H27" s="451">
        <f t="shared" si="8"/>
        <v>4446.7901521529921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34645.82883993227</v>
      </c>
    </row>
    <row r="28" spans="1:17">
      <c r="A28" s="446" t="s">
        <v>550</v>
      </c>
      <c r="B28" s="447">
        <f t="shared" ca="1" si="2"/>
        <v>0.71626670366205636</v>
      </c>
      <c r="C28" s="447">
        <f t="shared" ca="1" si="3"/>
        <v>0</v>
      </c>
      <c r="D28" s="447">
        <f t="shared" si="4"/>
        <v>0</v>
      </c>
      <c r="E28" s="447">
        <f t="shared" si="5"/>
        <v>0</v>
      </c>
      <c r="F28" s="447">
        <f t="shared" si="6"/>
        <v>0</v>
      </c>
      <c r="G28" s="447">
        <f t="shared" si="7"/>
        <v>183.91104819325395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184.627314896916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145.26991494609587</v>
      </c>
      <c r="C32" s="447">
        <f t="shared" ca="1" si="3"/>
        <v>0</v>
      </c>
      <c r="D32" s="447">
        <f t="shared" si="4"/>
        <v>418.39365020490538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563.66356515100119</v>
      </c>
    </row>
    <row r="33" spans="1:17" s="459" customFormat="1">
      <c r="A33" s="456" t="s">
        <v>554</v>
      </c>
      <c r="B33" s="457">
        <f ca="1">SUM(B22:B32)</f>
        <v>24705.058424591774</v>
      </c>
      <c r="C33" s="457">
        <f t="shared" ref="C33:Q33" ca="1" si="18">SUM(C22:C32)</f>
        <v>2138.8235294117649</v>
      </c>
      <c r="D33" s="457">
        <f t="shared" ca="1" si="18"/>
        <v>37319.621642310449</v>
      </c>
      <c r="E33" s="457">
        <f t="shared" si="18"/>
        <v>541.7236083292064</v>
      </c>
      <c r="F33" s="457">
        <f t="shared" ca="1" si="18"/>
        <v>12986.701810085811</v>
      </c>
      <c r="G33" s="457">
        <f t="shared" si="18"/>
        <v>30271.040211528329</v>
      </c>
      <c r="H33" s="457">
        <f t="shared" si="18"/>
        <v>4446.7901521529921</v>
      </c>
      <c r="I33" s="457">
        <f t="shared" si="18"/>
        <v>0</v>
      </c>
      <c r="J33" s="457">
        <f t="shared" si="18"/>
        <v>286.89969012245206</v>
      </c>
      <c r="K33" s="457">
        <f t="shared" si="18"/>
        <v>0</v>
      </c>
      <c r="L33" s="457">
        <f t="shared" ca="1" si="18"/>
        <v>0</v>
      </c>
      <c r="M33" s="457">
        <f t="shared" si="18"/>
        <v>0</v>
      </c>
      <c r="N33" s="457">
        <f t="shared" ca="1" si="18"/>
        <v>0</v>
      </c>
      <c r="O33" s="457">
        <f t="shared" si="18"/>
        <v>0</v>
      </c>
      <c r="P33" s="457">
        <f t="shared" si="18"/>
        <v>0</v>
      </c>
      <c r="Q33" s="457">
        <f t="shared" ca="1" si="18"/>
        <v>112696.65906853278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6767.7493330595371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6300</v>
      </c>
      <c r="D8" s="977">
        <f>'SEAP template'!D76</f>
        <v>7411.7647058823522</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1497.1764705882354</v>
      </c>
    </row>
    <row r="9" spans="1:16">
      <c r="A9" s="980" t="s">
        <v>859</v>
      </c>
      <c r="B9" s="977">
        <f>'SEAP template'!B77</f>
        <v>1035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2957.1428571428573</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7802.7493330595371</v>
      </c>
      <c r="C10" s="981">
        <f>SUM(C4:C9)</f>
        <v>6300</v>
      </c>
      <c r="D10" s="981">
        <f t="shared" ref="D10:H10" si="0">SUM(D8:D9)</f>
        <v>7411.7647058823522</v>
      </c>
      <c r="E10" s="981">
        <f t="shared" si="0"/>
        <v>0</v>
      </c>
      <c r="F10" s="981">
        <f t="shared" si="0"/>
        <v>0</v>
      </c>
      <c r="G10" s="981">
        <f t="shared" si="0"/>
        <v>0</v>
      </c>
      <c r="H10" s="981">
        <f t="shared" si="0"/>
        <v>0</v>
      </c>
      <c r="I10" s="981">
        <f>SUM(I8:I9)</f>
        <v>0</v>
      </c>
      <c r="J10" s="981">
        <f>SUM(J8:J9)</f>
        <v>2957.1428571428573</v>
      </c>
      <c r="K10" s="981">
        <f t="shared" ref="K10:L10" si="1">SUM(K8:K9)</f>
        <v>0</v>
      </c>
      <c r="L10" s="981">
        <f t="shared" si="1"/>
        <v>0</v>
      </c>
      <c r="M10" s="981">
        <f>SUM(M8:M9)</f>
        <v>0</v>
      </c>
      <c r="N10" s="981">
        <f>SUM(N8:N9)</f>
        <v>0</v>
      </c>
      <c r="O10" s="981">
        <f>SUM(O8:O9)</f>
        <v>0</v>
      </c>
      <c r="P10" s="981">
        <f>SUM(P8:P9)</f>
        <v>1497.1764705882354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0.20740372419078826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9000</v>
      </c>
      <c r="D17" s="978">
        <f>'SEAP template'!D87</f>
        <v>10588.235294117647</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2138.8235294117649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9000</v>
      </c>
      <c r="D20" s="981">
        <f t="shared" ref="D20:H20" si="2">SUM(D17:D19)</f>
        <v>10588.235294117647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2138.8235294117649</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0.20740372419078826</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2022-07-26T12:20:57Z</dcterms:modified>
</cp:coreProperties>
</file>