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B87ECAED-BCBB-4D95-A0E9-E52AF8E41D28}"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<sst xmlns="http://schemas.openxmlformats.org/spreadsheetml/2006/main" count="2502" uniqueCount="948">
  <si>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</si>
  <si>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</si>
  <si>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</si>
  <si>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</si>
  <si>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</si>
  <si>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</si>
  <si>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</si>
  <si>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</si>
  <si>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</si>
  <si>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</si>
  <si>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</si>
  <si>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</si>
  <si>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</si>
  <si>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</si>
  <si>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</si>
  <si>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</si>
  <si>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</si>
  <si>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</si>
  <si>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</si>
  <si>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</si>
  <si>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</si>
  <si>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</si>
  <si>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</si>
  <si>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</si>
  <si>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</si>
  <si>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</si>
  <si>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</si>
  <si>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</si>
  <si>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</si>
  <si>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</si>
  <si>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</si>
  <si>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</si>
  <si>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</si>
  <si>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</si>
  <si>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</si>
  <si>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</si>
  <si>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</si>
  <si>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</si>
  <si>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</si>
  <si>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</si>
  <si>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</si>
  <si>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</si>
  <si>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</si>
  <si>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</si>
  <si>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</si>
  <si>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</si>
  <si>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</si>
  <si>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</si>
  <si>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</si>
  <si>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</si>
  <si>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</si>
  <si>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</si>
  <si>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</si>
  <si>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</si>
  <si>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</si>
  <si>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</si>
  <si>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</si>
  <si>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</si>
  <si>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</si>
  <si>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</si>
  <si>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</si>
  <si>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</si>
  <si>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</si>
  <si>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</si>
  <si>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</si>
  <si>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</si>
  <si>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</si>
  <si>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</si>
  <si>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</si>
  <si>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</si>
  <si>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</si>
  <si>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</si>
  <si>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</si>
  <si>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</si>
  <si>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</si>
  <si>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</si>
  <si>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</si>
  <si>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</si>
  <si>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</si>
  <si>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</si>
  <si>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</si>
  <si>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</si>
  <si>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</si>
  <si>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</si>
  <si>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</si>
  <si>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</si>
  <si>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</si>
  <si>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</si>
  <si>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</si>
  <si>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</si>
  <si>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</si>
  <si>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</si>
  <si>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</si>
  <si>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</si>
  <si>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</si>
  <si>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</si>
  <si>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</si>
  <si>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</si>
  <si>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</si>
  <si>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</si>
  <si>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</si>
  <si>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</si>
  <si>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</si>
  <si>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</si>
  <si>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</si>
  <si>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</si>
  <si>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</si>
  <si>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</si>
  <si>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</si>
  <si>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</si>
  <si>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</si>
  <si>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</si>
  <si>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</si>
  <si>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</si>
  <si>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</si>
  <si>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</si>
  <si>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</si>
  <si>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</si>
  <si>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</si>
  <si>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</si>
  <si>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</si>
  <si>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</si>
  <si>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</si>
  <si>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</si>
  <si>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</si>
  <si>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</si>
  <si>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</si>
  <si>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</si>
  <si>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</si>
  <si>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</si>
  <si>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</si>
  <si>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</si>
  <si>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</si>
  <si>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</si>
  <si>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</si>
  <si>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</si>
  <si>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</si>
  <si>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</si>
  <si>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</si>
  <si>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</si>
  <si>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</si>
  <si>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</si>
  <si>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</si>
  <si>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</si>
  <si>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</si>
  <si>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</si>
  <si>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</si>
  <si>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</si>
  <si>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</si>
  <si>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</si>
  <si>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</si>
  <si>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</si>
  <si>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</si>
  <si>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</si>
  <si>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</si>
  <si>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</si>
  <si>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</si>
  <si>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</si>
  <si>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</si>
  <si>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</si>
  <si>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</si>
  <si>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</si>
  <si>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</si>
  <si>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</si>
  <si>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</si>
  <si>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</si>
  <si>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</si>
  <si>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</si>
  <si>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</si>
  <si>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</si>
  <si>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</si>
  <si>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</si>
  <si>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</si>
  <si>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</si>
  <si>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</si>
  <si>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</si>
  <si>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</si>
  <si>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</si>
  <si>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</si>
  <si>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</si>
  <si>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</si>
  <si>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</si>
  <si>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</si>
  <si>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</si>
  <si>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</si>
  <si>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</si>
  <si>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</si>
  <si>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</si>
  <si>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</si>
  <si>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</si>
  <si>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</si>
  <si>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</si>
  <si>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</si>
  <si>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</si>
  <si>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</si>
  <si>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</si>
  <si>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</si>
  <si>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</si>
  <si>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</si>
  <si>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</si>
  <si>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</si>
  <si>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</si>
  <si>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</si>
  <si>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</si>
  <si>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</si>
  <si>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</si>
  <si>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</si>
  <si>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</si>
  <si>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</si>
  <si>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</si>
  <si>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</si>
  <si>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</si>
  <si>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</si>
  <si>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</si>
  <si>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</si>
  <si>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</si>
  <si>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</si>
  <si>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</si>
  <si>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</si>
  <si>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</si>
  <si>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</si>
  <si>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</si>
  <si>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</si>
  <si>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</si>
  <si>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</si>
  <si>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</si>
  <si>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</si>
  <si>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</si>
  <si>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</si>
  <si>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</si>
  <si>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</si>
  <si>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</si>
  <si>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</si>
  <si>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</si>
  <si>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</si>
  <si>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</si>
  <si>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</si>
  <si>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</si>
  <si>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</si>
  <si>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</si>
  <si>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</si>
  <si>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</si>
  <si>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</si>
  <si>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</si>
  <si>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</si>
  <si>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</si>
  <si>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</si>
  <si>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</si>
  <si>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</si>
  <si>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</si>
  <si>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</si>
  <si>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</si>
  <si>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</si>
  <si>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</si>
  <si>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</si>
  <si>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</si>
  <si>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</si>
  <si>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</si>
  <si>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</si>
  <si>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</si>
  <si>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</si>
  <si>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</si>
  <si>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</si>
  <si>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</si>
  <si>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</si>
  <si>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</si>
  <si>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</si>
  <si>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</si>
  <si>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</si>
  <si>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</si>
  <si>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</si>
  <si>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</si>
  <si>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</si>
  <si>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</si>
  <si>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</si>
  <si>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</si>
  <si>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</si>
  <si>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</si>
  <si>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</si>
  <si>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</si>
  <si>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</si>
  <si>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</si>
  <si>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</si>
  <si>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</si>
  <si>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</si>
  <si>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</si>
  <si>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</si>
  <si>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</si>
  <si>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</si>
  <si>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</si>
  <si>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</si>
  <si>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</si>
  <si>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</si>
  <si>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</si>
  <si>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</si>
  <si>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</si>
  <si>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</si>
  <si>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</si>
  <si>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</si>
  <si>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</si>
  <si>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</si>
  <si>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</si>
  <si>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</si>
  <si>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</si>
  <si>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</si>
  <si>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</si>
  <si>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</si>
  <si>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</si>
  <si>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</si>
  <si>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</si>
  <si>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</si>
  <si>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</si>
  <si>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</si>
  <si>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</si>
  <si>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</si>
  <si>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</si>
  <si>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</si>
  <si>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</si>
  <si>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</si>
  <si>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</si>
  <si>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</si>
  <si>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</si>
  <si>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</si>
  <si>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</si>
  <si>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</si>
  <si>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</si>
  <si>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</si>
  <si>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</si>
  <si>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</si>
  <si>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</si>
  <si>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</si>
  <si>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</si>
  <si>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</si>
  <si>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</si>
  <si>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</si>
  <si>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</si>
  <si>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</si>
  <si>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</si>
  <si>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</si>
  <si>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</si>
  <si>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</si>
  <si>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</si>
  <si>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</si>
  <si>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</si>
  <si>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</si>
  <si>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</si>
  <si>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</si>
  <si>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</si>
  <si>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</si>
  <si>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</si>
  <si>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</si>
  <si>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</si>
  <si>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</si>
  <si>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</si>
  <si>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</si>
  <si>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</si>
  <si>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</si>
  <si>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</si>
  <si>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</si>
  <si>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</si>
  <si>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</si>
  <si>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</si>
  <si>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</si>
  <si>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</si>
  <si>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</si>
  <si>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</si>
  <si>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</si>
  <si>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</si>
  <si>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</si>
  <si>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</si>
  <si>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</si>
  <si>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</si>
  <si>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</si>
  <si>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</si>
  <si>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</si>
  <si>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</si>
  <si>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</si>
  <si>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</si>
  <si>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</si>
  <si>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</si>
  <si>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</si>
  <si>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</si>
  <si>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</si>
  <si>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</si>
  <si>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</si>
  <si>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</si>
  <si>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</si>
  <si>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</si>
  <si>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</si>
  <si>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</si>
  <si>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</si>
  <si>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</si>
  <si>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</si>
  <si>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</si>
  <si>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</si>
  <si>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</si>
  <si>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</si>
  <si>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</si>
  <si>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</si>
  <si>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</si>
  <si>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</si>
  <si>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</si>
  <si>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</si>
  <si>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</si>
  <si>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</si>
  <si>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</si>
  <si>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</si>
  <si>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</si>
  <si>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</si>
  <si>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</si>
  <si>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</si>
  <si>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</si>
  <si>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</si>
  <si>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</si>
  <si>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</si>
  <si>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</si>
  <si>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</si>
  <si>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</si>
  <si>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</si>
  <si>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</si>
  <si>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</si>
  <si>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</si>
  <si>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</si>
  <si>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</si>
  <si>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</si>
  <si>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</si>
  <si>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</si>
  <si>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</si>
  <si>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</si>
  <si>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</si>
  <si>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</si>
  <si>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</si>
  <si>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</si>
  <si>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</si>
  <si>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</si>
  <si>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</si>
  <si>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</si>
  <si>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</si>
  <si>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</si>
  <si>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</si>
  <si>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</si>
  <si>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</si>
  <si>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</si>
  <si>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</si>
  <si>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</si>
  <si>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</si>
  <si>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</si>
  <si>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</si>
  <si>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</si>
  <si>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</si>
  <si>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</si>
  <si>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</si>
  <si>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</si>
  <si>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</si>
  <si>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</si>
  <si>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</si>
  <si>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</si>
  <si>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</si>
  <si>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</si>
  <si>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</si>
  <si>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</si>
  <si>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</si>
  <si>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</si>
  <si>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</si>
  <si>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</si>
  <si>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</si>
  <si>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</si>
  <si>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</si>
  <si>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</si>
  <si>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</si>
  <si>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</si>
  <si>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</si>
  <si>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</si>
  <si>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</si>
  <si>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</si>
  <si>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</si>
  <si>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</si>
  <si>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</si>
  <si>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</si>
  <si>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</si>
  <si>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</si>
  <si>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</si>
  <si>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</si>
  <si>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</si>
  <si>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</si>
  <si>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</si>
  <si>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</si>
  <si>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</si>
  <si>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</si>
  <si>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</si>
  <si>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</si>
  <si>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</si>
  <si>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</si>
  <si>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</si>
  <si>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</si>
  <si>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</si>
  <si>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</si>
  <si>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</si>
  <si>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</si>
  <si>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</si>
  <si>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</si>
  <si>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</si>
  <si>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</si>
  <si>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</si>
  <si>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</si>
  <si>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</si>
  <si>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</si>
  <si>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</si>
  <si>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</si>
  <si>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</si>
  <si>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</si>
  <si>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</si>
  <si>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</si>
  <si>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</si>
  <si>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</si>
  <si>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</si>
  <si>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</si>
  <si>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</si>
  <si>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</si>
  <si>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</si>
  <si>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</si>
  <si>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</si>
  <si>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</si>
  <si>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</si>
  <si>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</si>
  <si>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</si>
  <si>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</si>
  <si>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</si>
  <si>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</si>
  <si>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</si>
  <si>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</si>
  <si>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</si>
  <si>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</si>
  <si>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</si>
  <si>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</si>
  <si>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</si>
  <si>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</si>
  <si>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</si>
  <si>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</si>
  <si>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</si>
  <si>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</si>
  <si>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</si>
  <si>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</si>
  <si>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</si>
  <si>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</si>
  <si>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</si>
  <si>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</si>
  <si>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</si>
  <si>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</si>
  <si>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</si>
  <si>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</si>
  <si>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</si>
  <si>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</si>
  <si>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</si>
  <si>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</si>
  <si>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</si>
  <si>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</si>
  <si>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</si>
  <si>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</si>
  <si>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</si>
  <si>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</si>
  <si>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</si>
  <si>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</si>
  <si>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</si>
  <si>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</si>
  <si>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</si>
  <si>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</si>
  <si>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</si>
  <si>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</si>
  <si>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</si>
  <si>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</si>
  <si>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</si>
  <si>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</si>
  <si>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</si>
  <si>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</si>
  <si>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</si>
  <si>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</si>
  <si>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</si>
  <si>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</si>
  <si>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</si>
  <si>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</si>
  <si>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</si>
  <si>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</si>
  <si>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</si>
  <si>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</si>
  <si>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</si>
  <si>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</si>
  <si>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</si>
  <si>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</si>
  <si>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</si>
  <si>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</si>
  <si>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</si>
  <si>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</si>
  <si>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</si>
  <si>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</si>
  <si>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</si>
  <si>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</si>
  <si>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</si>
  <si>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</si>
  <si>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</si>
  <si>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</si>
  <si>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</si>
  <si>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</si>
  <si>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</si>
  <si>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</si>
  <si>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</si>
  <si>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</si>
  <si>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</si>
  <si>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</si>
  <si>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</si>
  <si>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</si>
  <si>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</si>
  <si>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</si>
  <si>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</si>
  <si>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</si>
  <si>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</si>
  <si>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</si>
  <si>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</si>
  <si>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</si>
  <si>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</si>
  <si>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</si>
  <si>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</si>
  <si>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</si>
  <si>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</si>
  <si>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</si>
  <si>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</si>
  <si>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</si>
  <si>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</si>
  <si>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</si>
  <si>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</si>
  <si>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</si>
  <si>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</si>
  <si>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</si>
  <si>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</si>
  <si>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</si>
  <si>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</si>
  <si>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</si>
  <si>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</si>
  <si>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</si>
  <si>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</si>
  <si>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</si>
  <si>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</si>
  <si>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</si>
  <si>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</si>
  <si>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</si>
  <si>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</si>
  <si>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</si>
  <si>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</si>
  <si>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</si>
  <si>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</si>
  <si>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</si>
  <si>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</si>
  <si>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</si>
  <si>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</si>
  <si>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</si>
  <si>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</si>
  <si>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</si>
  <si>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</si>
  <si>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</si>
  <si>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</si>
  <si>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</si>
  <si>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</si>
  <si>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</si>
  <si>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</si>
  <si>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</si>
  <si>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</si>
  <si>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</si>
  <si>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</si>
  <si>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</si>
  <si>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</si>
  <si>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</si>
  <si>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</si>
  <si>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</si>
  <si>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</si>
  <si>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</si>
  <si>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</si>
  <si>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</si>
  <si>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</si>
  <si>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</si>
  <si>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</si>
  <si>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</si>
  <si>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</si>
  <si>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</si>
  <si>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</si>
  <si>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</si>
  <si>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</si>
  <si>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</si>
  <si>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</si>
  <si>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</si>
  <si>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</si>
  <si>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</si>
  <si>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</si>
  <si>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</si>
  <si>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</si>
  <si>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</si>
  <si>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</si>
  <si>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</si>
  <si>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</si>
  <si>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</si>
  <si>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</si>
  <si>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</si>
  <si>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</si>
  <si>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</si>
  <si>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</si>
  <si>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</si>
  <si>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</si>
  <si>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</si>
  <si>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</si>
  <si>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</si>
  <si>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</si>
  <si>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</si>
  <si>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</si>
  <si>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</si>
  <si>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</si>
  <si>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</si>
  <si>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</si>
  <si>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</si>
  <si>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</si>
  <si>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</si>
  <si>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</si>
  <si>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</si>
  <si>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</si>
  <si>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</si>
  <si>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</si>
  <si>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</si>
  <si>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</si>
  <si>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</si>
  <si>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</si>
  <si>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</si>
  <si>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</si>
  <si>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</si>
  <si>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</si>
  <si>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</si>
  <si>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</si>
  <si>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</si>
  <si>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</si>
  <si>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</si>
  <si>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</si>
  <si>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</si>
  <si>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</si>
  <si>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</si>
  <si>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</si>
  <si>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</si>
  <si>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</si>
  <si>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</si>
  <si>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</si>
  <si>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</si>
  <si>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</si>
  <si>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</si>
  <si>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</si>
  <si>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</si>
  <si>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</si>
  <si>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</si>
  <si>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</si>
  <si>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</si>
  <si>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</si>
  <si>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</si>
  <si>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</si>
  <si>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</si>
  <si>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</si>
  <si>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</si>
  <si>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</si>
  <si>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</si>
  <si>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</si>
  <si>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</si>
  <si>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</si>
  <si>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</si>
  <si>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</si>
  <si>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</si>
  <si>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</si>
  <si>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</si>
  <si>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</si>
  <si>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</si>
  <si>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</si>
  <si>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</si>
  <si>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</si>
  <si>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</si>
  <si>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</si>
  <si>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</si>
  <si>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</si>
  <si>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</si>
  <si>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</si>
  <si>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</si>
  <si>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</si>
  <si>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</si>
  <si>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</si>
  <si>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</si>
  <si>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</si>
  <si>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</si>
  <si>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</si>
  <si>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</si>
  <si>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</si>
  <si>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</si>
  <si>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</si>
  <si>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</si>
  <si>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</si>
  <si>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</si>
  <si>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</si>
  <si>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</si>
  <si>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</si>
  <si>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</si>
  <si>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</si>
  <si>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</si>
  <si>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</si>
  <si>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</si>
  <si>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</si>
  <si>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</si>
  <si>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</si>
  <si>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</si>
  <si>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</si>
  <si>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</si>
  <si>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</si>
  <si>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</si>
  <si>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</si>
  <si>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</si>
  <si>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</si>
  <si>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</si>
  <si>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</si>
  <si>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</si>
  <si>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</si>
  <si>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</si>
  <si>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</si>
  <si>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</si>
  <si>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</si>
  <si>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</si>
  <si>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</si>
  <si>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</si>
  <si>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</si>
  <si>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</si>
  <si>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</si>
  <si>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</si>
  <si>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</si>
  <si>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</si>
  <si>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</si>
  <si>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</si>
  <si>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</si>
  <si>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</si>
  <si>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</si>
  <si>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</si>
  <si>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</si>
  <si>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</si>
  <si>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</si>
  <si>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</si>
  <si>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</si>
  <si>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</si>
  <si>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</si>
  <si>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</si>
  <si>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</si>
  <si>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</si>
  <si>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</si>
  <si>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</si>
  <si>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</si>
  <si>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</si>
  <si>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</si>
  <si>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</si>
  <si>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</si>
  <si>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</si>
  <si>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</si>
  <si>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</si>
  <si>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</si>
  <si>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</si>
  <si>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</si>
  <si>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</si>
  <si>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</si>
  <si>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</si>
  <si>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</si>
  <si>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</si>
  <si>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</si>
  <si>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</si>
  <si>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</si>
  <si>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</si>
  <si>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</si>
  <si>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</si>
  <si>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</si>
  <si>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</si>
  <si>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</si>
  <si>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</si>
  <si>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</si>
  <si>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</si>
  <si>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</si>
  <si>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</si>
  <si>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</si>
  <si>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</si>
  <si>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</si>
  <si>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</si>
  <si>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</si>
  <si>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</si>
  <si>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</si>
  <si>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</si>
  <si>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</si>
  <si>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</si>
  <si>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</si>
  <si>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</si>
  <si>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</si>
  <si>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</si>
  <si>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</si>
  <si>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</si>
  <si>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</si>
  <si>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</si>
  <si>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</si>
  <si>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</si>
  <si>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</si>
  <si>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</si>
  <si>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</si>
  <si>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</si>
  <si>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</si>
  <si>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</si>
  <si>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</si>
  <si>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</si>
  <si>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</si>
  <si>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</si>
  <si>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</si>
  <si>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</si>
  <si>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</si>
  <si>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</si>
  <si>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</si>
  <si>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</si>
  <si>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</si>
  <si>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</si>
  <si>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</si>
  <si>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</si>
  <si>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</si>
  <si>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</si>
  <si>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</si>
  <si>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</si>
  <si>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</si>
  <si>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</si>
  <si>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</si>
  <si>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</si>
  <si>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</si>
  <si>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</si>
  <si>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</si>
  <si>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</si>
  <si>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</si>
  <si>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</si>
  <si>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</si>
  <si>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</si>
  <si>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13001</t>
  </si>
  <si>
    <t>ARENDONK</t>
  </si>
  <si>
    <t>Paarden&amp;pony's 200 - 600 kg</t>
  </si>
  <si>
    <t>Paarden&amp;pony's &lt; 200 kg</t>
  </si>
  <si>
    <t>vloeibaar gas (MWh)</t>
  </si>
  <si>
    <t>interne verbrandingsmotor</t>
  </si>
  <si>
    <t>WKK interne verbrandinsgmotor (gas)</t>
  </si>
  <si>
    <t>IVEKA</t>
  </si>
  <si>
    <t>biogas - hoofdzakelijk agrarische stromen</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</si>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</sst>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33A0390-D097-4EFF-847B-27902FF4F2D8}"/>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13001</v>
      </c>
      <c r="B6" s="384"/>
      <c r="C6" s="385"/>
    </row>
    <row r="7" spans="1:7" s="382" customFormat="1" ht="15.75" customHeight="1">
      <c r="A7" s="386" t="str">
        <f>txtMunicipality</f>
        <v>ARENDONK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0.11797746387870887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0.11797746387870887</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5104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2457</v>
      </c>
      <c r="C14" s="327"/>
      <c r="D14" s="327"/>
      <c r="E14" s="327"/>
      <c r="F14" s="327"/>
    </row>
    <row r="15" spans="1:6">
      <c r="A15" s="1258" t="s">
        <v>177</v>
      </c>
      <c r="B15" s="1259">
        <v>4015</v>
      </c>
      <c r="C15" s="327"/>
      <c r="D15" s="327"/>
      <c r="E15" s="327"/>
      <c r="F15" s="327"/>
    </row>
    <row r="16" spans="1:6">
      <c r="A16" s="1258" t="s">
        <v>6</v>
      </c>
      <c r="B16" s="1259">
        <v>1284</v>
      </c>
      <c r="C16" s="327"/>
      <c r="D16" s="327"/>
      <c r="E16" s="327"/>
      <c r="F16" s="327"/>
    </row>
    <row r="17" spans="1:6">
      <c r="A17" s="1258" t="s">
        <v>7</v>
      </c>
      <c r="B17" s="1259">
        <v>137</v>
      </c>
      <c r="C17" s="327"/>
      <c r="D17" s="327"/>
      <c r="E17" s="327"/>
      <c r="F17" s="327"/>
    </row>
    <row r="18" spans="1:6">
      <c r="A18" s="1258" t="s">
        <v>8</v>
      </c>
      <c r="B18" s="1259">
        <v>808</v>
      </c>
      <c r="C18" s="327"/>
      <c r="D18" s="327"/>
      <c r="E18" s="327"/>
      <c r="F18" s="327"/>
    </row>
    <row r="19" spans="1:6">
      <c r="A19" s="1258" t="s">
        <v>9</v>
      </c>
      <c r="B19" s="1259">
        <v>726</v>
      </c>
      <c r="C19" s="327"/>
      <c r="D19" s="327"/>
      <c r="E19" s="327"/>
      <c r="F19" s="327"/>
    </row>
    <row r="20" spans="1:6">
      <c r="A20" s="1258" t="s">
        <v>10</v>
      </c>
      <c r="B20" s="1259">
        <v>355</v>
      </c>
      <c r="C20" s="327"/>
      <c r="D20" s="327"/>
      <c r="E20" s="327"/>
      <c r="F20" s="327"/>
    </row>
    <row r="21" spans="1:6">
      <c r="A21" s="1258" t="s">
        <v>11</v>
      </c>
      <c r="B21" s="1259">
        <v>16009</v>
      </c>
      <c r="C21" s="327"/>
      <c r="D21" s="327"/>
      <c r="E21" s="327"/>
      <c r="F21" s="327"/>
    </row>
    <row r="22" spans="1:6">
      <c r="A22" s="1258" t="s">
        <v>12</v>
      </c>
      <c r="B22" s="1259">
        <v>18348</v>
      </c>
      <c r="C22" s="327"/>
      <c r="D22" s="327"/>
      <c r="E22" s="327"/>
      <c r="F22" s="327"/>
    </row>
    <row r="23" spans="1:6">
      <c r="A23" s="1258" t="s">
        <v>13</v>
      </c>
      <c r="B23" s="1259">
        <v>650</v>
      </c>
      <c r="C23" s="327"/>
      <c r="D23" s="327"/>
      <c r="E23" s="327"/>
      <c r="F23" s="327"/>
    </row>
    <row r="24" spans="1:6">
      <c r="A24" s="1258" t="s">
        <v>14</v>
      </c>
      <c r="B24" s="1259">
        <v>13</v>
      </c>
      <c r="C24" s="327"/>
      <c r="D24" s="327"/>
      <c r="E24" s="327"/>
      <c r="F24" s="327"/>
    </row>
    <row r="25" spans="1:6">
      <c r="A25" s="1258" t="s">
        <v>15</v>
      </c>
      <c r="B25" s="1259">
        <v>4454</v>
      </c>
      <c r="C25" s="327"/>
      <c r="D25" s="327"/>
      <c r="E25" s="327"/>
      <c r="F25" s="327"/>
    </row>
    <row r="26" spans="1:6">
      <c r="A26" s="1258" t="s">
        <v>16</v>
      </c>
      <c r="B26" s="1259">
        <v>10</v>
      </c>
      <c r="C26" s="327"/>
      <c r="D26" s="327"/>
      <c r="E26" s="327"/>
      <c r="F26" s="327"/>
    </row>
    <row r="27" spans="1:6">
      <c r="A27" s="1258" t="s">
        <v>17</v>
      </c>
      <c r="B27" s="1259">
        <v>2</v>
      </c>
      <c r="C27" s="327"/>
      <c r="D27" s="327"/>
      <c r="E27" s="327"/>
      <c r="F27" s="327"/>
    </row>
    <row r="28" spans="1:6">
      <c r="A28" s="1258" t="s">
        <v>18</v>
      </c>
      <c r="B28" s="1260">
        <v>335587</v>
      </c>
      <c r="C28" s="327"/>
      <c r="D28" s="327"/>
      <c r="E28" s="327"/>
      <c r="F28" s="327"/>
    </row>
    <row r="29" spans="1:6">
      <c r="A29" s="1258" t="s">
        <v>939</v>
      </c>
      <c r="B29" s="1260">
        <v>45</v>
      </c>
      <c r="C29" s="327"/>
      <c r="D29" s="327"/>
      <c r="E29" s="327"/>
      <c r="F29" s="327"/>
    </row>
    <row r="30" spans="1:6">
      <c r="A30" s="1253" t="s">
        <v>940</v>
      </c>
      <c r="B30" s="1261">
        <v>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179400.35570216901</v>
      </c>
      <c r="E38" s="1259">
        <v>1</v>
      </c>
      <c r="F38" s="1259">
        <v>445938.27082273999</v>
      </c>
    </row>
    <row r="39" spans="1:6">
      <c r="A39" s="1258" t="s">
        <v>29</v>
      </c>
      <c r="B39" s="1258" t="s">
        <v>30</v>
      </c>
      <c r="C39" s="1259">
        <v>3497</v>
      </c>
      <c r="D39" s="1259">
        <v>71886913.734373093</v>
      </c>
      <c r="E39" s="1259">
        <v>4986</v>
      </c>
      <c r="F39" s="1259">
        <v>19723426.298128899</v>
      </c>
    </row>
    <row r="40" spans="1:6">
      <c r="A40" s="1258" t="s">
        <v>29</v>
      </c>
      <c r="B40" s="1258" t="s">
        <v>28</v>
      </c>
      <c r="C40" s="1259">
        <v>1</v>
      </c>
      <c r="D40" s="1259">
        <v>20429.706138263002</v>
      </c>
      <c r="E40" s="1259">
        <v>1</v>
      </c>
      <c r="F40" s="1259">
        <v>6170.9293710934999</v>
      </c>
    </row>
    <row r="41" spans="1:6">
      <c r="A41" s="1258" t="s">
        <v>31</v>
      </c>
      <c r="B41" s="1258" t="s">
        <v>32</v>
      </c>
      <c r="C41" s="1259">
        <v>57</v>
      </c>
      <c r="D41" s="1259">
        <v>1379202.6642984699</v>
      </c>
      <c r="E41" s="1259">
        <v>110</v>
      </c>
      <c r="F41" s="1259">
        <v>6332301.3251190903</v>
      </c>
    </row>
    <row r="42" spans="1:6">
      <c r="A42" s="1258" t="s">
        <v>31</v>
      </c>
      <c r="B42" s="1258" t="s">
        <v>33</v>
      </c>
      <c r="C42" s="1259">
        <v>0</v>
      </c>
      <c r="D42" s="1259">
        <v>0</v>
      </c>
      <c r="E42" s="1259">
        <v>3</v>
      </c>
      <c r="F42" s="1259">
        <v>221321.10800588701</v>
      </c>
    </row>
    <row r="43" spans="1:6">
      <c r="A43" s="1258" t="s">
        <v>31</v>
      </c>
      <c r="B43" s="1258" t="s">
        <v>34</v>
      </c>
      <c r="C43" s="1259">
        <v>0</v>
      </c>
      <c r="D43" s="1259">
        <v>0</v>
      </c>
      <c r="E43" s="1259">
        <v>0</v>
      </c>
      <c r="F43" s="1259">
        <v>0</v>
      </c>
    </row>
    <row r="44" spans="1:6">
      <c r="A44" s="1258" t="s">
        <v>31</v>
      </c>
      <c r="B44" s="1258" t="s">
        <v>35</v>
      </c>
      <c r="C44" s="1259">
        <v>9</v>
      </c>
      <c r="D44" s="1259">
        <v>3535262.8314765701</v>
      </c>
      <c r="E44" s="1259">
        <v>21</v>
      </c>
      <c r="F44" s="1259">
        <v>4863062.1776012899</v>
      </c>
    </row>
    <row r="45" spans="1:6">
      <c r="A45" s="1258" t="s">
        <v>31</v>
      </c>
      <c r="B45" s="1258" t="s">
        <v>36</v>
      </c>
      <c r="C45" s="1259">
        <v>3</v>
      </c>
      <c r="D45" s="1259">
        <v>160681.74324073701</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1369799.29576621</v>
      </c>
    </row>
    <row r="48" spans="1:6">
      <c r="A48" s="1258" t="s">
        <v>31</v>
      </c>
      <c r="B48" s="1258" t="s">
        <v>28</v>
      </c>
      <c r="C48" s="1259">
        <v>34</v>
      </c>
      <c r="D48" s="1259">
        <v>3139153.1595419198</v>
      </c>
      <c r="E48" s="1259">
        <v>37</v>
      </c>
      <c r="F48" s="1259">
        <v>5241331.0311568901</v>
      </c>
    </row>
    <row r="49" spans="1:6">
      <c r="A49" s="1258" t="s">
        <v>31</v>
      </c>
      <c r="B49" s="1258" t="s">
        <v>39</v>
      </c>
      <c r="C49" s="1259">
        <v>0</v>
      </c>
      <c r="D49" s="1259">
        <v>0</v>
      </c>
      <c r="E49" s="1259">
        <v>3</v>
      </c>
      <c r="F49" s="1259">
        <v>62392.915246534503</v>
      </c>
    </row>
    <row r="50" spans="1:6">
      <c r="A50" s="1258" t="s">
        <v>31</v>
      </c>
      <c r="B50" s="1258" t="s">
        <v>40</v>
      </c>
      <c r="C50" s="1259">
        <v>6</v>
      </c>
      <c r="D50" s="1259">
        <v>431955.16568555299</v>
      </c>
      <c r="E50" s="1259">
        <v>10</v>
      </c>
      <c r="F50" s="1259">
        <v>369254.79001555103</v>
      </c>
    </row>
    <row r="51" spans="1:6">
      <c r="A51" s="1258" t="s">
        <v>41</v>
      </c>
      <c r="B51" s="1258" t="s">
        <v>42</v>
      </c>
      <c r="C51" s="1259">
        <v>0</v>
      </c>
      <c r="D51" s="1259">
        <v>0</v>
      </c>
      <c r="E51" s="1259">
        <v>64</v>
      </c>
      <c r="F51" s="1259">
        <v>5062254.71179068</v>
      </c>
    </row>
    <row r="52" spans="1:6">
      <c r="A52" s="1258" t="s">
        <v>41</v>
      </c>
      <c r="B52" s="1258" t="s">
        <v>28</v>
      </c>
      <c r="C52" s="1259">
        <v>5</v>
      </c>
      <c r="D52" s="1259">
        <v>1825383.34083206</v>
      </c>
      <c r="E52" s="1259">
        <v>9</v>
      </c>
      <c r="F52" s="1259">
        <v>131934.82826676301</v>
      </c>
    </row>
    <row r="53" spans="1:6">
      <c r="A53" s="1258" t="s">
        <v>43</v>
      </c>
      <c r="B53" s="1258" t="s">
        <v>44</v>
      </c>
      <c r="C53" s="1259">
        <v>81</v>
      </c>
      <c r="D53" s="1259">
        <v>2439561.9751751302</v>
      </c>
      <c r="E53" s="1259">
        <v>142</v>
      </c>
      <c r="F53" s="1259">
        <v>785095.712845181</v>
      </c>
    </row>
    <row r="54" spans="1:6">
      <c r="A54" s="1258" t="s">
        <v>45</v>
      </c>
      <c r="B54" s="1258" t="s">
        <v>46</v>
      </c>
      <c r="C54" s="1259">
        <v>0</v>
      </c>
      <c r="D54" s="1259">
        <v>0</v>
      </c>
      <c r="E54" s="1259">
        <v>1</v>
      </c>
      <c r="F54" s="1259">
        <v>792372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13</v>
      </c>
      <c r="D57" s="1259">
        <v>272053.47740621702</v>
      </c>
      <c r="E57" s="1259">
        <v>79</v>
      </c>
      <c r="F57" s="1259">
        <v>6150352.3374624103</v>
      </c>
    </row>
    <row r="58" spans="1:6">
      <c r="A58" s="1258" t="s">
        <v>48</v>
      </c>
      <c r="B58" s="1258" t="s">
        <v>50</v>
      </c>
      <c r="C58" s="1259">
        <v>0</v>
      </c>
      <c r="D58" s="1259">
        <v>0</v>
      </c>
      <c r="E58" s="1259">
        <v>0</v>
      </c>
      <c r="F58" s="1259">
        <v>0</v>
      </c>
    </row>
    <row r="59" spans="1:6">
      <c r="A59" s="1258" t="s">
        <v>48</v>
      </c>
      <c r="B59" s="1258" t="s">
        <v>51</v>
      </c>
      <c r="C59" s="1259">
        <v>54</v>
      </c>
      <c r="D59" s="1259">
        <v>1966788.15849945</v>
      </c>
      <c r="E59" s="1259">
        <v>101</v>
      </c>
      <c r="F59" s="1259">
        <v>2305857.3588719601</v>
      </c>
    </row>
    <row r="60" spans="1:6">
      <c r="A60" s="1258" t="s">
        <v>48</v>
      </c>
      <c r="B60" s="1258" t="s">
        <v>52</v>
      </c>
      <c r="C60" s="1259">
        <v>44</v>
      </c>
      <c r="D60" s="1259">
        <v>1987193.49650286</v>
      </c>
      <c r="E60" s="1259">
        <v>58</v>
      </c>
      <c r="F60" s="1259">
        <v>1304870.44106252</v>
      </c>
    </row>
    <row r="61" spans="1:6">
      <c r="A61" s="1258" t="s">
        <v>48</v>
      </c>
      <c r="B61" s="1258" t="s">
        <v>53</v>
      </c>
      <c r="C61" s="1259">
        <v>55</v>
      </c>
      <c r="D61" s="1259">
        <v>5484060.7579376996</v>
      </c>
      <c r="E61" s="1259">
        <v>126</v>
      </c>
      <c r="F61" s="1259">
        <v>3572243.6617080499</v>
      </c>
    </row>
    <row r="62" spans="1:6">
      <c r="A62" s="1258" t="s">
        <v>48</v>
      </c>
      <c r="B62" s="1258" t="s">
        <v>54</v>
      </c>
      <c r="C62" s="1259">
        <v>0</v>
      </c>
      <c r="D62" s="1259">
        <v>0</v>
      </c>
      <c r="E62" s="1259">
        <v>0</v>
      </c>
      <c r="F62" s="1259">
        <v>0</v>
      </c>
    </row>
    <row r="63" spans="1:6">
      <c r="A63" s="1258" t="s">
        <v>48</v>
      </c>
      <c r="B63" s="1258" t="s">
        <v>28</v>
      </c>
      <c r="C63" s="1259">
        <v>85</v>
      </c>
      <c r="D63" s="1259">
        <v>5335293.7173592299</v>
      </c>
      <c r="E63" s="1259">
        <v>89</v>
      </c>
      <c r="F63" s="1259">
        <v>25442228.47104815</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8513.5447318445003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126152.608522653</v>
      </c>
      <c r="E68" s="1261">
        <v>7</v>
      </c>
      <c r="F68" s="1261">
        <v>223271.99564223801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31899376</v>
      </c>
      <c r="E73" s="445"/>
      <c r="F73" s="327"/>
    </row>
    <row r="74" spans="1:6">
      <c r="A74" s="1258" t="s">
        <v>63</v>
      </c>
      <c r="B74" s="1258" t="s">
        <v>724</v>
      </c>
      <c r="C74" s="1271" t="s">
        <v>718</v>
      </c>
      <c r="D74" s="1259">
        <v>1640033.9069145366</v>
      </c>
      <c r="E74" s="445"/>
      <c r="F74" s="327"/>
    </row>
    <row r="75" spans="1:6">
      <c r="A75" s="1258" t="s">
        <v>64</v>
      </c>
      <c r="B75" s="1258" t="s">
        <v>723</v>
      </c>
      <c r="C75" s="1271" t="s">
        <v>719</v>
      </c>
      <c r="D75" s="1259">
        <v>11619865</v>
      </c>
      <c r="E75" s="445"/>
      <c r="F75" s="327"/>
    </row>
    <row r="76" spans="1:6">
      <c r="A76" s="1258" t="s">
        <v>64</v>
      </c>
      <c r="B76" s="1258" t="s">
        <v>724</v>
      </c>
      <c r="C76" s="1271" t="s">
        <v>720</v>
      </c>
      <c r="D76" s="1259">
        <v>465500.90691453667</v>
      </c>
      <c r="E76" s="445"/>
      <c r="F76" s="327"/>
    </row>
    <row r="77" spans="1:6">
      <c r="A77" s="1258" t="s">
        <v>65</v>
      </c>
      <c r="B77" s="1258" t="s">
        <v>723</v>
      </c>
      <c r="C77" s="1271" t="s">
        <v>721</v>
      </c>
      <c r="D77" s="1259">
        <v>31216713</v>
      </c>
      <c r="E77" s="445"/>
      <c r="F77" s="327"/>
    </row>
    <row r="78" spans="1:6">
      <c r="A78" s="1253" t="s">
        <v>65</v>
      </c>
      <c r="B78" s="1253" t="s">
        <v>724</v>
      </c>
      <c r="C78" s="1253" t="s">
        <v>722</v>
      </c>
      <c r="D78" s="1261">
        <v>12166632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219896.18617092664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22845.452955909452</v>
      </c>
      <c r="C90" s="327"/>
      <c r="D90" s="327"/>
      <c r="E90" s="327"/>
      <c r="F90" s="327"/>
    </row>
    <row r="91" spans="1:6">
      <c r="A91" s="1258" t="s">
        <v>67</v>
      </c>
      <c r="B91" s="1259">
        <v>2536.0114589457007</v>
      </c>
      <c r="C91" s="327"/>
      <c r="D91" s="327"/>
      <c r="E91" s="327"/>
      <c r="F91" s="327"/>
    </row>
    <row r="92" spans="1:6">
      <c r="A92" s="1253" t="s">
        <v>68</v>
      </c>
      <c r="B92" s="1254">
        <v>3984.285378318883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2294</v>
      </c>
      <c r="C97" s="327"/>
      <c r="D97" s="327"/>
      <c r="E97" s="327"/>
      <c r="F97" s="327"/>
    </row>
    <row r="98" spans="1:6">
      <c r="A98" s="1258" t="s">
        <v>71</v>
      </c>
      <c r="B98" s="1259">
        <v>6</v>
      </c>
      <c r="C98" s="327"/>
      <c r="D98" s="327"/>
      <c r="E98" s="327"/>
      <c r="F98" s="327"/>
    </row>
    <row r="99" spans="1:6">
      <c r="A99" s="1258" t="s">
        <v>72</v>
      </c>
      <c r="B99" s="1259">
        <v>78</v>
      </c>
      <c r="C99" s="327"/>
      <c r="D99" s="327"/>
      <c r="E99" s="327"/>
      <c r="F99" s="327"/>
    </row>
    <row r="100" spans="1:6">
      <c r="A100" s="1258" t="s">
        <v>73</v>
      </c>
      <c r="B100" s="1259">
        <v>168</v>
      </c>
      <c r="C100" s="327"/>
      <c r="D100" s="327"/>
      <c r="E100" s="327"/>
      <c r="F100" s="327"/>
    </row>
    <row r="101" spans="1:6">
      <c r="A101" s="1258" t="s">
        <v>74</v>
      </c>
      <c r="B101" s="1259">
        <v>133</v>
      </c>
      <c r="C101" s="327"/>
      <c r="D101" s="327"/>
      <c r="E101" s="327"/>
      <c r="F101" s="327"/>
    </row>
    <row r="102" spans="1:6">
      <c r="A102" s="1258" t="s">
        <v>75</v>
      </c>
      <c r="B102" s="1259">
        <v>48</v>
      </c>
      <c r="C102" s="327"/>
      <c r="D102" s="327"/>
      <c r="E102" s="327"/>
      <c r="F102" s="327"/>
    </row>
    <row r="103" spans="1:6">
      <c r="A103" s="1258" t="s">
        <v>76</v>
      </c>
      <c r="B103" s="1259">
        <v>44</v>
      </c>
      <c r="C103" s="327"/>
      <c r="D103" s="327"/>
      <c r="E103" s="327"/>
      <c r="F103" s="327"/>
    </row>
    <row r="104" spans="1:6">
      <c r="A104" s="1258" t="s">
        <v>77</v>
      </c>
      <c r="B104" s="1259">
        <v>1624</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16</v>
      </c>
      <c r="C123" s="1259">
        <v>13</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78</v>
      </c>
      <c r="C129" s="327"/>
      <c r="D129" s="327"/>
      <c r="E129" s="327"/>
      <c r="F129" s="327"/>
    </row>
    <row r="130" spans="1:6">
      <c r="A130" s="1258" t="s">
        <v>284</v>
      </c>
      <c r="B130" s="1259">
        <v>2</v>
      </c>
      <c r="C130" s="327"/>
      <c r="D130" s="327"/>
      <c r="E130" s="327"/>
      <c r="F130" s="327"/>
    </row>
    <row r="131" spans="1:6">
      <c r="A131" s="1258" t="s">
        <v>285</v>
      </c>
      <c r="B131" s="1259">
        <v>2</v>
      </c>
      <c r="C131" s="327"/>
      <c r="D131" s="327"/>
      <c r="E131" s="327"/>
      <c r="F131" s="327"/>
    </row>
    <row r="132" spans="1:6">
      <c r="A132" s="1253" t="s">
        <v>286</v>
      </c>
      <c r="B132" s="1254">
        <v>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86279.476209229862</v>
      </c>
      <c r="C3" s="44" t="s">
        <v>163</v>
      </c>
      <c r="D3" s="44"/>
      <c r="E3" s="157"/>
      <c r="F3" s="44"/>
      <c r="G3" s="44"/>
      <c r="H3" s="44"/>
      <c r="I3" s="44"/>
      <c r="J3" s="44"/>
      <c r="K3" s="97"/>
    </row>
    <row r="4" spans="1:11">
      <c r="A4" s="352" t="s">
        <v>164</v>
      </c>
      <c r="B4" s="50">
        <f>IF(ISERROR('SEAP template'!B78+'SEAP template'!C78),0,'SEAP template'!B78+'SEAP template'!C78)</f>
        <v>40220.499793174036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0.11797746387870887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14232.857142857143</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792.37199999999996</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792.37199999999996</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0.11797746387870887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93.482039008500308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19729.597227499991</v>
      </c>
      <c r="C5" s="18">
        <f>IF(ISERROR('Eigen informatie GS &amp; warmtenet'!B57),0,'Eigen informatie GS &amp; warmtenet'!B57)</f>
        <v>0</v>
      </c>
      <c r="D5" s="31">
        <f>(SUM(HH_hh_gas_kWh,HH_rest_gas_kWh)/1000)*0.902</f>
        <v>64860.423783341255</v>
      </c>
      <c r="E5" s="18">
        <f>B32*B41</f>
        <v>913.80111117913304</v>
      </c>
      <c r="F5" s="18">
        <f>B36*B45</f>
        <v>27859.142844867314</v>
      </c>
      <c r="G5" s="19"/>
      <c r="H5" s="18"/>
      <c r="I5" s="18"/>
      <c r="J5" s="18">
        <f>B35*B44+C35*C44</f>
        <v>505.49443951785554</v>
      </c>
      <c r="K5" s="18"/>
      <c r="L5" s="18"/>
      <c r="M5" s="18"/>
      <c r="N5" s="18">
        <f>B34*B43+C34*C43</f>
        <v>7189.6407347913319</v>
      </c>
      <c r="O5" s="18">
        <f>B52*B53*B54</f>
        <v>142.26333333333332</v>
      </c>
      <c r="P5" s="18">
        <f>B60*B61*B62/1000-B60*B61*B62/1000/B63</f>
        <v>457.6</v>
      </c>
    </row>
    <row r="6" spans="1:16">
      <c r="A6" s="17" t="s">
        <v>597</v>
      </c>
      <c r="B6" s="731">
        <f>kWh_PV_kleiner_dan_10kW</f>
        <v>2536.0114589457007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22265.608686445692</v>
      </c>
      <c r="C8" s="22">
        <f>C5</f>
        <v>0</v>
      </c>
      <c r="D8" s="22">
        <f>D5</f>
        <v>64860.423783341255</v>
      </c>
      <c r="E8" s="22">
        <f>E5</f>
        <v>913.80111117913304</v>
      </c>
      <c r="F8" s="22">
        <f>F5</f>
        <v>27859.142844867314</v>
      </c>
      <c r="G8" s="22"/>
      <c r="H8" s="22"/>
      <c r="I8" s="22"/>
      <c r="J8" s="22">
        <f>J5</f>
        <v>505.49443951785554</v>
      </c>
      <c r="K8" s="22"/>
      <c r="L8" s="22">
        <f>L5</f>
        <v>0</v>
      </c>
      <c r="M8" s="22">
        <f>M5</f>
        <v>0</v>
      </c>
      <c r="N8" s="22">
        <f>N5</f>
        <v>7189.6407347913319</v>
      </c>
      <c r="O8" s="22">
        <f>O5</f>
        <v>142.26333333333332</v>
      </c>
      <c r="P8" s="22">
        <f>P5</f>
        <v>457.6</v>
      </c>
    </row>
    <row r="9" spans="1:16">
      <c r="B9" s="20"/>
      <c r="C9" s="20"/>
      <c r="D9" s="258"/>
      <c r="E9" s="20"/>
      <c r="F9" s="20"/>
      <c r="G9" s="20"/>
      <c r="H9" s="20"/>
      <c r="I9" s="20"/>
      <c r="J9" s="20"/>
      <c r="K9" s="20"/>
      <c r="L9" s="20"/>
      <c r="M9" s="20"/>
      <c r="N9" s="20"/>
      <c r="O9" s="20"/>
      <c r="P9" s="20"/>
    </row>
    <row r="10" spans="1:16">
      <c r="A10" s="25" t="s">
        <v>207</v>
      </c>
      <c r="B10" s="26">
        <f ca="1">'EF ele_warmte'!B12</f>
        <v>0.11797746387870887</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2626.8400445426132</v>
      </c>
      <c r="C12" s="24">
        <f ca="1">C10*C8</f>
        <v>0</v>
      </c>
      <c r="D12" s="24">
        <f>D8*D10</f>
        <v>13101.805604234934</v>
      </c>
      <c r="E12" s="24">
        <f>E10*E8</f>
        <v>207.43285223766321</v>
      </c>
      <c r="F12" s="24">
        <f>F10*F8</f>
        <v>7438.3911395795731</v>
      </c>
      <c r="G12" s="24"/>
      <c r="H12" s="24"/>
      <c r="I12" s="24"/>
      <c r="J12" s="24">
        <f>J10*J8</f>
        <v>178.94503158932085</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5104</v>
      </c>
      <c r="C26" s="37"/>
      <c r="D26" s="228"/>
    </row>
    <row r="27" spans="1:5" s="16" customFormat="1">
      <c r="A27" s="230" t="s">
        <v>623</v>
      </c>
      <c r="B27" s="38">
        <f>SUM(HH_hh_gas_aantal,HH_rest_gas_aantal)</f>
        <v>3498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3323.1</v>
      </c>
      <c r="C31" s="35" t="s">
        <v>104</v>
      </c>
      <c r="D31" s="174"/>
    </row>
    <row r="32" spans="1:5">
      <c r="A32" s="171" t="s">
        <v>72</v>
      </c>
      <c r="B32" s="34">
        <f>IF((B21*($B$26-($B$27-0.05*$B$27)-$B$60))&lt;0,0,B21*($B$26-($B$27-0.05*$B$27)-$B$60))</f>
        <v>43.17639827556706</v>
      </c>
      <c r="C32" s="35" t="s">
        <v>104</v>
      </c>
      <c r="D32" s="174"/>
    </row>
    <row r="33" spans="1:6">
      <c r="A33" s="171" t="s">
        <v>73</v>
      </c>
      <c r="B33" s="34">
        <f>IF((B22*($B$26-($B$27-0.05*$B$27)-$B$60))&lt;0,0,B22*($B$26-($B$27-0.05*$B$27)-$B$60))</f>
        <v>290.62779938019821</v>
      </c>
      <c r="C33" s="35" t="s">
        <v>104</v>
      </c>
      <c r="D33" s="174"/>
    </row>
    <row r="34" spans="1:6">
      <c r="A34" s="171" t="s">
        <v>74</v>
      </c>
      <c r="B34" s="34">
        <f>IF((B24*($B$26-($B$27-0.05*$B$27)-$B$60))&lt;0,0,B24*($B$26-($B$27-0.05*$B$27)-$B$60))</f>
        <v>73.709335801760915</v>
      </c>
      <c r="C34" s="34">
        <f>B26*C24</f>
        <v>1043.7798804229449</v>
      </c>
      <c r="D34" s="233"/>
    </row>
    <row r="35" spans="1:6">
      <c r="A35" s="171" t="s">
        <v>76</v>
      </c>
      <c r="B35" s="34">
        <f>IF((B19*($B$26-($B$27-0.05*$B$27)-$B$60))&lt;0,0,B19*($B$26-($B$27-0.05*$B$27)-$B$60))</f>
        <v>27.402798452877906</v>
      </c>
      <c r="C35" s="34">
        <f>B35/2</f>
        <v>13.701399226438953</v>
      </c>
      <c r="D35" s="233"/>
    </row>
    <row r="36" spans="1:6">
      <c r="A36" s="171" t="s">
        <v>77</v>
      </c>
      <c r="B36" s="34">
        <f>IF((B18*($B$26-($B$27-0.05*$B$27)-$B$60))&lt;0,0,B18*($B$26-($B$27-0.05*$B$27)-$B$60))</f>
        <v>1321.9836680895955</v>
      </c>
      <c r="C36" s="35" t="s">
        <v>104</v>
      </c>
      <c r="D36" s="174"/>
    </row>
    <row r="37" spans="1:6">
      <c r="A37" s="171" t="s">
        <v>78</v>
      </c>
      <c r="B37" s="34">
        <f>B60</f>
        <v>24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91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38775.552270153086</v>
      </c>
      <c r="C5" s="18">
        <f>IF(ISERROR('Eigen informatie GS &amp; warmtenet'!B58),0,'Eigen informatie GS &amp; warmtenet'!B58)</f>
        <v>0</v>
      </c>
      <c r="D5" s="31">
        <f>SUM(D6:D12)</f>
        <v>13570.941426150323</v>
      </c>
      <c r="E5" s="18">
        <f>SUM(E6:E12)</f>
        <v>354.58363854439182</v>
      </c>
      <c r="F5" s="18">
        <f>SUM(F6:F12)</f>
        <v>7900.7554273275082</v>
      </c>
      <c r="G5" s="19"/>
      <c r="H5" s="18"/>
      <c r="I5" s="18"/>
      <c r="J5" s="18">
        <f>SUM(J6:J12)</f>
        <v>0</v>
      </c>
      <c r="K5" s="18"/>
      <c r="L5" s="18"/>
      <c r="M5" s="18"/>
      <c r="N5" s="18">
        <f>SUM(N6:N12)</f>
        <v>4420.8095293368797</v>
      </c>
      <c r="O5" s="18">
        <f>B38*B39*B40</f>
        <v>3.1266666666666669</v>
      </c>
      <c r="P5" s="18">
        <f>B46*B47*B48/1000-B46*B47*B48/1000/B49</f>
        <v>38.133333333333333</v>
      </c>
      <c r="R5" s="33"/>
    </row>
    <row r="6" spans="1:18">
      <c r="A6" s="33" t="s">
        <v>53</v>
      </c>
      <c r="B6" s="38">
        <f>B26</f>
        <v>3572.2436617080498</v>
      </c>
      <c r="C6" s="34"/>
      <c r="D6" s="38">
        <f>IF(ISERROR(TER_kantoor_gas_kWh/1000),0,TER_kantoor_gas_kWh/1000)*0.902</f>
        <v>4946.622803659805</v>
      </c>
      <c r="E6" s="34">
        <f>$C$26*'E Balans VL '!I12/100/3.6*1000000</f>
        <v>5.8353674428632436</v>
      </c>
      <c r="F6" s="34">
        <f>$C$26*('E Balans VL '!L12+'E Balans VL '!N12)/100/3.6*1000000</f>
        <v>419.67443554247615</v>
      </c>
      <c r="G6" s="35"/>
      <c r="H6" s="34"/>
      <c r="I6" s="34"/>
      <c r="J6" s="34">
        <f>$C$26*('E Balans VL '!D12+'E Balans VL '!E12)/100/3.6*1000000</f>
        <v>0</v>
      </c>
      <c r="K6" s="34"/>
      <c r="L6" s="34"/>
      <c r="M6" s="34"/>
      <c r="N6" s="34">
        <f>$C$26*'E Balans VL '!Y12/100/3.6*1000000</f>
        <v>26.010502789341391</v>
      </c>
      <c r="O6" s="34"/>
      <c r="P6" s="34"/>
      <c r="R6" s="33"/>
    </row>
    <row r="7" spans="1:18">
      <c r="A7" s="33" t="s">
        <v>52</v>
      </c>
      <c r="B7" s="38">
        <f t="shared" ref="B7:B12" si="0">B27</f>
        <v>1304.8704410625201</v>
      </c>
      <c r="C7" s="34"/>
      <c r="D7" s="38">
        <f>IF(ISERROR(TER_horeca_gas_kWh/1000),0,TER_horeca_gas_kWh/1000)*0.902</f>
        <v>1792.4485338455797</v>
      </c>
      <c r="E7" s="34">
        <f>$C$27*'E Balans VL '!I9/100/3.6*1000000</f>
        <v>67.510012102478868</v>
      </c>
      <c r="F7" s="34">
        <f>$C$27*('E Balans VL '!L9+'E Balans VL '!N9)/100/3.6*1000000</f>
        <v>296.87826598067187</v>
      </c>
      <c r="G7" s="35"/>
      <c r="H7" s="34"/>
      <c r="I7" s="34"/>
      <c r="J7" s="34">
        <f>$C$27*('E Balans VL '!D9+'E Balans VL '!E9)/100/3.6*1000000</f>
        <v>0</v>
      </c>
      <c r="K7" s="34"/>
      <c r="L7" s="34"/>
      <c r="M7" s="34"/>
      <c r="N7" s="34">
        <f>$C$27*'E Balans VL '!Y9/100/3.6*1000000</f>
        <v>0.13738005074230955</v>
      </c>
      <c r="O7" s="34"/>
      <c r="P7" s="34"/>
      <c r="R7" s="33"/>
    </row>
    <row r="8" spans="1:18">
      <c r="A8" s="6" t="s">
        <v>51</v>
      </c>
      <c r="B8" s="38">
        <f t="shared" si="0"/>
        <v>2305.8573588719601</v>
      </c>
      <c r="C8" s="34"/>
      <c r="D8" s="38">
        <f>IF(ISERROR(TER_handel_gas_kWh/1000),0,TER_handel_gas_kWh/1000)*0.902</f>
        <v>1774.042918966504</v>
      </c>
      <c r="E8" s="34">
        <f>$C$28*'E Balans VL '!I13/100/3.6*1000000</f>
        <v>12.112083041131019</v>
      </c>
      <c r="F8" s="34">
        <f>$C$28*('E Balans VL '!L13+'E Balans VL '!N13)/100/3.6*1000000</f>
        <v>434.7313361921469</v>
      </c>
      <c r="G8" s="35"/>
      <c r="H8" s="34"/>
      <c r="I8" s="34"/>
      <c r="J8" s="34">
        <f>$C$28*('E Balans VL '!D13+'E Balans VL '!E13)/100/3.6*1000000</f>
        <v>0</v>
      </c>
      <c r="K8" s="34"/>
      <c r="L8" s="34"/>
      <c r="M8" s="34"/>
      <c r="N8" s="34">
        <f>$C$28*'E Balans VL '!Y13/100/3.6*1000000</f>
        <v>11.431389502600416</v>
      </c>
      <c r="O8" s="34"/>
      <c r="P8" s="34"/>
      <c r="R8" s="33"/>
    </row>
    <row r="9" spans="1:18">
      <c r="A9" s="33" t="s">
        <v>50</v>
      </c>
      <c r="B9" s="38">
        <f t="shared" si="0"/>
        <v>0</v>
      </c>
      <c r="C9" s="34"/>
      <c r="D9" s="38">
        <f>IF(ISERROR(TER_gezond_gas_kWh/1000),0,TER_gezond_gas_kWh/1000)*0.902</f>
        <v>0</v>
      </c>
      <c r="E9" s="34">
        <f>$C$29*'E Balans VL '!I10/100/3.6*1000000</f>
        <v>0</v>
      </c>
      <c r="F9" s="34">
        <f>$C$29*('E Balans VL '!L10+'E Balans VL '!N10)/100/3.6*1000000</f>
        <v>0</v>
      </c>
      <c r="G9" s="35"/>
      <c r="H9" s="34"/>
      <c r="I9" s="34"/>
      <c r="J9" s="34">
        <f>$C$29*('E Balans VL '!D10+'E Balans VL '!E10)/100/3.6*1000000</f>
        <v>0</v>
      </c>
      <c r="K9" s="34"/>
      <c r="L9" s="34"/>
      <c r="M9" s="34"/>
      <c r="N9" s="34">
        <f>$C$29*'E Balans VL '!Y10/100/3.6*1000000</f>
        <v>0</v>
      </c>
      <c r="O9" s="34"/>
      <c r="P9" s="34"/>
      <c r="R9" s="33"/>
    </row>
    <row r="10" spans="1:18">
      <c r="A10" s="33" t="s">
        <v>49</v>
      </c>
      <c r="B10" s="38">
        <f t="shared" si="0"/>
        <v>6150.3523374624101</v>
      </c>
      <c r="C10" s="34"/>
      <c r="D10" s="38">
        <f>IF(ISERROR(TER_ander_gas_kWh/1000),0,TER_ander_gas_kWh/1000)*0.902</f>
        <v>245.39223662040777</v>
      </c>
      <c r="E10" s="34">
        <f>$C$30*'E Balans VL '!I14/100/3.6*1000000</f>
        <v>50.164948413940621</v>
      </c>
      <c r="F10" s="34">
        <f>$C$30*('E Balans VL '!L14+'E Balans VL '!N14)/100/3.6*1000000</f>
        <v>1792.7135181430822</v>
      </c>
      <c r="G10" s="35"/>
      <c r="H10" s="34"/>
      <c r="I10" s="34"/>
      <c r="J10" s="34">
        <f>$C$30*('E Balans VL '!D14+'E Balans VL '!E14)/100/3.6*1000000</f>
        <v>0</v>
      </c>
      <c r="K10" s="34"/>
      <c r="L10" s="34"/>
      <c r="M10" s="34"/>
      <c r="N10" s="34">
        <f>$C$30*'E Balans VL '!Y14/100/3.6*1000000</f>
        <v>2921.1431995798566</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25442.228471048151</v>
      </c>
      <c r="C12" s="34"/>
      <c r="D12" s="38">
        <f>IF(ISERROR(TER_rest_gas_kWh/1000),0,TER_rest_gas_kWh/1000)*0.902</f>
        <v>4812.4349330580253</v>
      </c>
      <c r="E12" s="34">
        <f>$C$32*'E Balans VL '!I8/100/3.6*1000000</f>
        <v>218.96122754397805</v>
      </c>
      <c r="F12" s="34">
        <f>$C$32*('E Balans VL '!L8+'E Balans VL '!N8)/100/3.6*1000000</f>
        <v>4956.7578714691308</v>
      </c>
      <c r="G12" s="35"/>
      <c r="H12" s="34"/>
      <c r="I12" s="34"/>
      <c r="J12" s="34">
        <f>$C$32*('E Balans VL '!D8+'E Balans VL '!E8)/100/3.6*1000000</f>
        <v>0</v>
      </c>
      <c r="K12" s="34"/>
      <c r="L12" s="34"/>
      <c r="M12" s="34"/>
      <c r="N12" s="34">
        <f>$C$32*'E Balans VL '!Y8/100/3.6*1000000</f>
        <v>1462.0870574143394</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38775.552270153086</v>
      </c>
      <c r="C16" s="22">
        <f t="shared" ca="1" si="1"/>
        <v>0</v>
      </c>
      <c r="D16" s="22">
        <f t="shared" ca="1" si="1"/>
        <v>13570.941426150323</v>
      </c>
      <c r="E16" s="22">
        <f t="shared" si="1"/>
        <v>354.58363854439182</v>
      </c>
      <c r="F16" s="22">
        <f t="shared" ca="1" si="1"/>
        <v>7900.7554273275082</v>
      </c>
      <c r="G16" s="22">
        <f t="shared" si="1"/>
        <v>0</v>
      </c>
      <c r="H16" s="22">
        <f t="shared" si="1"/>
        <v>0</v>
      </c>
      <c r="I16" s="22">
        <f t="shared" si="1"/>
        <v>0</v>
      </c>
      <c r="J16" s="22">
        <f t="shared" si="1"/>
        <v>0</v>
      </c>
      <c r="K16" s="22">
        <f t="shared" si="1"/>
        <v>0</v>
      </c>
      <c r="L16" s="22">
        <f t="shared" ca="1" si="1"/>
        <v>0</v>
      </c>
      <c r="M16" s="22">
        <f t="shared" si="1"/>
        <v>0</v>
      </c>
      <c r="N16" s="22">
        <f t="shared" ca="1" si="1"/>
        <v>4420.8095293368797</v>
      </c>
      <c r="O16" s="22">
        <f>O5</f>
        <v>3.1266666666666669</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0.11797746387870887</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4574.6413173289739</v>
      </c>
      <c r="C20" s="24">
        <f t="shared" ref="C20:P20" ca="1" si="2">C16*C18</f>
        <v>0</v>
      </c>
      <c r="D20" s="24">
        <f t="shared" ca="1" si="2"/>
        <v>2741.3301680823652</v>
      </c>
      <c r="E20" s="24">
        <f t="shared" si="2"/>
        <v>80.49048594957695</v>
      </c>
      <c r="F20" s="24">
        <f t="shared" ca="1" si="2"/>
        <v>2109.501699096445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3572.2436617080498</v>
      </c>
      <c r="C26" s="40">
        <f>IF(ISERROR(B26*3.6/1000000/'E Balans VL '!Z12*100),0,B26*3.6/1000000/'E Balans VL '!Z12*100)</f>
        <v>7.5713905714115098E-2</v>
      </c>
      <c r="D26" s="236" t="s">
        <v>660</v>
      </c>
      <c r="F26" s="6"/>
    </row>
    <row r="27" spans="1:18">
      <c r="A27" s="231" t="s">
        <v>52</v>
      </c>
      <c r="B27" s="34">
        <f>IF(ISERROR(TER_horeca_ele_kWh/1000),0,TER_horeca_ele_kWh/1000)</f>
        <v>1304.8704410625201</v>
      </c>
      <c r="C27" s="40">
        <f>IF(ISERROR(B27*3.6/1000000/'E Balans VL '!Z9*100),0,B27*3.6/1000000/'E Balans VL '!Z9*100)</f>
        <v>0.10239506887625557</v>
      </c>
      <c r="D27" s="236" t="s">
        <v>660</v>
      </c>
      <c r="F27" s="6"/>
    </row>
    <row r="28" spans="1:18">
      <c r="A28" s="171" t="s">
        <v>51</v>
      </c>
      <c r="B28" s="34">
        <f>IF(ISERROR(TER_handel_ele_kWh/1000),0,TER_handel_ele_kWh/1000)</f>
        <v>2305.8573588719601</v>
      </c>
      <c r="C28" s="40">
        <f>IF(ISERROR(B28*3.6/1000000/'E Balans VL '!Z13*100),0,B28*3.6/1000000/'E Balans VL '!Z13*100)</f>
        <v>6.4394398454355406E-2</v>
      </c>
      <c r="D28" s="236" t="s">
        <v>660</v>
      </c>
      <c r="F28" s="6"/>
    </row>
    <row r="29" spans="1:18">
      <c r="A29" s="231" t="s">
        <v>50</v>
      </c>
      <c r="B29" s="34">
        <f>IF(ISERROR(TER_gezond_ele_kWh/1000),0,TER_gezond_ele_kWh/1000)</f>
        <v>0</v>
      </c>
      <c r="C29" s="40">
        <f>IF(ISERROR(B29*3.6/1000000/'E Balans VL '!Z10*100),0,B29*3.6/1000000/'E Balans VL '!Z10*100)</f>
        <v>0</v>
      </c>
      <c r="D29" s="236" t="s">
        <v>660</v>
      </c>
      <c r="F29" s="6"/>
    </row>
    <row r="30" spans="1:18">
      <c r="A30" s="231" t="s">
        <v>49</v>
      </c>
      <c r="B30" s="34">
        <f>IF(ISERROR(TER_ander_ele_kWh/1000),0,TER_ander_ele_kWh/1000)</f>
        <v>6150.3523374624101</v>
      </c>
      <c r="C30" s="40">
        <f>IF(ISERROR(B30*3.6/1000000/'E Balans VL '!Z14*100),0,B30*3.6/1000000/'E Balans VL '!Z14*100)</f>
        <v>0.45861358374861827</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25442.228471048151</v>
      </c>
      <c r="C32" s="40">
        <f>IF(ISERROR(B32*3.6/1000000/'E Balans VL '!Z8*100),0,B32*3.6/1000000/'E Balans VL '!Z8*100)</f>
        <v>0.20962813876436295</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18459.462642911454</v>
      </c>
      <c r="C5" s="18">
        <f>IF(ISERROR('Eigen informatie GS &amp; warmtenet'!B59),0,'Eigen informatie GS &amp; warmtenet'!B59)</f>
        <v>0</v>
      </c>
      <c r="D5" s="31">
        <f>SUM(D6:D15)</f>
        <v>7798.9225189474109</v>
      </c>
      <c r="E5" s="18">
        <f>SUM(E6:E15)</f>
        <v>180.06854972039599</v>
      </c>
      <c r="F5" s="18">
        <f>SUM(F6:F15)</f>
        <v>6984.5989801447558</v>
      </c>
      <c r="G5" s="19"/>
      <c r="H5" s="18"/>
      <c r="I5" s="18"/>
      <c r="J5" s="18">
        <f>SUM(J6:J15)</f>
        <v>106.70502993190547</v>
      </c>
      <c r="K5" s="18"/>
      <c r="L5" s="18"/>
      <c r="M5" s="18"/>
      <c r="N5" s="18">
        <f>SUM(N6:N15)</f>
        <v>1167.6036780513607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4863.0621776012904</v>
      </c>
      <c r="C8" s="34"/>
      <c r="D8" s="38">
        <f>IF( ISERROR(IND_metaal_Gas_kWH/1000),0,IND_metaal_Gas_kWH/1000)*0.902</f>
        <v>3188.8070739918662</v>
      </c>
      <c r="E8" s="34">
        <f>C30*'E Balans VL '!I18/100/3.6*1000000</f>
        <v>44.287030867530163</v>
      </c>
      <c r="F8" s="34">
        <f>C30*'E Balans VL '!L18/100/3.6*1000000+C30*'E Balans VL '!N18/100/3.6*1000000</f>
        <v>641.40097049712824</v>
      </c>
      <c r="G8" s="35"/>
      <c r="H8" s="34"/>
      <c r="I8" s="34"/>
      <c r="J8" s="41">
        <f>C30*'E Balans VL '!D18/100/3.6*1000000+C30*'E Balans VL '!E18/100/3.6*1000000</f>
        <v>79.747158800635106</v>
      </c>
      <c r="K8" s="34"/>
      <c r="L8" s="34"/>
      <c r="M8" s="34"/>
      <c r="N8" s="34">
        <f>C30*'E Balans VL '!Y18/100/3.6*1000000</f>
        <v>16.712412857921141</v>
      </c>
      <c r="O8" s="34"/>
      <c r="P8" s="34"/>
      <c r="R8" s="33"/>
    </row>
    <row r="9" spans="1:18">
      <c r="A9" s="6" t="s">
        <v>32</v>
      </c>
      <c r="B9" s="38">
        <f t="shared" si="0"/>
        <v>6332.3013251190905</v>
      </c>
      <c r="C9" s="34"/>
      <c r="D9" s="38">
        <f>IF( ISERROR(IND_andere_gas_kWh/1000),0,IND_andere_gas_kWh/1000)*0.902</f>
        <v>1244.0408031972199</v>
      </c>
      <c r="E9" s="34">
        <f>C31*'E Balans VL '!I19/100/3.6*1000000</f>
        <v>36.601647943351402</v>
      </c>
      <c r="F9" s="34">
        <f>C31*'E Balans VL '!L19/100/3.6*1000000+C31*'E Balans VL '!N19/100/3.6*1000000</f>
        <v>5037.6504024146479</v>
      </c>
      <c r="G9" s="35"/>
      <c r="H9" s="34"/>
      <c r="I9" s="34"/>
      <c r="J9" s="41">
        <f>C31*'E Balans VL '!D19/100/3.6*1000000+C31*'E Balans VL '!E19/100/3.6*1000000</f>
        <v>0.5989653681453635</v>
      </c>
      <c r="K9" s="34"/>
      <c r="L9" s="34"/>
      <c r="M9" s="34"/>
      <c r="N9" s="34">
        <f>C31*'E Balans VL '!Y19/100/3.6*1000000</f>
        <v>479.76765403932671</v>
      </c>
      <c r="O9" s="34"/>
      <c r="P9" s="34"/>
      <c r="R9" s="33"/>
    </row>
    <row r="10" spans="1:18">
      <c r="A10" s="6" t="s">
        <v>40</v>
      </c>
      <c r="B10" s="38">
        <f t="shared" si="0"/>
        <v>369.25479001555101</v>
      </c>
      <c r="C10" s="34"/>
      <c r="D10" s="38">
        <f>IF( ISERROR(IND_voed_gas_kWh/1000),0,IND_voed_gas_kWh/1000)*0.902</f>
        <v>389.62355944836878</v>
      </c>
      <c r="E10" s="34">
        <f>C32*'E Balans VL '!I20/100/3.6*1000000</f>
        <v>3.6307406122572274</v>
      </c>
      <c r="F10" s="34">
        <f>C32*'E Balans VL '!L20/100/3.6*1000000+C32*'E Balans VL '!N20/100/3.6*1000000</f>
        <v>41.010564182690899</v>
      </c>
      <c r="G10" s="35"/>
      <c r="H10" s="34"/>
      <c r="I10" s="34"/>
      <c r="J10" s="41">
        <f>C32*'E Balans VL '!D20/100/3.6*1000000+C32*'E Balans VL '!E20/100/3.6*1000000</f>
        <v>1.4554007590391745E-3</v>
      </c>
      <c r="K10" s="34"/>
      <c r="L10" s="34"/>
      <c r="M10" s="34"/>
      <c r="N10" s="34">
        <f>C32*'E Balans VL '!Y20/100/3.6*1000000</f>
        <v>5.4677948613092751</v>
      </c>
      <c r="O10" s="34"/>
      <c r="P10" s="34"/>
      <c r="R10" s="33"/>
    </row>
    <row r="11" spans="1:18">
      <c r="A11" s="6" t="s">
        <v>39</v>
      </c>
      <c r="B11" s="38">
        <f t="shared" si="0"/>
        <v>62.3929152465345</v>
      </c>
      <c r="C11" s="34"/>
      <c r="D11" s="38">
        <f>IF( ISERROR(IND_textiel_gas_kWh/1000),0,IND_textiel_gas_kWh/1000)*0.902</f>
        <v>0</v>
      </c>
      <c r="E11" s="34">
        <f>C33*'E Balans VL '!I21/100/3.6*1000000</f>
        <v>0.12149349404706704</v>
      </c>
      <c r="F11" s="34">
        <f>C33*'E Balans VL '!L21/100/3.6*1000000+C33*'E Balans VL '!N21/100/3.6*1000000</f>
        <v>2.0579230874056011</v>
      </c>
      <c r="G11" s="35"/>
      <c r="H11" s="34"/>
      <c r="I11" s="34"/>
      <c r="J11" s="41">
        <f>C33*'E Balans VL '!D21/100/3.6*1000000+C33*'E Balans VL '!E21/100/3.6*1000000</f>
        <v>0</v>
      </c>
      <c r="K11" s="34"/>
      <c r="L11" s="34"/>
      <c r="M11" s="34"/>
      <c r="N11" s="34">
        <f>C33*'E Balans VL '!Y21/100/3.6*1000000</f>
        <v>0.64717863553553434</v>
      </c>
      <c r="O11" s="34"/>
      <c r="P11" s="34"/>
      <c r="R11" s="33"/>
    </row>
    <row r="12" spans="1:18">
      <c r="A12" s="6" t="s">
        <v>36</v>
      </c>
      <c r="B12" s="38">
        <f t="shared" si="0"/>
        <v>0</v>
      </c>
      <c r="C12" s="34"/>
      <c r="D12" s="38">
        <f>IF( ISERROR(IND_min_gas_kWh/1000),0,IND_min_gas_kWh/1000)*0.902</f>
        <v>144.93493240314478</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1369.79929576621</v>
      </c>
      <c r="C13" s="34"/>
      <c r="D13" s="38">
        <f>IF( ISERROR(IND_papier_gas_kWh/1000),0,IND_papier_gas_kWh/1000)*0.902</f>
        <v>0</v>
      </c>
      <c r="E13" s="34">
        <f>C35*'E Balans VL '!I23/100/3.6*1000000</f>
        <v>46.657350094370891</v>
      </c>
      <c r="F13" s="34">
        <f>C35*'E Balans VL '!L23/100/3.6*1000000+C35*'E Balans VL '!N23/100/3.6*1000000</f>
        <v>226.25869516312093</v>
      </c>
      <c r="G13" s="35"/>
      <c r="H13" s="34"/>
      <c r="I13" s="34"/>
      <c r="J13" s="41">
        <f>C35*'E Balans VL '!D23/100/3.6*1000000+C35*'E Balans VL '!E23/100/3.6*1000000</f>
        <v>0</v>
      </c>
      <c r="K13" s="34"/>
      <c r="L13" s="34"/>
      <c r="M13" s="34"/>
      <c r="N13" s="34">
        <f>C35*'E Balans VL '!Y23/100/3.6*1000000</f>
        <v>504.049405672565</v>
      </c>
      <c r="O13" s="34"/>
      <c r="P13" s="34"/>
      <c r="R13" s="33"/>
    </row>
    <row r="14" spans="1:18">
      <c r="A14" s="6" t="s">
        <v>33</v>
      </c>
      <c r="B14" s="38">
        <f t="shared" si="0"/>
        <v>221.32110800588703</v>
      </c>
      <c r="C14" s="34"/>
      <c r="D14" s="38">
        <f>IF( ISERROR(IND_chemie_gas_kWh/1000),0,IND_chemie_gas_kWh/1000)*0.902</f>
        <v>0</v>
      </c>
      <c r="E14" s="34">
        <f>C36*'E Balans VL '!I24/100/3.6*1000000</f>
        <v>1.6733059184364072</v>
      </c>
      <c r="F14" s="34">
        <f>C36*'E Balans VL '!L24/100/3.6*1000000+C36*'E Balans VL '!N24/100/3.6*1000000</f>
        <v>4.0950524097518519</v>
      </c>
      <c r="G14" s="35"/>
      <c r="H14" s="34"/>
      <c r="I14" s="34"/>
      <c r="J14" s="41">
        <f>C36*'E Balans VL '!D24/100/3.6*1000000+C36*'E Balans VL '!E24/100/3.6*1000000</f>
        <v>0</v>
      </c>
      <c r="K14" s="34"/>
      <c r="L14" s="34"/>
      <c r="M14" s="34"/>
      <c r="N14" s="34">
        <f>C36*'E Balans VL '!Y24/100/3.6*1000000</f>
        <v>6.4177414304970606E-2</v>
      </c>
      <c r="O14" s="34"/>
      <c r="P14" s="34"/>
      <c r="R14" s="33"/>
    </row>
    <row r="15" spans="1:18">
      <c r="A15" s="6" t="s">
        <v>259</v>
      </c>
      <c r="B15" s="38">
        <f t="shared" si="0"/>
        <v>5241.3310311568903</v>
      </c>
      <c r="C15" s="34"/>
      <c r="D15" s="38">
        <f>IF( ISERROR(IND_rest_gas_kWh/1000),0,IND_rest_gas_kWh/1000)*0.902</f>
        <v>2831.5161499068117</v>
      </c>
      <c r="E15" s="34">
        <f>C37*'E Balans VL '!I15/100/3.6*1000000</f>
        <v>47.09698079040281</v>
      </c>
      <c r="F15" s="34">
        <f>C37*'E Balans VL '!L15/100/3.6*1000000+C37*'E Balans VL '!N15/100/3.6*1000000</f>
        <v>1032.1253723900102</v>
      </c>
      <c r="G15" s="35"/>
      <c r="H15" s="34"/>
      <c r="I15" s="34"/>
      <c r="J15" s="41">
        <f>C37*'E Balans VL '!D15/100/3.6*1000000+C37*'E Balans VL '!E15/100/3.6*1000000</f>
        <v>26.35745036236597</v>
      </c>
      <c r="K15" s="34"/>
      <c r="L15" s="34"/>
      <c r="M15" s="34"/>
      <c r="N15" s="34">
        <f>C37*'E Balans VL '!Y15/100/3.6*1000000</f>
        <v>160.89505457039817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18459.462642911454</v>
      </c>
      <c r="C18" s="22">
        <f>C5+C16</f>
        <v>0</v>
      </c>
      <c r="D18" s="22">
        <f>MAX((D5+D16),0)</f>
        <v>7798.9225189474109</v>
      </c>
      <c r="E18" s="22">
        <f>MAX((E5+E16),0)</f>
        <v>180.06854972039599</v>
      </c>
      <c r="F18" s="22">
        <f>MAX((F5+F16),0)</f>
        <v>6984.5989801447558</v>
      </c>
      <c r="G18" s="22"/>
      <c r="H18" s="22"/>
      <c r="I18" s="22"/>
      <c r="J18" s="22">
        <f>MAX((J5+J16),0)</f>
        <v>106.70502993190547</v>
      </c>
      <c r="K18" s="22"/>
      <c r="L18" s="22">
        <f>MAX((L5+L16),0)</f>
        <v>0</v>
      </c>
      <c r="M18" s="22"/>
      <c r="N18" s="22">
        <f>MAX((N5+N16),0)</f>
        <v>1167.6036780513607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0.11797746387870887</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2177.8005871744617</v>
      </c>
      <c r="C22" s="24">
        <f ca="1">C18*C20</f>
        <v>0</v>
      </c>
      <c r="D22" s="24">
        <f>D18*D20</f>
        <v>1575.3823488273772</v>
      </c>
      <c r="E22" s="24">
        <f>E18*E20</f>
        <v>40.875560786529888</v>
      </c>
      <c r="F22" s="24">
        <f>F18*F20</f>
        <v>1864.8879276986499</v>
      </c>
      <c r="G22" s="24"/>
      <c r="H22" s="24"/>
      <c r="I22" s="24"/>
      <c r="J22" s="24">
        <f>J18*J20</f>
        <v>37.773580595894536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4863.0621776012904</v>
      </c>
      <c r="C30" s="40">
        <f>IF(ISERROR(B30*3.6/1000000/'E Balans VL '!Z18*100),0,B30*3.6/1000000/'E Balans VL '!Z18*100)</f>
        <v>0.27059689116573488</v>
      </c>
      <c r="D30" s="236" t="s">
        <v>660</v>
      </c>
    </row>
    <row r="31" spans="1:18">
      <c r="A31" s="6" t="s">
        <v>32</v>
      </c>
      <c r="B31" s="38">
        <f>IF( ISERROR(IND_ander_ele_kWh/1000),0,IND_ander_ele_kWh/1000)</f>
        <v>6332.3013251190905</v>
      </c>
      <c r="C31" s="40">
        <f>IF(ISERROR(B31*3.6/1000000/'E Balans VL '!Z19*100),0,B31*3.6/1000000/'E Balans VL '!Z19*100)</f>
        <v>0.29437205806461553</v>
      </c>
      <c r="D31" s="236" t="s">
        <v>660</v>
      </c>
    </row>
    <row r="32" spans="1:18">
      <c r="A32" s="171" t="s">
        <v>40</v>
      </c>
      <c r="B32" s="38">
        <f>IF( ISERROR(IND_voed_ele_kWh/1000),0,IND_voed_ele_kWh/1000)</f>
        <v>369.25479001555101</v>
      </c>
      <c r="C32" s="40">
        <f>IF(ISERROR(B32*3.6/1000000/'E Balans VL '!Z20*100),0,B32*3.6/1000000/'E Balans VL '!Z20*100)</f>
        <v>1.3052411085418806E-2</v>
      </c>
      <c r="D32" s="236" t="s">
        <v>660</v>
      </c>
    </row>
    <row r="33" spans="1:5">
      <c r="A33" s="171" t="s">
        <v>39</v>
      </c>
      <c r="B33" s="38">
        <f>IF( ISERROR(IND_textiel_ele_kWh/1000),0,IND_textiel_ele_kWh/1000)</f>
        <v>62.3929152465345</v>
      </c>
      <c r="C33" s="40">
        <f>IF(ISERROR(B33*3.6/1000000/'E Balans VL '!Z21*100),0,B33*3.6/1000000/'E Balans VL '!Z21*100)</f>
        <v>8.4271099501860014E-3</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1369.79929576621</v>
      </c>
      <c r="C35" s="40">
        <f>IF(ISERROR(B35*3.6/1000000/'E Balans VL '!Z22*100),0,B35*3.6/1000000/'E Balans VL '!Z22*100)</f>
        <v>0.27529103141384725</v>
      </c>
      <c r="D35" s="236" t="s">
        <v>660</v>
      </c>
    </row>
    <row r="36" spans="1:5">
      <c r="A36" s="171" t="s">
        <v>33</v>
      </c>
      <c r="B36" s="38">
        <f>IF( ISERROR(IND_chemie_ele_kWh/1000),0,IND_chemie_ele_kWh/1000)</f>
        <v>221.32110800588703</v>
      </c>
      <c r="C36" s="40">
        <f>IF(ISERROR(B36*3.6/1000000/'E Balans VL '!Z24*100),0,B36*3.6/1000000/'E Balans VL '!Z24*100)</f>
        <v>5.4500818247680757E-3</v>
      </c>
      <c r="D36" s="236" t="s">
        <v>660</v>
      </c>
    </row>
    <row r="37" spans="1:5">
      <c r="A37" s="171" t="s">
        <v>259</v>
      </c>
      <c r="B37" s="38">
        <f>IF( ISERROR(IND_rest_ele_kWh/1000),0,IND_rest_ele_kWh/1000)</f>
        <v>5241.3310311568903</v>
      </c>
      <c r="C37" s="40">
        <f>IF(ISERROR(B37*3.6/1000000/'E Balans VL '!Z15*100),0,B37*3.6/1000000/'E Balans VL '!Z15*100)</f>
        <v>3.957979190196708E-2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5194.1895400574431</v>
      </c>
      <c r="C5" s="18">
        <f>'Eigen informatie GS &amp; warmtenet'!B60</f>
        <v>0</v>
      </c>
      <c r="D5" s="31">
        <f>IF(ISERROR(SUM(LB_lb_gas_kWh,LB_rest_gas_kWh)/1000),0,SUM(LB_lb_gas_kWh,LB_rest_gas_kWh)/1000)*0.902</f>
        <v>1646.4957734305181</v>
      </c>
      <c r="E5" s="18">
        <f>B17*'E Balans VL '!I25/3.6*1000000/100</f>
        <v>51.293567094227413</v>
      </c>
      <c r="F5" s="18">
        <f>B17*('E Balans VL '!L25/3.6*1000000+'E Balans VL '!N25/3.6*1000000)/100</f>
        <v>17329.190677634833</v>
      </c>
      <c r="G5" s="19"/>
      <c r="H5" s="18"/>
      <c r="I5" s="18"/>
      <c r="J5" s="18">
        <f>('E Balans VL '!D25+'E Balans VL '!E25)/3.6*1000000*landbouw!B17/100</f>
        <v>518.22246125939591</v>
      </c>
      <c r="K5" s="18"/>
      <c r="L5" s="18">
        <f>L6*(-1)</f>
        <v>0</v>
      </c>
      <c r="M5" s="18"/>
      <c r="N5" s="18">
        <f>N6*(-1)</f>
        <v>31013.571428571428</v>
      </c>
      <c r="O5" s="18"/>
      <c r="P5" s="18"/>
      <c r="R5" s="33"/>
    </row>
    <row r="6" spans="1:18">
      <c r="A6" s="17" t="s">
        <v>488</v>
      </c>
      <c r="B6" s="18" t="s">
        <v>204</v>
      </c>
      <c r="C6" s="18">
        <f>'lokale energieproductie'!O39+'lokale energieproductie'!O32</f>
        <v>14232.857142857143</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-31013.571428571428</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5194.1895400574431</v>
      </c>
      <c r="C8" s="22">
        <f>C5+C6</f>
        <v>14232.857142857143</v>
      </c>
      <c r="D8" s="22">
        <f>MAX((D5+D6),0)</f>
        <v>1646.4957734305181</v>
      </c>
      <c r="E8" s="22">
        <f>MAX((E5+E6),0)</f>
        <v>51.293567094227413</v>
      </c>
      <c r="F8" s="22">
        <f>MAX((F5+F6),0)</f>
        <v>17329.190677634833</v>
      </c>
      <c r="G8" s="22"/>
      <c r="H8" s="22"/>
      <c r="I8" s="22"/>
      <c r="J8" s="22">
        <f>MAX((J5+J6),0)</f>
        <v>518.22246125939591</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0.11797746387870887</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612.79730884129447</v>
      </c>
      <c r="C12" s="24">
        <f ca="1">C8*C10</f>
        <v>0</v>
      </c>
      <c r="D12" s="24">
        <f>D8*D10</f>
        <v>332.59214623296469</v>
      </c>
      <c r="E12" s="24">
        <f>E8*E10</f>
        <v>11.643639730389623</v>
      </c>
      <c r="F12" s="24">
        <f>F8*F10</f>
        <v>4626.8939109285011</v>
      </c>
      <c r="G12" s="24"/>
      <c r="H12" s="24"/>
      <c r="I12" s="24"/>
      <c r="J12" s="24">
        <f>J8*J10</f>
        <v>183.45075128582616</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0.7032102632282019</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318.76349879943069</v>
      </c>
      <c r="C26" s="246">
        <f>B26*'GWP N2O_CH4'!B5</f>
        <v>6694.0334747880443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243.40084605668574</v>
      </c>
      <c r="C27" s="246">
        <f>B27*'GWP N2O_CH4'!B5</f>
        <v>5111.4177671904008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8.3480155482375498</v>
      </c>
      <c r="C28" s="246">
        <f>B28*'GWP N2O_CH4'!B4</f>
        <v>2587.8848199536405</v>
      </c>
      <c r="D28" s="51"/>
    </row>
    <row r="29" spans="1:4">
      <c r="A29" s="42" t="s">
        <v>266</v>
      </c>
      <c r="B29" s="246">
        <f>B34*'ha_N2O bodem landbouw'!B4</f>
        <v>13.551251446623128</v>
      </c>
      <c r="C29" s="246">
        <f>B29*'GWP N2O_CH4'!B4</f>
        <v>4200.8879484531699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3.6584112935767114E-3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1.1534378089395973E-5</v>
      </c>
      <c r="C5" s="433" t="s">
        <v>204</v>
      </c>
      <c r="D5" s="418">
        <f>SUM(D6:D11)</f>
        <v>1.3445101678027879E-5</v>
      </c>
      <c r="E5" s="418">
        <f>SUM(E6:E11)</f>
        <v>9.3668522955065695E-4</v>
      </c>
      <c r="F5" s="431" t="s">
        <v>204</v>
      </c>
      <c r="G5" s="418">
        <f>SUM(G6:G11)</f>
        <v>0.27314097137262622</v>
      </c>
      <c r="H5" s="418">
        <f>SUM(H6:H11)</f>
        <v>3.5000854172186492E-2</v>
      </c>
      <c r="I5" s="433" t="s">
        <v>204</v>
      </c>
      <c r="J5" s="433" t="s">
        <v>204</v>
      </c>
      <c r="K5" s="433" t="s">
        <v>204</v>
      </c>
      <c r="L5" s="433" t="s">
        <v>204</v>
      </c>
      <c r="M5" s="418">
        <f>SUM(M6:M11)</f>
        <v>1.3756806669592198E-2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4.4787776903306338E-6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5.1945673366069773E-6</v>
      </c>
      <c r="E6" s="421">
        <f>vkm_GW_PW*SUMIFS(TableVerdeelsleutelVkm[LPG],TableVerdeelsleutelVkm[Voertuigtype],"Lichte voertuigen")*SUMIFS(TableECFTransport[EnergieConsumptieFactor (PJ per km)],TableECFTransport[Index],CONCATENATE($A6,"_LPG_LPG"))</f>
        <v>3.3622525329124182E-4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5.3013222380794763E-2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1.3405098161786028E-2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2.9728884674261086E-3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9.5998930646140405E-8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1.5880232033167553E-2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4.9490691674056981E-7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7.066216719654549E-4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1.7034065284738927E-6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3.2198956945395605E-6</v>
      </c>
      <c r="E8" s="421">
        <f>vkm_NGW_PW*SUMIFS(TableVerdeelsleutelVkm[LPG],TableVerdeelsleutelVkm[Voertuigtype],"Lichte voertuigen")*SUMIFS(TableECFTransport[EnergieConsumptieFactor (PJ per km)],TableECFTransport[Index],CONCATENATE($A8,"_LPG_LPG"))</f>
        <v>1.969647528377242E-4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2.936452034307805E-2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7.9085452962560209E-3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1.6688505997361888E-3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2.7247966697637778E-8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5.7800230862902697E-3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1.6955385725569436E-7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2.5719283398253445E-4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4.5167765378433861E-6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5.0306386468813424E-6</v>
      </c>
      <c r="E10" s="421">
        <f>vkm_SW_PW*SUMIFS(TableVerdeelsleutelVkm[LPG],TableVerdeelsleutelVkm[Voertuigtype],"Lichte voertuigen")*SUMIFS(TableECFTransport[EnergieConsumptieFactor (PJ per km)],TableECFTransport[Index],CONCATENATE($A10,"_LPG_LPG"))</f>
        <v>4.0349522342169084E-4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5.8750433322951996E-2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1.3682767300216737E-2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3.240887587125027E-3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7.1217043540428294E-7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0.11035254020634358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3.7789531537140555E-6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4.9103655093568821E-3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3.2039939137211038</v>
      </c>
      <c r="C14" s="22"/>
      <c r="D14" s="22">
        <f t="shared" ref="D14:M14" si="0">((D5)*10^9/3600)+D12</f>
        <v>3.7347504661188551</v>
      </c>
      <c r="E14" s="22">
        <f t="shared" si="0"/>
        <v>260.19034154184914</v>
      </c>
      <c r="F14" s="22"/>
      <c r="G14" s="22">
        <f t="shared" si="0"/>
        <v>75872.492047951731</v>
      </c>
      <c r="H14" s="22">
        <f t="shared" si="0"/>
        <v>9722.4594922740253</v>
      </c>
      <c r="I14" s="22"/>
      <c r="J14" s="22"/>
      <c r="K14" s="22"/>
      <c r="L14" s="22"/>
      <c r="M14" s="22">
        <f t="shared" si="0"/>
        <v>3821.3351859978329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0.11797746387870887</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0.3779990762236346</v>
      </c>
      <c r="C18" s="24"/>
      <c r="D18" s="24">
        <f t="shared" ref="D18:M18" si="1">D14*D16</f>
        <v>0.75441959415600879</v>
      </c>
      <c r="E18" s="24">
        <f t="shared" si="1"/>
        <v>59.063207529999758</v>
      </c>
      <c r="F18" s="24"/>
      <c r="G18" s="24">
        <f t="shared" si="1"/>
        <v>20257.955376803115</v>
      </c>
      <c r="H18" s="24">
        <f t="shared" si="1"/>
        <v>2420.8924135762322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1.4368906451822404E-5</v>
      </c>
      <c r="C50" s="316">
        <f t="shared" ref="C50:P50" si="2">SUM(C51:C52)</f>
        <v>0</v>
      </c>
      <c r="D50" s="316">
        <f t="shared" si="2"/>
        <v>0</v>
      </c>
      <c r="E50" s="316">
        <f t="shared" si="2"/>
        <v>0</v>
      </c>
      <c r="F50" s="316">
        <f t="shared" si="2"/>
        <v>0</v>
      </c>
      <c r="G50" s="316">
        <f t="shared" si="2"/>
        <v>2.8659068004337454E-3</v>
      </c>
      <c r="H50" s="316">
        <f t="shared" si="2"/>
        <v>0</v>
      </c>
      <c r="I50" s="316">
        <f t="shared" si="2"/>
        <v>0</v>
      </c>
      <c r="J50" s="316">
        <f t="shared" si="2"/>
        <v>0</v>
      </c>
      <c r="K50" s="316">
        <f t="shared" si="2"/>
        <v>0</v>
      </c>
      <c r="L50" s="316">
        <f t="shared" si="2"/>
        <v>0</v>
      </c>
      <c r="M50" s="316">
        <f t="shared" si="2"/>
        <v>1.2667002826540855E-4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1.4368906451822404E-5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2.8659068004337454E-3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1.2667002826540855E-4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3.991362903284001</v>
      </c>
      <c r="C54" s="22">
        <f t="shared" ref="C54:P54" si="3">(C50)*10^9/3600</f>
        <v>0</v>
      </c>
      <c r="D54" s="22">
        <f t="shared" si="3"/>
        <v>0</v>
      </c>
      <c r="E54" s="22">
        <f t="shared" si="3"/>
        <v>0</v>
      </c>
      <c r="F54" s="22">
        <f t="shared" si="3"/>
        <v>0</v>
      </c>
      <c r="G54" s="22">
        <f t="shared" si="3"/>
        <v>796.08522234270708</v>
      </c>
      <c r="H54" s="22">
        <f t="shared" si="3"/>
        <v>0</v>
      </c>
      <c r="I54" s="22">
        <f t="shared" si="3"/>
        <v>0</v>
      </c>
      <c r="J54" s="22">
        <f t="shared" si="3"/>
        <v>0</v>
      </c>
      <c r="K54" s="22">
        <f t="shared" si="3"/>
        <v>0</v>
      </c>
      <c r="L54" s="22">
        <f t="shared" si="3"/>
        <v>0</v>
      </c>
      <c r="M54" s="22">
        <f t="shared" si="3"/>
        <v>35.186118962613484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0.11797746387870887</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0.47089087274900682</v>
      </c>
      <c r="C58" s="24">
        <f t="shared" ref="C58:P58" ca="1" si="4">C54*C56</f>
        <v>0</v>
      </c>
      <c r="D58" s="24">
        <f t="shared" si="4"/>
        <v>0</v>
      </c>
      <c r="E58" s="24">
        <f t="shared" si="4"/>
        <v>0</v>
      </c>
      <c r="F58" s="24">
        <f t="shared" si="4"/>
        <v>0</v>
      </c>
      <c r="G58" s="24">
        <f t="shared" si="4"/>
        <v>212.55475436550282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22845.452955909452</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6520.2968372645837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9963</v>
      </c>
      <c r="C8" s="544">
        <f>B48</f>
        <v>0</v>
      </c>
      <c r="D8" s="931"/>
      <c r="E8" s="931">
        <f>E48</f>
        <v>0</v>
      </c>
      <c r="F8" s="932"/>
      <c r="G8" s="545"/>
      <c r="H8" s="931">
        <f>I48</f>
        <v>0</v>
      </c>
      <c r="I8" s="931">
        <f>G48+F48</f>
        <v>0</v>
      </c>
      <c r="J8" s="931">
        <f>H48+D48+C48</f>
        <v>11721.176470588234</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891.75</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2547.8571428571431</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40220.499793174036</v>
      </c>
      <c r="C10" s="556">
        <f t="shared" ref="C10:L10" si="0">SUM(C8:C9)</f>
        <v>0</v>
      </c>
      <c r="D10" s="556">
        <f t="shared" si="0"/>
        <v>0</v>
      </c>
      <c r="E10" s="556">
        <f t="shared" si="0"/>
        <v>0</v>
      </c>
      <c r="F10" s="556">
        <f t="shared" si="0"/>
        <v>0</v>
      </c>
      <c r="G10" s="556">
        <f t="shared" si="0"/>
        <v>0</v>
      </c>
      <c r="H10" s="556">
        <f t="shared" si="0"/>
        <v>0</v>
      </c>
      <c r="I10" s="556">
        <f t="shared" si="0"/>
        <v>0</v>
      </c>
      <c r="J10" s="556">
        <f t="shared" si="0"/>
        <v>14269.033613445377</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14232.857142857143</v>
      </c>
      <c r="C17" s="568">
        <f>B49</f>
        <v>0</v>
      </c>
      <c r="D17" s="569"/>
      <c r="E17" s="569">
        <f>E49</f>
        <v>0</v>
      </c>
      <c r="F17" s="570"/>
      <c r="G17" s="571"/>
      <c r="H17" s="568">
        <f>I49</f>
        <v>0</v>
      </c>
      <c r="I17" s="569">
        <f>G49+F49</f>
        <v>0</v>
      </c>
      <c r="J17" s="569">
        <f>H49+D49+C49</f>
        <v>16744.537815126048</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14232.857142857143</v>
      </c>
      <c r="C20" s="555">
        <f>SUM(C17:C19)</f>
        <v>0</v>
      </c>
      <c r="D20" s="555">
        <f t="shared" ref="D20:L20" si="1">SUM(D17:D19)</f>
        <v>0</v>
      </c>
      <c r="E20" s="555">
        <f t="shared" si="1"/>
        <v>0</v>
      </c>
      <c r="F20" s="555">
        <f t="shared" si="1"/>
        <v>0</v>
      </c>
      <c r="G20" s="555">
        <f t="shared" si="1"/>
        <v>0</v>
      </c>
      <c r="H20" s="555">
        <f t="shared" si="1"/>
        <v>0</v>
      </c>
      <c r="I20" s="555">
        <f t="shared" si="1"/>
        <v>0</v>
      </c>
      <c r="J20" s="555">
        <f t="shared" si="1"/>
        <v>16744.537815126048</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13001</v>
      </c>
      <c r="C28" s="740">
        <v>2370</v>
      </c>
      <c r="D28" s="628"/>
      <c r="E28" s="627"/>
      <c r="F28" s="627"/>
      <c r="G28" s="627" t="s">
        <v>942</v>
      </c>
      <c r="H28" s="627" t="s">
        <v>943</v>
      </c>
      <c r="I28" s="627"/>
      <c r="J28" s="739"/>
      <c r="K28" s="739"/>
      <c r="L28" s="627" t="s">
        <v>944</v>
      </c>
      <c r="M28" s="627">
        <v>2214</v>
      </c>
      <c r="N28" s="627">
        <v>9963</v>
      </c>
      <c r="O28" s="627">
        <v>14232.857142857143</v>
      </c>
      <c r="P28" s="627">
        <v>0</v>
      </c>
      <c r="Q28" s="627">
        <v>28465.714285714286</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2214</v>
      </c>
      <c r="N29" s="585">
        <f>SUM(N28:N28)</f>
        <v>9963</v>
      </c>
      <c r="O29" s="585">
        <f>SUM(O28:O28)</f>
        <v>14232.857142857143</v>
      </c>
      <c r="P29" s="585">
        <f>SUM(P28:P28)</f>
        <v>0</v>
      </c>
      <c r="Q29" s="585">
        <f>SUM(Q28:Q28)</f>
        <v>28465.714285714286</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2214</v>
      </c>
      <c r="N32" s="590">
        <f>SUMIF($AA$28:$AA$28,"landbouw",N28:N28)</f>
        <v>9963</v>
      </c>
      <c r="O32" s="590">
        <f>SUMIF($AA$28:$AA$28,"landbouw",O28:O28)</f>
        <v>14232.857142857143</v>
      </c>
      <c r="P32" s="590">
        <f>SUMIF($AA$28:$AA$28,"landbouw",P28:P28)</f>
        <v>0</v>
      </c>
      <c r="Q32" s="590">
        <f>SUMIF($AA$28:$AA$28,"landbouw",Q28:Q28)</f>
        <v>28465.714285714286</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38.25" hidden="1">
      <c r="A35" s="582"/>
      <c r="B35" s="740">
        <v>13001</v>
      </c>
      <c r="C35" s="740">
        <v>2370</v>
      </c>
      <c r="D35" s="630"/>
      <c r="E35" s="630"/>
      <c r="F35" s="630"/>
      <c r="G35" s="630" t="s">
        <v>945</v>
      </c>
      <c r="H35" s="630" t="s">
        <v>946</v>
      </c>
      <c r="I35" s="630"/>
      <c r="J35" s="739"/>
      <c r="K35" s="739"/>
      <c r="L35" s="630" t="s">
        <v>947</v>
      </c>
      <c r="M35" s="630">
        <v>2378</v>
      </c>
      <c r="N35" s="630">
        <v>891.75</v>
      </c>
      <c r="O35" s="630">
        <v>0</v>
      </c>
      <c r="P35" s="630">
        <v>0</v>
      </c>
      <c r="Q35" s="630">
        <v>2547.8571428571431</v>
      </c>
      <c r="R35" s="630">
        <v>0</v>
      </c>
      <c r="S35" s="630">
        <v>0</v>
      </c>
      <c r="T35" s="630">
        <v>0</v>
      </c>
      <c r="U35" s="630">
        <v>0</v>
      </c>
      <c r="V35" s="630">
        <v>0</v>
      </c>
      <c r="W35" s="630"/>
      <c r="X35" s="630"/>
      <c r="Y35" s="630">
        <v>10</v>
      </c>
      <c r="Z35" s="630" t="s">
        <v>105</v>
      </c>
      <c r="AA35" s="631" t="s">
        <v>105</v>
      </c>
    </row>
    <row r="36" spans="1:28" s="563" customFormat="1" hidden="1">
      <c r="A36" s="583" t="s">
        <v>269</v>
      </c>
      <c r="B36" s="584"/>
      <c r="C36" s="584"/>
      <c r="D36" s="584"/>
      <c r="E36" s="584"/>
      <c r="F36" s="584"/>
      <c r="G36" s="584"/>
      <c r="H36" s="584"/>
      <c r="I36" s="584"/>
      <c r="J36" s="584"/>
      <c r="K36" s="584"/>
      <c r="L36" s="585"/>
      <c r="M36" s="585">
        <f>SUM(M35:M35)</f>
        <v>2378</v>
      </c>
      <c r="N36" s="585">
        <f>SUM(N35:N35)</f>
        <v>891.75</v>
      </c>
      <c r="O36" s="585">
        <f>SUM(O35:O35)</f>
        <v>0</v>
      </c>
      <c r="P36" s="585">
        <f>SUM(P35:P35)</f>
        <v>0</v>
      </c>
      <c r="Q36" s="585">
        <f>SUM(Q35:Q35)</f>
        <v>2547.8571428571431</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2378</v>
      </c>
      <c r="N39" s="590">
        <f>SUMIF($AA$35:$AA$37,"landbouw",N35:N37)</f>
        <v>891.75</v>
      </c>
      <c r="O39" s="590">
        <f>SUMIF($AA$35:$AA$37,"landbouw",O35:O37)</f>
        <v>0</v>
      </c>
      <c r="P39" s="590">
        <f>SUMIF($AA$35:$AA$37,"landbouw",P35:P37)</f>
        <v>0</v>
      </c>
      <c r="Q39" s="590">
        <f>SUMIF($AA$35:$AA$37,"landbouw",Q35:Q37)</f>
        <v>2547.8571428571431</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0.58823529411764697</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11721.176470588234</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16744.537815126048</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39567.924270153089</v>
      </c>
      <c r="D10" s="639">
        <f ca="1">tertiair!C16</f>
        <v>0</v>
      </c>
      <c r="E10" s="639">
        <f ca="1">tertiair!D16</f>
        <v>13570.941426150323</v>
      </c>
      <c r="F10" s="639">
        <f>tertiair!E16</f>
        <v>354.58363854439182</v>
      </c>
      <c r="G10" s="639">
        <f ca="1">tertiair!F16</f>
        <v>7900.7554273275082</v>
      </c>
      <c r="H10" s="639">
        <f>tertiair!G16</f>
        <v>0</v>
      </c>
      <c r="I10" s="639">
        <f>tertiair!H16</f>
        <v>0</v>
      </c>
      <c r="J10" s="639">
        <f>tertiair!I16</f>
        <v>0</v>
      </c>
      <c r="K10" s="639">
        <f>tertiair!J16</f>
        <v>0</v>
      </c>
      <c r="L10" s="639">
        <f>tertiair!K16</f>
        <v>0</v>
      </c>
      <c r="M10" s="639">
        <f ca="1">tertiair!L16</f>
        <v>0</v>
      </c>
      <c r="N10" s="639">
        <f>tertiair!M16</f>
        <v>0</v>
      </c>
      <c r="O10" s="639">
        <f ca="1">tertiair!N16</f>
        <v>4420.8095293368797</v>
      </c>
      <c r="P10" s="639">
        <f>tertiair!O16</f>
        <v>3.1266666666666669</v>
      </c>
      <c r="Q10" s="640">
        <f>tertiair!P16</f>
        <v>38.133333333333333</v>
      </c>
      <c r="R10" s="642">
        <f ca="1">SUM(C10:Q10)</f>
        <v>65856.274291512193</v>
      </c>
      <c r="S10" s="68"/>
    </row>
    <row r="11" spans="1:19" s="443" customFormat="1">
      <c r="A11" s="753" t="s">
        <v>214</v>
      </c>
      <c r="B11" s="758"/>
      <c r="C11" s="639">
        <f>huishoudens!B8</f>
        <v>22265.608686445692</v>
      </c>
      <c r="D11" s="639">
        <f>huishoudens!C8</f>
        <v>0</v>
      </c>
      <c r="E11" s="639">
        <f>huishoudens!D8</f>
        <v>64860.423783341255</v>
      </c>
      <c r="F11" s="639">
        <f>huishoudens!E8</f>
        <v>913.80111117913304</v>
      </c>
      <c r="G11" s="639">
        <f>huishoudens!F8</f>
        <v>27859.142844867314</v>
      </c>
      <c r="H11" s="639">
        <f>huishoudens!G8</f>
        <v>0</v>
      </c>
      <c r="I11" s="639">
        <f>huishoudens!H8</f>
        <v>0</v>
      </c>
      <c r="J11" s="639">
        <f>huishoudens!I8</f>
        <v>0</v>
      </c>
      <c r="K11" s="639">
        <f>huishoudens!J8</f>
        <v>505.49443951785554</v>
      </c>
      <c r="L11" s="639">
        <f>huishoudens!K8</f>
        <v>0</v>
      </c>
      <c r="M11" s="639">
        <f>huishoudens!L8</f>
        <v>0</v>
      </c>
      <c r="N11" s="639">
        <f>huishoudens!M8</f>
        <v>0</v>
      </c>
      <c r="O11" s="639">
        <f>huishoudens!N8</f>
        <v>7189.6407347913319</v>
      </c>
      <c r="P11" s="639">
        <f>huishoudens!O8</f>
        <v>142.26333333333332</v>
      </c>
      <c r="Q11" s="640">
        <f>huishoudens!P8</f>
        <v>457.6</v>
      </c>
      <c r="R11" s="642">
        <f>SUM(C11:Q11)</f>
        <v>124193.97493347593</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18459.462642911454</v>
      </c>
      <c r="D13" s="639">
        <f>industrie!C18</f>
        <v>0</v>
      </c>
      <c r="E13" s="639">
        <f>industrie!D18</f>
        <v>7798.9225189474109</v>
      </c>
      <c r="F13" s="639">
        <f>industrie!E18</f>
        <v>180.06854972039599</v>
      </c>
      <c r="G13" s="639">
        <f>industrie!F18</f>
        <v>6984.5989801447558</v>
      </c>
      <c r="H13" s="639">
        <f>industrie!G18</f>
        <v>0</v>
      </c>
      <c r="I13" s="639">
        <f>industrie!H18</f>
        <v>0</v>
      </c>
      <c r="J13" s="639">
        <f>industrie!I18</f>
        <v>0</v>
      </c>
      <c r="K13" s="639">
        <f>industrie!J18</f>
        <v>106.70502993190547</v>
      </c>
      <c r="L13" s="639">
        <f>industrie!K18</f>
        <v>0</v>
      </c>
      <c r="M13" s="639">
        <f>industrie!L18</f>
        <v>0</v>
      </c>
      <c r="N13" s="639">
        <f>industrie!M18</f>
        <v>0</v>
      </c>
      <c r="O13" s="639">
        <f>industrie!N18</f>
        <v>1167.6036780513607</v>
      </c>
      <c r="P13" s="639">
        <f>industrie!O18</f>
        <v>0</v>
      </c>
      <c r="Q13" s="640">
        <f>industrie!P18</f>
        <v>0</v>
      </c>
      <c r="R13" s="642">
        <f>SUM(C13:Q13)</f>
        <v>34697.36139970729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80292.995599510235</v>
      </c>
      <c r="D16" s="672">
        <f t="shared" ref="D16:R16" ca="1" si="0">SUM(D9:D15)</f>
        <v>0</v>
      </c>
      <c r="E16" s="672">
        <f t="shared" ca="1" si="0"/>
        <v>86230.287728438983</v>
      </c>
      <c r="F16" s="672">
        <f t="shared" si="0"/>
        <v>1448.453299443921</v>
      </c>
      <c r="G16" s="672">
        <f t="shared" ca="1" si="0"/>
        <v>42744.497252339577</v>
      </c>
      <c r="H16" s="672">
        <f t="shared" si="0"/>
        <v>0</v>
      </c>
      <c r="I16" s="672">
        <f t="shared" si="0"/>
        <v>0</v>
      </c>
      <c r="J16" s="672">
        <f t="shared" si="0"/>
        <v>0</v>
      </c>
      <c r="K16" s="672">
        <f t="shared" si="0"/>
        <v>612.19946944976095</v>
      </c>
      <c r="L16" s="672">
        <f t="shared" si="0"/>
        <v>0</v>
      </c>
      <c r="M16" s="672">
        <f t="shared" ca="1" si="0"/>
        <v>0</v>
      </c>
      <c r="N16" s="672">
        <f t="shared" si="0"/>
        <v>0</v>
      </c>
      <c r="O16" s="672">
        <f t="shared" ca="1" si="0"/>
        <v>12778.053942179573</v>
      </c>
      <c r="P16" s="672">
        <f t="shared" si="0"/>
        <v>145.38999999999999</v>
      </c>
      <c r="Q16" s="672">
        <f t="shared" si="0"/>
        <v>495.73333333333335</v>
      </c>
      <c r="R16" s="672">
        <f t="shared" ca="1" si="0"/>
        <v>224747.6106246954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3.991362903284001</v>
      </c>
      <c r="D19" s="639">
        <f>transport!C54</f>
        <v>0</v>
      </c>
      <c r="E19" s="639">
        <f>transport!D54</f>
        <v>0</v>
      </c>
      <c r="F19" s="639">
        <f>transport!E54</f>
        <v>0</v>
      </c>
      <c r="G19" s="639">
        <f>transport!F54</f>
        <v>0</v>
      </c>
      <c r="H19" s="639">
        <f>transport!G54</f>
        <v>796.08522234270708</v>
      </c>
      <c r="I19" s="639">
        <f>transport!H54</f>
        <v>0</v>
      </c>
      <c r="J19" s="639">
        <f>transport!I54</f>
        <v>0</v>
      </c>
      <c r="K19" s="639">
        <f>transport!J54</f>
        <v>0</v>
      </c>
      <c r="L19" s="639">
        <f>transport!K54</f>
        <v>0</v>
      </c>
      <c r="M19" s="639">
        <f>transport!L54</f>
        <v>0</v>
      </c>
      <c r="N19" s="639">
        <f>transport!M54</f>
        <v>35.186118962613484</v>
      </c>
      <c r="O19" s="639">
        <f>transport!N54</f>
        <v>0</v>
      </c>
      <c r="P19" s="639">
        <f>transport!O54</f>
        <v>0</v>
      </c>
      <c r="Q19" s="640">
        <f>transport!P54</f>
        <v>0</v>
      </c>
      <c r="R19" s="642">
        <f>SUM(C19:Q19)</f>
        <v>835.26270420860453</v>
      </c>
      <c r="S19" s="68"/>
    </row>
    <row r="20" spans="1:19" s="443" customFormat="1">
      <c r="A20" s="753" t="s">
        <v>296</v>
      </c>
      <c r="B20" s="758"/>
      <c r="C20" s="639">
        <f>transport!B14</f>
        <v>3.2039939137211038</v>
      </c>
      <c r="D20" s="639">
        <f>transport!C14</f>
        <v>0</v>
      </c>
      <c r="E20" s="639">
        <f>transport!D14</f>
        <v>3.7347504661188551</v>
      </c>
      <c r="F20" s="639">
        <f>transport!E14</f>
        <v>260.19034154184914</v>
      </c>
      <c r="G20" s="639">
        <f>transport!F14</f>
        <v>0</v>
      </c>
      <c r="H20" s="639">
        <f>transport!G14</f>
        <v>75872.492047951731</v>
      </c>
      <c r="I20" s="639">
        <f>transport!H14</f>
        <v>9722.4594922740253</v>
      </c>
      <c r="J20" s="639">
        <f>transport!I14</f>
        <v>0</v>
      </c>
      <c r="K20" s="639">
        <f>transport!J14</f>
        <v>0</v>
      </c>
      <c r="L20" s="639">
        <f>transport!K14</f>
        <v>0</v>
      </c>
      <c r="M20" s="639">
        <f>transport!L14</f>
        <v>0</v>
      </c>
      <c r="N20" s="639">
        <f>transport!M14</f>
        <v>3821.3351859978329</v>
      </c>
      <c r="O20" s="639">
        <f>transport!N14</f>
        <v>0</v>
      </c>
      <c r="P20" s="639">
        <f>transport!O14</f>
        <v>0</v>
      </c>
      <c r="Q20" s="640">
        <f>transport!P14</f>
        <v>0</v>
      </c>
      <c r="R20" s="642">
        <f>SUM(C20:Q20)</f>
        <v>89683.415812145264</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7.1953568170051048</v>
      </c>
      <c r="D22" s="756">
        <f t="shared" ref="D22:R22" si="1">SUM(D18:D21)</f>
        <v>0</v>
      </c>
      <c r="E22" s="756">
        <f t="shared" si="1"/>
        <v>3.7347504661188551</v>
      </c>
      <c r="F22" s="756">
        <f t="shared" si="1"/>
        <v>260.19034154184914</v>
      </c>
      <c r="G22" s="756">
        <f t="shared" si="1"/>
        <v>0</v>
      </c>
      <c r="H22" s="756">
        <f t="shared" si="1"/>
        <v>76668.577270294438</v>
      </c>
      <c r="I22" s="756">
        <f t="shared" si="1"/>
        <v>9722.4594922740253</v>
      </c>
      <c r="J22" s="756">
        <f t="shared" si="1"/>
        <v>0</v>
      </c>
      <c r="K22" s="756">
        <f t="shared" si="1"/>
        <v>0</v>
      </c>
      <c r="L22" s="756">
        <f t="shared" si="1"/>
        <v>0</v>
      </c>
      <c r="M22" s="756">
        <f t="shared" si="1"/>
        <v>0</v>
      </c>
      <c r="N22" s="756">
        <f t="shared" si="1"/>
        <v>3856.5213049604463</v>
      </c>
      <c r="O22" s="756">
        <f t="shared" si="1"/>
        <v>0</v>
      </c>
      <c r="P22" s="756">
        <f t="shared" si="1"/>
        <v>0</v>
      </c>
      <c r="Q22" s="756">
        <f t="shared" si="1"/>
        <v>0</v>
      </c>
      <c r="R22" s="756">
        <f t="shared" si="1"/>
        <v>90518.678516353873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5194.1895400574431</v>
      </c>
      <c r="D24" s="639">
        <f>+landbouw!C8</f>
        <v>14232.857142857143</v>
      </c>
      <c r="E24" s="639">
        <f>+landbouw!D8</f>
        <v>1646.4957734305181</v>
      </c>
      <c r="F24" s="639">
        <f>+landbouw!E8</f>
        <v>51.293567094227413</v>
      </c>
      <c r="G24" s="639">
        <f>+landbouw!F8</f>
        <v>17329.190677634833</v>
      </c>
      <c r="H24" s="639">
        <f>+landbouw!G8</f>
        <v>0</v>
      </c>
      <c r="I24" s="639">
        <f>+landbouw!H8</f>
        <v>0</v>
      </c>
      <c r="J24" s="639">
        <f>+landbouw!I8</f>
        <v>0</v>
      </c>
      <c r="K24" s="639">
        <f>+landbouw!J8</f>
        <v>518.22246125939591</v>
      </c>
      <c r="L24" s="639">
        <f>+landbouw!K8</f>
        <v>0</v>
      </c>
      <c r="M24" s="639">
        <f>+landbouw!L8</f>
        <v>0</v>
      </c>
      <c r="N24" s="639">
        <f>+landbouw!M8</f>
        <v>0</v>
      </c>
      <c r="O24" s="639">
        <f>+landbouw!N8</f>
        <v>0</v>
      </c>
      <c r="P24" s="639">
        <f>+landbouw!O8</f>
        <v>0</v>
      </c>
      <c r="Q24" s="640">
        <f>+landbouw!P8</f>
        <v>0</v>
      </c>
      <c r="R24" s="642">
        <f>SUM(C24:Q24)</f>
        <v>38972.249162333559</v>
      </c>
      <c r="S24" s="68"/>
    </row>
    <row r="25" spans="1:19" s="443" customFormat="1" ht="15" thickBot="1">
      <c r="A25" s="775" t="s">
        <v>847</v>
      </c>
      <c r="B25" s="941"/>
      <c r="C25" s="942">
        <f>IF(Onbekend_ele_kWh="---",0,Onbekend_ele_kWh)/1000+IF(REST_rest_ele_kWh="---",0,REST_rest_ele_kWh)/1000</f>
        <v>785.09571284518097</v>
      </c>
      <c r="D25" s="942"/>
      <c r="E25" s="942">
        <f>IF(onbekend_gas_kWh="---",0,onbekend_gas_kWh)/1000+IF(REST_rest_gas_kWh="---",0,REST_rest_gas_kWh)/1000</f>
        <v>2439.5619751751301</v>
      </c>
      <c r="F25" s="942"/>
      <c r="G25" s="942"/>
      <c r="H25" s="942"/>
      <c r="I25" s="942"/>
      <c r="J25" s="942"/>
      <c r="K25" s="942"/>
      <c r="L25" s="942"/>
      <c r="M25" s="942"/>
      <c r="N25" s="942"/>
      <c r="O25" s="942"/>
      <c r="P25" s="942"/>
      <c r="Q25" s="943"/>
      <c r="R25" s="642">
        <f>SUM(C25:Q25)</f>
        <v>3224.6576880203111</v>
      </c>
      <c r="S25" s="68"/>
    </row>
    <row r="26" spans="1:19" s="443" customFormat="1" ht="15.75" thickBot="1">
      <c r="A26" s="645" t="s">
        <v>848</v>
      </c>
      <c r="B26" s="761"/>
      <c r="C26" s="756">
        <f>SUM(C24:C25)</f>
        <v>5979.2852529026241</v>
      </c>
      <c r="D26" s="756">
        <f t="shared" ref="D26:R26" si="2">SUM(D24:D25)</f>
        <v>14232.857142857143</v>
      </c>
      <c r="E26" s="756">
        <f t="shared" si="2"/>
        <v>4086.0577486056482</v>
      </c>
      <c r="F26" s="756">
        <f t="shared" si="2"/>
        <v>51.293567094227413</v>
      </c>
      <c r="G26" s="756">
        <f t="shared" si="2"/>
        <v>17329.190677634833</v>
      </c>
      <c r="H26" s="756">
        <f t="shared" si="2"/>
        <v>0</v>
      </c>
      <c r="I26" s="756">
        <f t="shared" si="2"/>
        <v>0</v>
      </c>
      <c r="J26" s="756">
        <f t="shared" si="2"/>
        <v>0</v>
      </c>
      <c r="K26" s="756">
        <f t="shared" si="2"/>
        <v>518.22246125939591</v>
      </c>
      <c r="L26" s="756">
        <f t="shared" si="2"/>
        <v>0</v>
      </c>
      <c r="M26" s="756">
        <f t="shared" si="2"/>
        <v>0</v>
      </c>
      <c r="N26" s="756">
        <f t="shared" si="2"/>
        <v>0</v>
      </c>
      <c r="O26" s="756">
        <f t="shared" si="2"/>
        <v>0</v>
      </c>
      <c r="P26" s="756">
        <f t="shared" si="2"/>
        <v>0</v>
      </c>
      <c r="Q26" s="756">
        <f t="shared" si="2"/>
        <v>0</v>
      </c>
      <c r="R26" s="756">
        <f t="shared" si="2"/>
        <v>42196.906850353873</v>
      </c>
      <c r="S26" s="68"/>
    </row>
    <row r="27" spans="1:19" s="443" customFormat="1" ht="17.25" thickTop="1" thickBot="1">
      <c r="A27" s="646" t="s">
        <v>109</v>
      </c>
      <c r="B27" s="748"/>
      <c r="C27" s="647">
        <f ca="1">C22+C16+C26</f>
        <v>86279.476209229862</v>
      </c>
      <c r="D27" s="647">
        <f t="shared" ref="D27:R27" ca="1" si="3">D22+D16+D26</f>
        <v>14232.857142857143</v>
      </c>
      <c r="E27" s="647">
        <f t="shared" ca="1" si="3"/>
        <v>90320.080227510742</v>
      </c>
      <c r="F27" s="647">
        <f t="shared" si="3"/>
        <v>1759.9372080799976</v>
      </c>
      <c r="G27" s="647">
        <f t="shared" ca="1" si="3"/>
        <v>60073.687929974411</v>
      </c>
      <c r="H27" s="647">
        <f t="shared" si="3"/>
        <v>76668.577270294438</v>
      </c>
      <c r="I27" s="647">
        <f t="shared" si="3"/>
        <v>9722.4594922740253</v>
      </c>
      <c r="J27" s="647">
        <f t="shared" si="3"/>
        <v>0</v>
      </c>
      <c r="K27" s="647">
        <f t="shared" si="3"/>
        <v>1130.4219307091569</v>
      </c>
      <c r="L27" s="647">
        <f t="shared" si="3"/>
        <v>0</v>
      </c>
      <c r="M27" s="647">
        <f t="shared" ca="1" si="3"/>
        <v>0</v>
      </c>
      <c r="N27" s="647">
        <f t="shared" si="3"/>
        <v>3856.5213049604463</v>
      </c>
      <c r="O27" s="647">
        <f t="shared" ca="1" si="3"/>
        <v>12778.053942179573</v>
      </c>
      <c r="P27" s="647">
        <f t="shared" si="3"/>
        <v>145.38999999999999</v>
      </c>
      <c r="Q27" s="647">
        <f t="shared" si="3"/>
        <v>495.73333333333335</v>
      </c>
      <c r="R27" s="647">
        <f t="shared" ca="1" si="3"/>
        <v>357463.19599140313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4668.1233563374744</v>
      </c>
      <c r="D40" s="639">
        <f ca="1">tertiair!C20</f>
        <v>0</v>
      </c>
      <c r="E40" s="639">
        <f ca="1">tertiair!D20</f>
        <v>2741.3301680823652</v>
      </c>
      <c r="F40" s="639">
        <f>tertiair!E20</f>
        <v>80.49048594957695</v>
      </c>
      <c r="G40" s="639">
        <f ca="1">tertiair!F20</f>
        <v>2109.501699096445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9599.445709465861</v>
      </c>
    </row>
    <row r="41" spans="1:18">
      <c r="A41" s="766" t="s">
        <v>214</v>
      </c>
      <c r="B41" s="773"/>
      <c r="C41" s="639">
        <f ca="1">huishoudens!B12</f>
        <v>2626.8400445426132</v>
      </c>
      <c r="D41" s="639">
        <f ca="1">huishoudens!C12</f>
        <v>0</v>
      </c>
      <c r="E41" s="639">
        <f>huishoudens!D12</f>
        <v>13101.805604234934</v>
      </c>
      <c r="F41" s="639">
        <f>huishoudens!E12</f>
        <v>207.43285223766321</v>
      </c>
      <c r="G41" s="639">
        <f>huishoudens!F12</f>
        <v>7438.3911395795731</v>
      </c>
      <c r="H41" s="639">
        <f>huishoudens!G12</f>
        <v>0</v>
      </c>
      <c r="I41" s="639">
        <f>huishoudens!H12</f>
        <v>0</v>
      </c>
      <c r="J41" s="639">
        <f>huishoudens!I12</f>
        <v>0</v>
      </c>
      <c r="K41" s="639">
        <f>huishoudens!J12</f>
        <v>178.94503158932085</v>
      </c>
      <c r="L41" s="639">
        <f>huishoudens!K12</f>
        <v>0</v>
      </c>
      <c r="M41" s="639">
        <f>huishoudens!L12</f>
        <v>0</v>
      </c>
      <c r="N41" s="639">
        <f>huishoudens!M12</f>
        <v>0</v>
      </c>
      <c r="O41" s="639">
        <f>huishoudens!N12</f>
        <v>0</v>
      </c>
      <c r="P41" s="639">
        <f>huishoudens!O12</f>
        <v>0</v>
      </c>
      <c r="Q41" s="714">
        <f>huishoudens!P12</f>
        <v>0</v>
      </c>
      <c r="R41" s="794">
        <f t="shared" ca="1" si="4"/>
        <v>23553.414672184103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2177.8005871744617</v>
      </c>
      <c r="D43" s="639">
        <f ca="1">industrie!C22</f>
        <v>0</v>
      </c>
      <c r="E43" s="639">
        <f>industrie!D22</f>
        <v>1575.3823488273772</v>
      </c>
      <c r="F43" s="639">
        <f>industrie!E22</f>
        <v>40.875560786529888</v>
      </c>
      <c r="G43" s="639">
        <f>industrie!F22</f>
        <v>1864.8879276986499</v>
      </c>
      <c r="H43" s="639">
        <f>industrie!G22</f>
        <v>0</v>
      </c>
      <c r="I43" s="639">
        <f>industrie!H22</f>
        <v>0</v>
      </c>
      <c r="J43" s="639">
        <f>industrie!I22</f>
        <v>0</v>
      </c>
      <c r="K43" s="639">
        <f>industrie!J22</f>
        <v>37.773580595894536</v>
      </c>
      <c r="L43" s="639">
        <f>industrie!K22</f>
        <v>0</v>
      </c>
      <c r="M43" s="639">
        <f>industrie!L22</f>
        <v>0</v>
      </c>
      <c r="N43" s="639">
        <f>industrie!M22</f>
        <v>0</v>
      </c>
      <c r="O43" s="639">
        <f>industrie!N22</f>
        <v>0</v>
      </c>
      <c r="P43" s="639">
        <f>industrie!O22</f>
        <v>0</v>
      </c>
      <c r="Q43" s="714">
        <f>industrie!P22</f>
        <v>0</v>
      </c>
      <c r="R43" s="793">
        <f t="shared" ca="1" si="4"/>
        <v>5696.7200050829142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9472.7639880545503</v>
      </c>
      <c r="D46" s="672">
        <f t="shared" ref="D46:Q46" ca="1" si="5">SUM(D39:D45)</f>
        <v>0</v>
      </c>
      <c r="E46" s="672">
        <f t="shared" ca="1" si="5"/>
        <v>17418.518121144676</v>
      </c>
      <c r="F46" s="672">
        <f t="shared" si="5"/>
        <v>328.79889897377006</v>
      </c>
      <c r="G46" s="672">
        <f t="shared" ca="1" si="5"/>
        <v>11412.780766374668</v>
      </c>
      <c r="H46" s="672">
        <f t="shared" si="5"/>
        <v>0</v>
      </c>
      <c r="I46" s="672">
        <f t="shared" si="5"/>
        <v>0</v>
      </c>
      <c r="J46" s="672">
        <f t="shared" si="5"/>
        <v>0</v>
      </c>
      <c r="K46" s="672">
        <f t="shared" si="5"/>
        <v>216.71861218521539</v>
      </c>
      <c r="L46" s="672">
        <f t="shared" si="5"/>
        <v>0</v>
      </c>
      <c r="M46" s="672">
        <f t="shared" ca="1" si="5"/>
        <v>0</v>
      </c>
      <c r="N46" s="672">
        <f t="shared" si="5"/>
        <v>0</v>
      </c>
      <c r="O46" s="672">
        <f t="shared" ca="1" si="5"/>
        <v>0</v>
      </c>
      <c r="P46" s="672">
        <f t="shared" si="5"/>
        <v>0</v>
      </c>
      <c r="Q46" s="672">
        <f t="shared" si="5"/>
        <v>0</v>
      </c>
      <c r="R46" s="672">
        <f ca="1">SUM(R39:R45)</f>
        <v>38849.58038673288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0.47089087274900682</v>
      </c>
      <c r="D49" s="639">
        <f ca="1">transport!C58</f>
        <v>0</v>
      </c>
      <c r="E49" s="639">
        <f>transport!D58</f>
        <v>0</v>
      </c>
      <c r="F49" s="639">
        <f>transport!E58</f>
        <v>0</v>
      </c>
      <c r="G49" s="639">
        <f>transport!F58</f>
        <v>0</v>
      </c>
      <c r="H49" s="639">
        <f>transport!G58</f>
        <v>212.55475436550282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213.02564523825183</v>
      </c>
    </row>
    <row r="50" spans="1:18">
      <c r="A50" s="769" t="s">
        <v>296</v>
      </c>
      <c r="B50" s="779"/>
      <c r="C50" s="948">
        <f ca="1">transport!B18</f>
        <v>0.3779990762236346</v>
      </c>
      <c r="D50" s="948">
        <f>transport!C18</f>
        <v>0</v>
      </c>
      <c r="E50" s="948">
        <f>transport!D18</f>
        <v>0.75441959415600879</v>
      </c>
      <c r="F50" s="948">
        <f>transport!E18</f>
        <v>59.063207529999758</v>
      </c>
      <c r="G50" s="948">
        <f>transport!F18</f>
        <v>0</v>
      </c>
      <c r="H50" s="948">
        <f>transport!G18</f>
        <v>20257.955376803115</v>
      </c>
      <c r="I50" s="948">
        <f>transport!H18</f>
        <v>2420.8924135762322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22739.043416579727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0.84888994897264136</v>
      </c>
      <c r="D52" s="672">
        <f t="shared" ref="D52:Q52" ca="1" si="6">SUM(D48:D51)</f>
        <v>0</v>
      </c>
      <c r="E52" s="672">
        <f t="shared" si="6"/>
        <v>0.75441959415600879</v>
      </c>
      <c r="F52" s="672">
        <f t="shared" si="6"/>
        <v>59.063207529999758</v>
      </c>
      <c r="G52" s="672">
        <f t="shared" si="6"/>
        <v>0</v>
      </c>
      <c r="H52" s="672">
        <f t="shared" si="6"/>
        <v>20470.510131168616</v>
      </c>
      <c r="I52" s="672">
        <f t="shared" si="6"/>
        <v>2420.8924135762322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22952.06906181798</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612.79730884129447</v>
      </c>
      <c r="D54" s="948">
        <f ca="1">+landbouw!C12</f>
        <v>0</v>
      </c>
      <c r="E54" s="948">
        <f>+landbouw!D12</f>
        <v>332.59214623296469</v>
      </c>
      <c r="F54" s="948">
        <f>+landbouw!E12</f>
        <v>11.643639730389623</v>
      </c>
      <c r="G54" s="948">
        <f>+landbouw!F12</f>
        <v>4626.8939109285011</v>
      </c>
      <c r="H54" s="948">
        <f>+landbouw!G12</f>
        <v>0</v>
      </c>
      <c r="I54" s="948">
        <f>+landbouw!H12</f>
        <v>0</v>
      </c>
      <c r="J54" s="948">
        <f>+landbouw!I12</f>
        <v>0</v>
      </c>
      <c r="K54" s="948">
        <f>+landbouw!J12</f>
        <v>183.45075128582616</v>
      </c>
      <c r="L54" s="948">
        <f>+landbouw!K12</f>
        <v>0</v>
      </c>
      <c r="M54" s="948">
        <f>+landbouw!L12</f>
        <v>0</v>
      </c>
      <c r="N54" s="948">
        <f>+landbouw!M12</f>
        <v>0</v>
      </c>
      <c r="O54" s="948">
        <f>+landbouw!N12</f>
        <v>0</v>
      </c>
      <c r="P54" s="948">
        <f>+landbouw!O12</f>
        <v>0</v>
      </c>
      <c r="Q54" s="949">
        <f>+landbouw!P12</f>
        <v>0</v>
      </c>
      <c r="R54" s="671">
        <f ca="1">SUM(C54:Q54)</f>
        <v>5767.3777570189759</v>
      </c>
    </row>
    <row r="55" spans="1:18" ht="15" thickBot="1">
      <c r="A55" s="769" t="s">
        <v>847</v>
      </c>
      <c r="B55" s="779"/>
      <c r="C55" s="948">
        <f ca="1">C25*'EF ele_warmte'!B12</f>
        <v>92.623601103521537</v>
      </c>
      <c r="D55" s="948"/>
      <c r="E55" s="948">
        <f>E25*EF_CO2_aardgas</f>
        <v>492.79151898537629</v>
      </c>
      <c r="F55" s="948"/>
      <c r="G55" s="948"/>
      <c r="H55" s="948"/>
      <c r="I55" s="948"/>
      <c r="J55" s="948"/>
      <c r="K55" s="948"/>
      <c r="L55" s="948"/>
      <c r="M55" s="948"/>
      <c r="N55" s="948"/>
      <c r="O55" s="948"/>
      <c r="P55" s="948"/>
      <c r="Q55" s="949"/>
      <c r="R55" s="671">
        <f ca="1">SUM(C55:Q55)</f>
        <v>585.41512008889777</v>
      </c>
    </row>
    <row r="56" spans="1:18" ht="15.75" thickBot="1">
      <c r="A56" s="767" t="s">
        <v>848</v>
      </c>
      <c r="B56" s="780"/>
      <c r="C56" s="672">
        <f ca="1">SUM(C54:C55)</f>
        <v>705.420909944816</v>
      </c>
      <c r="D56" s="672">
        <f t="shared" ref="D56:Q56" ca="1" si="7">SUM(D54:D55)</f>
        <v>0</v>
      </c>
      <c r="E56" s="672">
        <f t="shared" si="7"/>
        <v>825.38366521834098</v>
      </c>
      <c r="F56" s="672">
        <f t="shared" si="7"/>
        <v>11.643639730389623</v>
      </c>
      <c r="G56" s="672">
        <f t="shared" si="7"/>
        <v>4626.8939109285011</v>
      </c>
      <c r="H56" s="672">
        <f t="shared" si="7"/>
        <v>0</v>
      </c>
      <c r="I56" s="672">
        <f t="shared" si="7"/>
        <v>0</v>
      </c>
      <c r="J56" s="672">
        <f t="shared" si="7"/>
        <v>0</v>
      </c>
      <c r="K56" s="672">
        <f t="shared" si="7"/>
        <v>183.45075128582616</v>
      </c>
      <c r="L56" s="672">
        <f t="shared" si="7"/>
        <v>0</v>
      </c>
      <c r="M56" s="672">
        <f t="shared" si="7"/>
        <v>0</v>
      </c>
      <c r="N56" s="672">
        <f t="shared" si="7"/>
        <v>0</v>
      </c>
      <c r="O56" s="672">
        <f t="shared" si="7"/>
        <v>0</v>
      </c>
      <c r="P56" s="672">
        <f t="shared" si="7"/>
        <v>0</v>
      </c>
      <c r="Q56" s="673">
        <f t="shared" si="7"/>
        <v>0</v>
      </c>
      <c r="R56" s="674">
        <f ca="1">SUM(R54:R55)</f>
        <v>6352.7928771078732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10179.03378794834</v>
      </c>
      <c r="D61" s="680">
        <f t="shared" ref="D61:Q61" ca="1" si="8">D46+D52+D56</f>
        <v>0</v>
      </c>
      <c r="E61" s="680">
        <f t="shared" ca="1" si="8"/>
        <v>18244.656205957173</v>
      </c>
      <c r="F61" s="680">
        <f t="shared" si="8"/>
        <v>399.50574623415946</v>
      </c>
      <c r="G61" s="680">
        <f t="shared" ca="1" si="8"/>
        <v>16039.67467730317</v>
      </c>
      <c r="H61" s="680">
        <f t="shared" si="8"/>
        <v>20470.510131168616</v>
      </c>
      <c r="I61" s="680">
        <f t="shared" si="8"/>
        <v>2420.8924135762322</v>
      </c>
      <c r="J61" s="680">
        <f t="shared" si="8"/>
        <v>0</v>
      </c>
      <c r="K61" s="680">
        <f t="shared" si="8"/>
        <v>400.16936347104155</v>
      </c>
      <c r="L61" s="680">
        <f t="shared" si="8"/>
        <v>0</v>
      </c>
      <c r="M61" s="680">
        <f t="shared" ca="1" si="8"/>
        <v>0</v>
      </c>
      <c r="N61" s="680">
        <f t="shared" si="8"/>
        <v>0</v>
      </c>
      <c r="O61" s="680">
        <f t="shared" ca="1" si="8"/>
        <v>0</v>
      </c>
      <c r="P61" s="680">
        <f t="shared" si="8"/>
        <v>0</v>
      </c>
      <c r="Q61" s="680">
        <f t="shared" si="8"/>
        <v>0</v>
      </c>
      <c r="R61" s="680">
        <f ca="1">R46+R52+R56</f>
        <v>68154.442325658732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0.11797746387870889</v>
      </c>
      <c r="D63" s="724">
        <f t="shared" ca="1" si="9"/>
        <v>0</v>
      </c>
      <c r="E63" s="950">
        <f t="shared" ca="1" si="9"/>
        <v>0.20200000000000004</v>
      </c>
      <c r="F63" s="724">
        <f t="shared" si="9"/>
        <v>0.22700000000000001</v>
      </c>
      <c r="G63" s="724">
        <f t="shared" ca="1" si="9"/>
        <v>0.26700000000000002</v>
      </c>
      <c r="H63" s="724">
        <f t="shared" si="9"/>
        <v>0.26700000000000002</v>
      </c>
      <c r="I63" s="724">
        <f t="shared" si="9"/>
        <v>0.249</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22845.452955909452</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6520.2968372645837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9963</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11721.176470588234</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891.75</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2547.8571428571431</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40220.499793174036</v>
      </c>
      <c r="C78" s="695">
        <f>SUM(C72:C77)</f>
        <v>0</v>
      </c>
      <c r="D78" s="696">
        <f t="shared" ref="D78:H78" si="10">SUM(D76:D77)</f>
        <v>0</v>
      </c>
      <c r="E78" s="696">
        <f t="shared" si="10"/>
        <v>0</v>
      </c>
      <c r="F78" s="696">
        <f t="shared" si="10"/>
        <v>0</v>
      </c>
      <c r="G78" s="696">
        <f t="shared" si="10"/>
        <v>0</v>
      </c>
      <c r="H78" s="696">
        <f t="shared" si="10"/>
        <v>0</v>
      </c>
      <c r="I78" s="696">
        <f>SUM(I76:I77)</f>
        <v>0</v>
      </c>
      <c r="J78" s="696">
        <f>SUM(J76:J77)</f>
        <v>14269.033613445377</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14232.857142857143</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16744.537815126048</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14232.857142857143</v>
      </c>
      <c r="C90" s="695">
        <f>SUM(C87:C89)</f>
        <v>0</v>
      </c>
      <c r="D90" s="695">
        <f t="shared" ref="D90:H90" si="12">SUM(D87:D89)</f>
        <v>0</v>
      </c>
      <c r="E90" s="695">
        <f t="shared" si="12"/>
        <v>0</v>
      </c>
      <c r="F90" s="695">
        <f t="shared" si="12"/>
        <v>0</v>
      </c>
      <c r="G90" s="695">
        <f t="shared" si="12"/>
        <v>0</v>
      </c>
      <c r="H90" s="695">
        <f t="shared" si="12"/>
        <v>0</v>
      </c>
      <c r="I90" s="695">
        <f>SUM(I87:I89)</f>
        <v>0</v>
      </c>
      <c r="J90" s="695">
        <f>SUM(J87:J89)</f>
        <v>16744.537815126048</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22265.608686445692</v>
      </c>
      <c r="C4" s="447">
        <f>huishoudens!C8</f>
        <v>0</v>
      </c>
      <c r="D4" s="447">
        <f>huishoudens!D8</f>
        <v>64860.423783341255</v>
      </c>
      <c r="E4" s="447">
        <f>huishoudens!E8</f>
        <v>913.80111117913304</v>
      </c>
      <c r="F4" s="447">
        <f>huishoudens!F8</f>
        <v>27859.142844867314</v>
      </c>
      <c r="G4" s="447">
        <f>huishoudens!G8</f>
        <v>0</v>
      </c>
      <c r="H4" s="447">
        <f>huishoudens!H8</f>
        <v>0</v>
      </c>
      <c r="I4" s="447">
        <f>huishoudens!I8</f>
        <v>0</v>
      </c>
      <c r="J4" s="447">
        <f>huishoudens!J8</f>
        <v>505.49443951785554</v>
      </c>
      <c r="K4" s="447">
        <f>huishoudens!K8</f>
        <v>0</v>
      </c>
      <c r="L4" s="447">
        <f>huishoudens!L8</f>
        <v>0</v>
      </c>
      <c r="M4" s="447">
        <f>huishoudens!M8</f>
        <v>0</v>
      </c>
      <c r="N4" s="447">
        <f>huishoudens!N8</f>
        <v>7189.6407347913319</v>
      </c>
      <c r="O4" s="447">
        <f>huishoudens!O8</f>
        <v>142.26333333333332</v>
      </c>
      <c r="P4" s="448">
        <f>huishoudens!P8</f>
        <v>457.6</v>
      </c>
      <c r="Q4" s="449">
        <f>SUM(B4:P4)</f>
        <v>124193.97493347593</v>
      </c>
    </row>
    <row r="5" spans="1:17">
      <c r="A5" s="446" t="s">
        <v>149</v>
      </c>
      <c r="B5" s="447">
        <f ca="1">tertiair!B16</f>
        <v>38775.552270153086</v>
      </c>
      <c r="C5" s="447">
        <f ca="1">tertiair!C16</f>
        <v>0</v>
      </c>
      <c r="D5" s="447">
        <f ca="1">tertiair!D16</f>
        <v>13570.941426150323</v>
      </c>
      <c r="E5" s="447">
        <f>tertiair!E16</f>
        <v>354.58363854439182</v>
      </c>
      <c r="F5" s="447">
        <f ca="1">tertiair!F16</f>
        <v>7900.7554273275082</v>
      </c>
      <c r="G5" s="447">
        <f>tertiair!G16</f>
        <v>0</v>
      </c>
      <c r="H5" s="447">
        <f>tertiair!H16</f>
        <v>0</v>
      </c>
      <c r="I5" s="447">
        <f>tertiair!I16</f>
        <v>0</v>
      </c>
      <c r="J5" s="447">
        <f>tertiair!J16</f>
        <v>0</v>
      </c>
      <c r="K5" s="447">
        <f>tertiair!K16</f>
        <v>0</v>
      </c>
      <c r="L5" s="447">
        <f ca="1">tertiair!L16</f>
        <v>0</v>
      </c>
      <c r="M5" s="447">
        <f>tertiair!M16</f>
        <v>0</v>
      </c>
      <c r="N5" s="447">
        <f ca="1">tertiair!N16</f>
        <v>4420.8095293368797</v>
      </c>
      <c r="O5" s="447">
        <f>tertiair!O16</f>
        <v>3.1266666666666669</v>
      </c>
      <c r="P5" s="448">
        <f>tertiair!P16</f>
        <v>38.133333333333333</v>
      </c>
      <c r="Q5" s="446">
        <f t="shared" ref="Q5:Q14" ca="1" si="0">SUM(B5:P5)</f>
        <v>65063.90229151219</v>
      </c>
    </row>
    <row r="6" spans="1:17">
      <c r="A6" s="446" t="s">
        <v>187</v>
      </c>
      <c r="B6" s="447">
        <f>'openbare verlichting'!B8</f>
        <v>792.37199999999996</v>
      </c>
      <c r="C6" s="447"/>
      <c r="D6" s="447"/>
      <c r="E6" s="447"/>
      <c r="F6" s="447"/>
      <c r="G6" s="447"/>
      <c r="H6" s="447"/>
      <c r="I6" s="447"/>
      <c r="J6" s="447"/>
      <c r="K6" s="447"/>
      <c r="L6" s="447"/>
      <c r="M6" s="447"/>
      <c r="N6" s="447"/>
      <c r="O6" s="447"/>
      <c r="P6" s="448"/>
      <c r="Q6" s="446">
        <f t="shared" si="0"/>
        <v>792.37199999999996</v>
      </c>
    </row>
    <row r="7" spans="1:17">
      <c r="A7" s="446" t="s">
        <v>105</v>
      </c>
      <c r="B7" s="447">
        <f>landbouw!B8</f>
        <v>5194.1895400574431</v>
      </c>
      <c r="C7" s="447">
        <f>landbouw!C8</f>
        <v>14232.857142857143</v>
      </c>
      <c r="D7" s="447">
        <f>landbouw!D8</f>
        <v>1646.4957734305181</v>
      </c>
      <c r="E7" s="447">
        <f>landbouw!E8</f>
        <v>51.293567094227413</v>
      </c>
      <c r="F7" s="447">
        <f>landbouw!F8</f>
        <v>17329.190677634833</v>
      </c>
      <c r="G7" s="447">
        <f>landbouw!G8</f>
        <v>0</v>
      </c>
      <c r="H7" s="447">
        <f>landbouw!H8</f>
        <v>0</v>
      </c>
      <c r="I7" s="447">
        <f>landbouw!I8</f>
        <v>0</v>
      </c>
      <c r="J7" s="447">
        <f>landbouw!J8</f>
        <v>518.22246125939591</v>
      </c>
      <c r="K7" s="447">
        <f>landbouw!K8</f>
        <v>0</v>
      </c>
      <c r="L7" s="447">
        <f>landbouw!L8</f>
        <v>0</v>
      </c>
      <c r="M7" s="447">
        <f>landbouw!M8</f>
        <v>0</v>
      </c>
      <c r="N7" s="447">
        <f>landbouw!N8</f>
        <v>0</v>
      </c>
      <c r="O7" s="447">
        <f>landbouw!O8</f>
        <v>0</v>
      </c>
      <c r="P7" s="448">
        <f>landbouw!P8</f>
        <v>0</v>
      </c>
      <c r="Q7" s="446">
        <f t="shared" si="0"/>
        <v>38972.249162333559</v>
      </c>
    </row>
    <row r="8" spans="1:17">
      <c r="A8" s="446" t="s">
        <v>640</v>
      </c>
      <c r="B8" s="447">
        <f>industrie!B18</f>
        <v>18459.462642911454</v>
      </c>
      <c r="C8" s="447">
        <f>industrie!C18</f>
        <v>0</v>
      </c>
      <c r="D8" s="447">
        <f>industrie!D18</f>
        <v>7798.9225189474109</v>
      </c>
      <c r="E8" s="447">
        <f>industrie!E18</f>
        <v>180.06854972039599</v>
      </c>
      <c r="F8" s="447">
        <f>industrie!F18</f>
        <v>6984.5989801447558</v>
      </c>
      <c r="G8" s="447">
        <f>industrie!G18</f>
        <v>0</v>
      </c>
      <c r="H8" s="447">
        <f>industrie!H18</f>
        <v>0</v>
      </c>
      <c r="I8" s="447">
        <f>industrie!I18</f>
        <v>0</v>
      </c>
      <c r="J8" s="447">
        <f>industrie!J18</f>
        <v>106.70502993190547</v>
      </c>
      <c r="K8" s="447">
        <f>industrie!K18</f>
        <v>0</v>
      </c>
      <c r="L8" s="447">
        <f>industrie!L18</f>
        <v>0</v>
      </c>
      <c r="M8" s="447">
        <f>industrie!M18</f>
        <v>0</v>
      </c>
      <c r="N8" s="447">
        <f>industrie!N18</f>
        <v>1167.6036780513607</v>
      </c>
      <c r="O8" s="447">
        <f>industrie!O18</f>
        <v>0</v>
      </c>
      <c r="P8" s="448">
        <f>industrie!P18</f>
        <v>0</v>
      </c>
      <c r="Q8" s="446">
        <f t="shared" si="0"/>
        <v>34697.36139970729</v>
      </c>
    </row>
    <row r="9" spans="1:17" s="452" customFormat="1">
      <c r="A9" s="450" t="s">
        <v>560</v>
      </c>
      <c r="B9" s="451">
        <f>transport!B14</f>
        <v>3.2039939137211038</v>
      </c>
      <c r="C9" s="451">
        <f>transport!C14</f>
        <v>0</v>
      </c>
      <c r="D9" s="451">
        <f>transport!D14</f>
        <v>3.7347504661188551</v>
      </c>
      <c r="E9" s="451">
        <f>transport!E14</f>
        <v>260.19034154184914</v>
      </c>
      <c r="F9" s="451">
        <f>transport!F14</f>
        <v>0</v>
      </c>
      <c r="G9" s="451">
        <f>transport!G14</f>
        <v>75872.492047951731</v>
      </c>
      <c r="H9" s="451">
        <f>transport!H14</f>
        <v>9722.4594922740253</v>
      </c>
      <c r="I9" s="451">
        <f>transport!I14</f>
        <v>0</v>
      </c>
      <c r="J9" s="451">
        <f>transport!J14</f>
        <v>0</v>
      </c>
      <c r="K9" s="451">
        <f>transport!K14</f>
        <v>0</v>
      </c>
      <c r="L9" s="451">
        <f>transport!L14</f>
        <v>0</v>
      </c>
      <c r="M9" s="451">
        <f>transport!M14</f>
        <v>3821.3351859978329</v>
      </c>
      <c r="N9" s="451">
        <f>transport!N14</f>
        <v>0</v>
      </c>
      <c r="O9" s="451">
        <f>transport!O14</f>
        <v>0</v>
      </c>
      <c r="P9" s="451">
        <f>transport!P14</f>
        <v>0</v>
      </c>
      <c r="Q9" s="450">
        <f>SUM(B9:P9)</f>
        <v>89683.415812145264</v>
      </c>
    </row>
    <row r="10" spans="1:17">
      <c r="A10" s="446" t="s">
        <v>550</v>
      </c>
      <c r="B10" s="447">
        <f>transport!B54</f>
        <v>3.991362903284001</v>
      </c>
      <c r="C10" s="447">
        <f>transport!C54</f>
        <v>0</v>
      </c>
      <c r="D10" s="447">
        <f>transport!D54</f>
        <v>0</v>
      </c>
      <c r="E10" s="447">
        <f>transport!E54</f>
        <v>0</v>
      </c>
      <c r="F10" s="447">
        <f>transport!F54</f>
        <v>0</v>
      </c>
      <c r="G10" s="447">
        <f>transport!G54</f>
        <v>796.08522234270708</v>
      </c>
      <c r="H10" s="447">
        <f>transport!H54</f>
        <v>0</v>
      </c>
      <c r="I10" s="447">
        <f>transport!I54</f>
        <v>0</v>
      </c>
      <c r="J10" s="447">
        <f>transport!J54</f>
        <v>0</v>
      </c>
      <c r="K10" s="447">
        <f>transport!K54</f>
        <v>0</v>
      </c>
      <c r="L10" s="447">
        <f>transport!L54</f>
        <v>0</v>
      </c>
      <c r="M10" s="447">
        <f>transport!M54</f>
        <v>35.186118962613484</v>
      </c>
      <c r="N10" s="447">
        <f>transport!N54</f>
        <v>0</v>
      </c>
      <c r="O10" s="447">
        <f>transport!O54</f>
        <v>0</v>
      </c>
      <c r="P10" s="448">
        <f>transport!P54</f>
        <v>0</v>
      </c>
      <c r="Q10" s="446">
        <f t="shared" si="0"/>
        <v>835.26270420860453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785.09571284518097</v>
      </c>
      <c r="C14" s="454"/>
      <c r="D14" s="454">
        <f>'SEAP template'!E25</f>
        <v>2439.5619751751301</v>
      </c>
      <c r="E14" s="454"/>
      <c r="F14" s="454"/>
      <c r="G14" s="454"/>
      <c r="H14" s="454"/>
      <c r="I14" s="454"/>
      <c r="J14" s="454"/>
      <c r="K14" s="454"/>
      <c r="L14" s="454"/>
      <c r="M14" s="454"/>
      <c r="N14" s="454"/>
      <c r="O14" s="454"/>
      <c r="P14" s="455"/>
      <c r="Q14" s="446">
        <f t="shared" si="0"/>
        <v>3224.6576880203111</v>
      </c>
    </row>
    <row r="15" spans="1:17" s="459" customFormat="1">
      <c r="A15" s="456" t="s">
        <v>554</v>
      </c>
      <c r="B15" s="457">
        <f ca="1">SUM(B4:B14)</f>
        <v>86279.476209229862</v>
      </c>
      <c r="C15" s="457">
        <f t="shared" ref="C15:Q15" ca="1" si="1">SUM(C4:C14)</f>
        <v>14232.857142857143</v>
      </c>
      <c r="D15" s="457">
        <f t="shared" ca="1" si="1"/>
        <v>90320.080227510756</v>
      </c>
      <c r="E15" s="457">
        <f t="shared" si="1"/>
        <v>1759.9372080799976</v>
      </c>
      <c r="F15" s="457">
        <f t="shared" ca="1" si="1"/>
        <v>60073.687929974411</v>
      </c>
      <c r="G15" s="457">
        <f t="shared" si="1"/>
        <v>76668.577270294438</v>
      </c>
      <c r="H15" s="457">
        <f t="shared" si="1"/>
        <v>9722.4594922740253</v>
      </c>
      <c r="I15" s="457">
        <f t="shared" si="1"/>
        <v>0</v>
      </c>
      <c r="J15" s="457">
        <f t="shared" si="1"/>
        <v>1130.4219307091569</v>
      </c>
      <c r="K15" s="457">
        <f t="shared" si="1"/>
        <v>0</v>
      </c>
      <c r="L15" s="457">
        <f t="shared" ca="1" si="1"/>
        <v>0</v>
      </c>
      <c r="M15" s="457">
        <f t="shared" si="1"/>
        <v>3856.5213049604463</v>
      </c>
      <c r="N15" s="457">
        <f t="shared" ca="1" si="1"/>
        <v>12778.053942179573</v>
      </c>
      <c r="O15" s="457">
        <f t="shared" si="1"/>
        <v>145.38999999999999</v>
      </c>
      <c r="P15" s="457">
        <f t="shared" si="1"/>
        <v>495.73333333333335</v>
      </c>
      <c r="Q15" s="457">
        <f t="shared" ca="1" si="1"/>
        <v>357463.19599140319</v>
      </c>
    </row>
    <row r="17" spans="1:17">
      <c r="A17" s="460" t="s">
        <v>555</v>
      </c>
      <c r="B17" s="729">
        <f ca="1">huishoudens!B10</f>
        <v>0.11797746387870887</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2626.8400445426132</v>
      </c>
      <c r="C22" s="447">
        <f t="shared" ref="C22:C32" ca="1" si="3">C4*$C$17</f>
        <v>0</v>
      </c>
      <c r="D22" s="447">
        <f t="shared" ref="D22:D32" si="4">D4*$D$17</f>
        <v>13101.805604234934</v>
      </c>
      <c r="E22" s="447">
        <f t="shared" ref="E22:E32" si="5">E4*$E$17</f>
        <v>207.43285223766321</v>
      </c>
      <c r="F22" s="447">
        <f t="shared" ref="F22:F32" si="6">F4*$F$17</f>
        <v>7438.3911395795731</v>
      </c>
      <c r="G22" s="447">
        <f t="shared" ref="G22:G32" si="7">G4*$G$17</f>
        <v>0</v>
      </c>
      <c r="H22" s="447">
        <f t="shared" ref="H22:H32" si="8">H4*$H$17</f>
        <v>0</v>
      </c>
      <c r="I22" s="447">
        <f t="shared" ref="I22:I32" si="9">I4*$I$17</f>
        <v>0</v>
      </c>
      <c r="J22" s="447">
        <f t="shared" ref="J22:J32" si="10">J4*$J$17</f>
        <v>178.94503158932085</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23553.414672184103</v>
      </c>
    </row>
    <row r="23" spans="1:17">
      <c r="A23" s="446" t="s">
        <v>149</v>
      </c>
      <c r="B23" s="447">
        <f t="shared" ca="1" si="2"/>
        <v>4574.6413173289739</v>
      </c>
      <c r="C23" s="447">
        <f t="shared" ca="1" si="3"/>
        <v>0</v>
      </c>
      <c r="D23" s="447">
        <f t="shared" ca="1" si="4"/>
        <v>2741.3301680823652</v>
      </c>
      <c r="E23" s="447">
        <f t="shared" si="5"/>
        <v>80.49048594957695</v>
      </c>
      <c r="F23" s="447">
        <f t="shared" ca="1" si="6"/>
        <v>2109.501699096445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9505.9636704573604</v>
      </c>
    </row>
    <row r="24" spans="1:17">
      <c r="A24" s="446" t="s">
        <v>187</v>
      </c>
      <c r="B24" s="447">
        <f t="shared" ca="1" si="2"/>
        <v>93.482039008500308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93.482039008500308</v>
      </c>
    </row>
    <row r="25" spans="1:17">
      <c r="A25" s="446" t="s">
        <v>105</v>
      </c>
      <c r="B25" s="447">
        <f t="shared" ca="1" si="2"/>
        <v>612.79730884129447</v>
      </c>
      <c r="C25" s="447">
        <f t="shared" ca="1" si="3"/>
        <v>0</v>
      </c>
      <c r="D25" s="447">
        <f t="shared" si="4"/>
        <v>332.59214623296469</v>
      </c>
      <c r="E25" s="447">
        <f t="shared" si="5"/>
        <v>11.643639730389623</v>
      </c>
      <c r="F25" s="447">
        <f t="shared" si="6"/>
        <v>4626.8939109285011</v>
      </c>
      <c r="G25" s="447">
        <f t="shared" si="7"/>
        <v>0</v>
      </c>
      <c r="H25" s="447">
        <f t="shared" si="8"/>
        <v>0</v>
      </c>
      <c r="I25" s="447">
        <f t="shared" si="9"/>
        <v>0</v>
      </c>
      <c r="J25" s="447">
        <f t="shared" si="10"/>
        <v>183.45075128582616</v>
      </c>
      <c r="K25" s="447">
        <f t="shared" si="11"/>
        <v>0</v>
      </c>
      <c r="L25" s="447">
        <f t="shared" si="12"/>
        <v>0</v>
      </c>
      <c r="M25" s="447">
        <f t="shared" si="13"/>
        <v>0</v>
      </c>
      <c r="N25" s="447">
        <f t="shared" si="14"/>
        <v>0</v>
      </c>
      <c r="O25" s="447">
        <f t="shared" si="15"/>
        <v>0</v>
      </c>
      <c r="P25" s="448">
        <f t="shared" si="16"/>
        <v>0</v>
      </c>
      <c r="Q25" s="446">
        <f t="shared" ca="1" si="17"/>
        <v>5767.3777570189759</v>
      </c>
    </row>
    <row r="26" spans="1:17">
      <c r="A26" s="446" t="s">
        <v>640</v>
      </c>
      <c r="B26" s="447">
        <f t="shared" ca="1" si="2"/>
        <v>2177.8005871744617</v>
      </c>
      <c r="C26" s="447">
        <f t="shared" ca="1" si="3"/>
        <v>0</v>
      </c>
      <c r="D26" s="447">
        <f t="shared" si="4"/>
        <v>1575.3823488273772</v>
      </c>
      <c r="E26" s="447">
        <f t="shared" si="5"/>
        <v>40.875560786529888</v>
      </c>
      <c r="F26" s="447">
        <f t="shared" si="6"/>
        <v>1864.8879276986499</v>
      </c>
      <c r="G26" s="447">
        <f t="shared" si="7"/>
        <v>0</v>
      </c>
      <c r="H26" s="447">
        <f t="shared" si="8"/>
        <v>0</v>
      </c>
      <c r="I26" s="447">
        <f t="shared" si="9"/>
        <v>0</v>
      </c>
      <c r="J26" s="447">
        <f t="shared" si="10"/>
        <v>37.773580595894536</v>
      </c>
      <c r="K26" s="447">
        <f t="shared" si="11"/>
        <v>0</v>
      </c>
      <c r="L26" s="447">
        <f t="shared" si="12"/>
        <v>0</v>
      </c>
      <c r="M26" s="447">
        <f t="shared" si="13"/>
        <v>0</v>
      </c>
      <c r="N26" s="447">
        <f t="shared" si="14"/>
        <v>0</v>
      </c>
      <c r="O26" s="447">
        <f t="shared" si="15"/>
        <v>0</v>
      </c>
      <c r="P26" s="448">
        <f t="shared" si="16"/>
        <v>0</v>
      </c>
      <c r="Q26" s="446">
        <f t="shared" ca="1" si="17"/>
        <v>5696.7200050829142</v>
      </c>
    </row>
    <row r="27" spans="1:17" s="452" customFormat="1">
      <c r="A27" s="450" t="s">
        <v>560</v>
      </c>
      <c r="B27" s="723">
        <f t="shared" ca="1" si="2"/>
        <v>0.3779990762236346</v>
      </c>
      <c r="C27" s="451">
        <f t="shared" ca="1" si="3"/>
        <v>0</v>
      </c>
      <c r="D27" s="451">
        <f t="shared" si="4"/>
        <v>0.75441959415600879</v>
      </c>
      <c r="E27" s="451">
        <f t="shared" si="5"/>
        <v>59.063207529999758</v>
      </c>
      <c r="F27" s="451">
        <f t="shared" si="6"/>
        <v>0</v>
      </c>
      <c r="G27" s="451">
        <f t="shared" si="7"/>
        <v>20257.955376803115</v>
      </c>
      <c r="H27" s="451">
        <f t="shared" si="8"/>
        <v>2420.8924135762322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22739.043416579727</v>
      </c>
    </row>
    <row r="28" spans="1:17">
      <c r="A28" s="446" t="s">
        <v>550</v>
      </c>
      <c r="B28" s="447">
        <f t="shared" ca="1" si="2"/>
        <v>0.47089087274900682</v>
      </c>
      <c r="C28" s="447">
        <f t="shared" ca="1" si="3"/>
        <v>0</v>
      </c>
      <c r="D28" s="447">
        <f t="shared" si="4"/>
        <v>0</v>
      </c>
      <c r="E28" s="447">
        <f t="shared" si="5"/>
        <v>0</v>
      </c>
      <c r="F28" s="447">
        <f t="shared" si="6"/>
        <v>0</v>
      </c>
      <c r="G28" s="447">
        <f t="shared" si="7"/>
        <v>212.55475436550282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213.02564523825183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92.623601103521537</v>
      </c>
      <c r="C32" s="447">
        <f t="shared" ca="1" si="3"/>
        <v>0</v>
      </c>
      <c r="D32" s="447">
        <f t="shared" si="4"/>
        <v>492.79151898537629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585.41512008889777</v>
      </c>
    </row>
    <row r="33" spans="1:17" s="459" customFormat="1">
      <c r="A33" s="456" t="s">
        <v>554</v>
      </c>
      <c r="B33" s="457">
        <f ca="1">SUM(B22:B32)</f>
        <v>10179.03378794834</v>
      </c>
      <c r="C33" s="457">
        <f t="shared" ref="C33:Q33" ca="1" si="18">SUM(C22:C32)</f>
        <v>0</v>
      </c>
      <c r="D33" s="457">
        <f t="shared" ca="1" si="18"/>
        <v>18244.656205957173</v>
      </c>
      <c r="E33" s="457">
        <f t="shared" si="18"/>
        <v>399.50574623415946</v>
      </c>
      <c r="F33" s="457">
        <f t="shared" ca="1" si="18"/>
        <v>16039.674677303168</v>
      </c>
      <c r="G33" s="457">
        <f t="shared" si="18"/>
        <v>20470.510131168616</v>
      </c>
      <c r="H33" s="457">
        <f t="shared" si="18"/>
        <v>2420.8924135762322</v>
      </c>
      <c r="I33" s="457">
        <f t="shared" si="18"/>
        <v>0</v>
      </c>
      <c r="J33" s="457">
        <f t="shared" si="18"/>
        <v>400.16936347104155</v>
      </c>
      <c r="K33" s="457">
        <f t="shared" si="18"/>
        <v>0</v>
      </c>
      <c r="L33" s="457">
        <f t="shared" ca="1" si="18"/>
        <v>0</v>
      </c>
      <c r="M33" s="457">
        <f t="shared" si="18"/>
        <v>0</v>
      </c>
      <c r="N33" s="457">
        <f t="shared" ca="1" si="18"/>
        <v>0</v>
      </c>
      <c r="O33" s="457">
        <f t="shared" si="18"/>
        <v>0</v>
      </c>
      <c r="P33" s="457">
        <f t="shared" si="18"/>
        <v>0</v>
      </c>
      <c r="Q33" s="457">
        <f t="shared" ca="1" si="18"/>
        <v>68154.442325658732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22845.452955909452</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6520.2968372645837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9963</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11721.176470588234</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891.75</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2547.8571428571431</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40220.499793174036</v>
      </c>
      <c r="C10" s="981">
        <f>SUM(C4:C9)</f>
        <v>0</v>
      </c>
      <c r="D10" s="981">
        <f t="shared" ref="D10:H10" si="0">SUM(D8:D9)</f>
        <v>0</v>
      </c>
      <c r="E10" s="981">
        <f t="shared" si="0"/>
        <v>0</v>
      </c>
      <c r="F10" s="981">
        <f t="shared" si="0"/>
        <v>0</v>
      </c>
      <c r="G10" s="981">
        <f t="shared" si="0"/>
        <v>0</v>
      </c>
      <c r="H10" s="981">
        <f t="shared" si="0"/>
        <v>0</v>
      </c>
      <c r="I10" s="981">
        <f>SUM(I8:I9)</f>
        <v>0</v>
      </c>
      <c r="J10" s="981">
        <f>SUM(J8:J9)</f>
        <v>14269.033613445377</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0.11797746387870887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14232.857142857143</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16744.537815126048</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14232.857142857143</v>
      </c>
      <c r="C20" s="981">
        <f>SUM(C17:C19)</f>
        <v>0</v>
      </c>
      <c r="D20" s="981">
        <f t="shared" ref="D20:H20" si="2">SUM(D17:D19)</f>
        <v>0</v>
      </c>
      <c r="E20" s="981">
        <f t="shared" si="2"/>
        <v>0</v>
      </c>
      <c r="F20" s="981">
        <f t="shared" si="2"/>
        <v>0</v>
      </c>
      <c r="G20" s="981">
        <f t="shared" si="2"/>
        <v>0</v>
      </c>
      <c r="H20" s="981">
        <f t="shared" si="2"/>
        <v>0</v>
      </c>
      <c r="I20" s="981">
        <f>SUM(I17:I19)</f>
        <v>0</v>
      </c>
      <c r="J20" s="981">
        <f>SUM(J17:J19)</f>
        <v>16744.537815126048</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0.11797746387870887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2022-07-26T12:19:29Z</dcterms:modified>
</cp:coreProperties>
</file>