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68C39622-2F1D-4EF3-86FC-11FFE0CE09C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45" i="18"/>
  <c r="E9" i="18"/>
  <c r="D9" i="18"/>
  <c r="W48" i="18"/>
  <c r="V48" i="18"/>
  <c r="U48" i="18"/>
  <c r="T48" i="18"/>
  <c r="S48" i="18"/>
  <c r="R48" i="18"/>
  <c r="Q48" i="18"/>
  <c r="P48" i="18"/>
  <c r="O48" i="18"/>
  <c r="N48" i="18"/>
  <c r="M48" i="18"/>
  <c r="W47" i="18"/>
  <c r="V47" i="18"/>
  <c r="U47" i="18"/>
  <c r="T47" i="18"/>
  <c r="S47" i="18"/>
  <c r="R47" i="18"/>
  <c r="Q47" i="18"/>
  <c r="P47" i="18"/>
  <c r="O47" i="18"/>
  <c r="N47" i="18"/>
  <c r="M47" i="18"/>
  <c r="W46" i="18"/>
  <c r="V46" i="18"/>
  <c r="U46" i="18"/>
  <c r="T46" i="18"/>
  <c r="S46" i="18"/>
  <c r="R46" i="18"/>
  <c r="Q46" i="18"/>
  <c r="P46" i="18"/>
  <c r="O46" i="18"/>
  <c r="N46" i="18"/>
  <c r="M46" i="18"/>
  <c r="W45" i="18"/>
  <c r="H9" i="18"/>
  <c r="V45" i="18"/>
  <c r="Q45" i="18"/>
  <c r="R45" i="18"/>
  <c r="J9" i="18"/>
  <c r="U45" i="18"/>
  <c r="T45" i="18"/>
  <c r="I9" i="18"/>
  <c r="P45" i="18"/>
  <c r="C9" i="18"/>
  <c r="O45" i="18"/>
  <c r="N45" i="18"/>
  <c r="B9" i="18"/>
  <c r="M45"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B8" i="18"/>
  <c r="M38" i="18"/>
  <c r="G22" i="18"/>
  <c r="F22" i="18"/>
  <c r="E22" i="18"/>
  <c r="D22" i="18"/>
  <c r="C22" i="18"/>
  <c r="L20" i="18"/>
  <c r="D20" i="18"/>
  <c r="G12" i="18"/>
  <c r="F12" i="18"/>
  <c r="E12" i="18"/>
  <c r="D12" i="18"/>
  <c r="C12" i="18"/>
  <c r="L10" i="18"/>
  <c r="K10" i="18"/>
  <c r="G10" i="18"/>
  <c r="D10" i="18"/>
  <c r="B6" i="18"/>
  <c r="B5" i="18"/>
  <c r="B4" i="18"/>
  <c r="B54" i="18"/>
  <c r="F58" i="18"/>
  <c r="F20" i="18"/>
  <c r="B17" i="18"/>
  <c r="C54" i="18"/>
  <c r="B57" i="18"/>
  <c r="C8" i="18"/>
  <c r="G20" i="18"/>
  <c r="K20" i="18"/>
  <c r="B10" i="18"/>
  <c r="O9" i="18"/>
  <c r="O19" i="18"/>
  <c r="O18" i="18"/>
  <c r="B20" i="18"/>
  <c r="I57" i="18"/>
  <c r="H8" i="18"/>
  <c r="H10" i="18"/>
  <c r="E57" i="18"/>
  <c r="E8" i="18"/>
  <c r="E10" i="18"/>
  <c r="D57" i="18"/>
  <c r="F57" i="18"/>
  <c r="N6" i="17"/>
  <c r="L6" i="17"/>
  <c r="F6" i="17"/>
  <c r="D6" i="17"/>
  <c r="C6" i="17"/>
  <c r="N16" i="16"/>
  <c r="L16" i="16"/>
  <c r="F16" i="16"/>
  <c r="D16" i="16"/>
  <c r="C16" i="16"/>
  <c r="B16" i="16"/>
  <c r="B13" i="15"/>
  <c r="H57" i="18"/>
  <c r="C57" i="18"/>
  <c r="J8" i="18"/>
  <c r="C58" i="18"/>
  <c r="H58" i="18"/>
  <c r="G58" i="18"/>
  <c r="I17" i="18"/>
  <c r="I58" i="18"/>
  <c r="H17" i="18"/>
  <c r="H20" i="18"/>
  <c r="D58" i="18"/>
  <c r="E58" i="18"/>
  <c r="E17" i="18"/>
  <c r="E20" i="18"/>
  <c r="B58" i="18"/>
  <c r="C17" i="18"/>
  <c r="C20" i="18"/>
  <c r="G57"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<sst xmlns="http://schemas.openxmlformats.org/spreadsheetml/2006/main" count="2547" uniqueCount="948">
  <si>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</si>
  <si>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</si>
  <si>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</si>
  <si>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</si>
  <si>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</si>
  <si>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</si>
  <si>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</si>
  <si>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</si>
  <si>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</si>
  <si>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</si>
  <si>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</si>
  <si>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</si>
  <si>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</si>
  <si>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</si>
  <si>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</si>
  <si>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</si>
  <si>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</si>
  <si>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</si>
  <si>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</si>
  <si>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</si>
  <si>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</si>
  <si>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</si>
  <si>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</si>
  <si>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</si>
  <si>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</si>
  <si>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</si>
  <si>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</si>
  <si>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</si>
  <si>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</si>
  <si>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</si>
  <si>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</si>
  <si>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</si>
  <si>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</si>
  <si>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</si>
  <si>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</si>
  <si>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</si>
  <si>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</si>
  <si>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</si>
  <si>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</si>
  <si>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</si>
  <si>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</si>
  <si>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</si>
  <si>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</si>
  <si>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</si>
  <si>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</si>
  <si>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</si>
  <si>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</si>
  <si>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</si>
  <si>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</si>
  <si>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</si>
  <si>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</si>
  <si>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</si>
  <si>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</si>
  <si>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</si>
  <si>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</si>
  <si>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</si>
  <si>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</si>
  <si>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</si>
  <si>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</si>
  <si>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</si>
  <si>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</si>
  <si>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</si>
  <si>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</si>
  <si>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</si>
  <si>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</si>
  <si>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</si>
  <si>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</si>
  <si>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</si>
  <si>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</si>
  <si>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</si>
  <si>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</si>
  <si>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</si>
  <si>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</si>
  <si>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</si>
  <si>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</si>
  <si>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</si>
  <si>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</si>
  <si>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</si>
  <si>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</si>
  <si>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</si>
  <si>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</si>
  <si>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</si>
  <si>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</si>
  <si>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</si>
  <si>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</si>
  <si>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</si>
  <si>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</si>
  <si>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</si>
  <si>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</si>
  <si>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</si>
  <si>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</si>
  <si>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</si>
  <si>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</si>
  <si>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</si>
  <si>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</si>
  <si>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</si>
  <si>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</si>
  <si>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</si>
  <si>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</si>
  <si>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</si>
  <si>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</si>
  <si>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</si>
  <si>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</si>
  <si>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</si>
  <si>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</si>
  <si>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</si>
  <si>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</si>
  <si>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</si>
  <si>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</si>
  <si>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</si>
  <si>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</si>
  <si>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</si>
  <si>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</si>
  <si>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</si>
  <si>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</si>
  <si>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</si>
  <si>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</si>
  <si>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</si>
  <si>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</si>
  <si>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</si>
  <si>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</si>
  <si>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</si>
  <si>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</si>
  <si>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</si>
  <si>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</si>
  <si>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</si>
  <si>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</si>
  <si>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</si>
  <si>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</si>
  <si>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</si>
  <si>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</si>
  <si>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</si>
  <si>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</si>
  <si>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</si>
  <si>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</si>
  <si>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</si>
  <si>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</si>
  <si>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</si>
  <si>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</si>
  <si>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</si>
  <si>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</si>
  <si>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</si>
  <si>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</si>
  <si>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</si>
  <si>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</si>
  <si>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</si>
  <si>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</si>
  <si>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</si>
  <si>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</si>
  <si>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</si>
  <si>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</si>
  <si>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</si>
  <si>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</si>
  <si>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</si>
  <si>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</si>
  <si>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</si>
  <si>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</si>
  <si>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</si>
  <si>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</si>
  <si>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</si>
  <si>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</si>
  <si>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</si>
  <si>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</si>
  <si>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</si>
  <si>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</si>
  <si>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</si>
  <si>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</si>
  <si>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</si>
  <si>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</si>
  <si>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</si>
  <si>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</si>
  <si>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</si>
  <si>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</si>
  <si>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</si>
  <si>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</si>
  <si>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</si>
  <si>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</si>
  <si>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</si>
  <si>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</si>
  <si>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</si>
  <si>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</si>
  <si>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</si>
  <si>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</si>
  <si>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</si>
  <si>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</si>
  <si>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</si>
  <si>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</si>
  <si>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</si>
  <si>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</si>
  <si>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</si>
  <si>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</si>
  <si>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</si>
  <si>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</si>
  <si>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</si>
  <si>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</si>
  <si>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</si>
  <si>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</si>
  <si>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</si>
  <si>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</si>
  <si>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</si>
  <si>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</si>
  <si>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</si>
  <si>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</si>
  <si>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</si>
  <si>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</si>
  <si>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</si>
  <si>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</si>
  <si>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</si>
  <si>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</si>
  <si>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</si>
  <si>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</si>
  <si>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</si>
  <si>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</si>
  <si>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</si>
  <si>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</si>
  <si>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</si>
  <si>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</si>
  <si>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</si>
  <si>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</si>
  <si>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</si>
  <si>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</si>
  <si>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</si>
  <si>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</si>
  <si>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</si>
  <si>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</si>
  <si>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</si>
  <si>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</si>
  <si>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</si>
  <si>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</si>
  <si>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</si>
  <si>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</si>
  <si>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</si>
  <si>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</si>
  <si>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</si>
  <si>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</si>
  <si>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</si>
  <si>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</si>
  <si>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</si>
  <si>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</si>
  <si>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</si>
  <si>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</si>
  <si>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</si>
  <si>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</si>
  <si>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</si>
  <si>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</si>
  <si>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</si>
  <si>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</si>
  <si>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</si>
  <si>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</si>
  <si>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</si>
  <si>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</si>
  <si>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</si>
  <si>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</si>
  <si>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</si>
  <si>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</si>
  <si>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</si>
  <si>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</si>
  <si>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</si>
  <si>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</si>
  <si>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</si>
  <si>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</si>
  <si>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</si>
  <si>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</si>
  <si>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</si>
  <si>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</si>
  <si>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</si>
  <si>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</si>
  <si>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</si>
  <si>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</si>
  <si>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</si>
  <si>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</si>
  <si>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</si>
  <si>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</si>
  <si>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</si>
  <si>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</si>
  <si>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</si>
  <si>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</si>
  <si>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</si>
  <si>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</si>
  <si>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</si>
  <si>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</si>
  <si>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</si>
  <si>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</si>
  <si>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</si>
  <si>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</si>
  <si>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</si>
  <si>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</si>
  <si>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</si>
  <si>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</si>
  <si>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</si>
  <si>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</si>
  <si>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</si>
  <si>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</si>
  <si>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</si>
  <si>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</si>
  <si>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</si>
  <si>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</si>
  <si>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</si>
  <si>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</si>
  <si>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</si>
  <si>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</si>
  <si>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</si>
  <si>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</si>
  <si>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</si>
  <si>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</si>
  <si>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</si>
  <si>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</si>
  <si>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</si>
  <si>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</si>
  <si>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</si>
  <si>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</si>
  <si>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</si>
  <si>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</si>
  <si>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</si>
  <si>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</si>
  <si>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</si>
  <si>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</si>
  <si>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</si>
  <si>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</si>
  <si>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</si>
  <si>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</si>
  <si>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</si>
  <si>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</si>
  <si>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</si>
  <si>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</si>
  <si>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</si>
  <si>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</si>
  <si>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</si>
  <si>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</si>
  <si>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</si>
  <si>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</si>
  <si>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</si>
  <si>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</si>
  <si>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</si>
  <si>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</si>
  <si>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</si>
  <si>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</si>
  <si>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</si>
  <si>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</si>
  <si>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</si>
  <si>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</si>
  <si>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</si>
  <si>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</si>
  <si>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</si>
  <si>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</si>
  <si>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</si>
  <si>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</si>
  <si>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</si>
  <si>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</si>
  <si>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</si>
  <si>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</si>
  <si>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</si>
  <si>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</si>
  <si>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</si>
  <si>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</si>
  <si>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</si>
  <si>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</si>
  <si>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</si>
  <si>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</si>
  <si>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</si>
  <si>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</si>
  <si>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</si>
  <si>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</si>
  <si>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</si>
  <si>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</si>
  <si>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</si>
  <si>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</si>
  <si>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</si>
  <si>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</si>
  <si>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</si>
  <si>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</si>
  <si>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</si>
  <si>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</si>
  <si>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</si>
  <si>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</si>
  <si>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</si>
  <si>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</si>
  <si>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</si>
  <si>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</si>
  <si>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</si>
  <si>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</si>
  <si>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</si>
  <si>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</si>
  <si>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</si>
  <si>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</si>
  <si>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</si>
  <si>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</si>
  <si>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</si>
  <si>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</si>
  <si>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</si>
  <si>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</si>
  <si>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</si>
  <si>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</si>
  <si>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</si>
  <si>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</si>
  <si>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</si>
  <si>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</si>
  <si>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</si>
  <si>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</si>
  <si>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</si>
  <si>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</si>
  <si>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</si>
  <si>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</si>
  <si>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</si>
  <si>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</si>
  <si>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</si>
  <si>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</si>
  <si>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</si>
  <si>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</si>
  <si>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</si>
  <si>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</si>
  <si>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</si>
  <si>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</si>
  <si>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</si>
  <si>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</si>
  <si>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</si>
  <si>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</si>
  <si>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</si>
  <si>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</si>
  <si>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</si>
  <si>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</si>
  <si>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</si>
  <si>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</si>
  <si>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</si>
  <si>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</si>
  <si>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</si>
  <si>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</si>
  <si>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</si>
  <si>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</si>
  <si>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</si>
  <si>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</si>
  <si>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</si>
  <si>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</si>
  <si>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</si>
  <si>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</si>
  <si>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</si>
  <si>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</si>
  <si>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</si>
  <si>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</si>
  <si>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</si>
  <si>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</si>
  <si>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</si>
  <si>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</si>
  <si>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</si>
  <si>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</si>
  <si>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</si>
  <si>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</si>
  <si>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</si>
  <si>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</si>
  <si>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</si>
  <si>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</si>
  <si>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</si>
  <si>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</si>
  <si>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</si>
  <si>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</si>
  <si>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</si>
  <si>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</si>
  <si>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</si>
  <si>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</si>
  <si>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</si>
  <si>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</si>
  <si>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</si>
  <si>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</si>
  <si>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</si>
  <si>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</si>
  <si>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</si>
  <si>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</si>
  <si>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</si>
  <si>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</si>
  <si>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</si>
  <si>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</si>
  <si>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</si>
  <si>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</si>
  <si>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</si>
  <si>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</si>
  <si>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</si>
  <si>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</si>
  <si>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</si>
  <si>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</si>
  <si>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</si>
  <si>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</si>
  <si>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</si>
  <si>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</si>
  <si>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</si>
  <si>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</si>
  <si>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</si>
  <si>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</si>
  <si>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</si>
  <si>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</si>
  <si>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</si>
  <si>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</si>
  <si>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</si>
  <si>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</si>
  <si>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</si>
  <si>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</si>
  <si>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</si>
  <si>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</si>
  <si>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</si>
  <si>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</si>
  <si>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</si>
  <si>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</si>
  <si>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</si>
  <si>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</si>
  <si>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</si>
  <si>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</si>
  <si>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</si>
  <si>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</si>
  <si>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</si>
  <si>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</si>
  <si>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</si>
  <si>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</si>
  <si>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</si>
  <si>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</si>
  <si>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</si>
  <si>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</si>
  <si>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</si>
  <si>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</si>
  <si>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</si>
  <si>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</si>
  <si>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</si>
  <si>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</si>
  <si>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</si>
  <si>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</si>
  <si>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</si>
  <si>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</si>
  <si>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</si>
  <si>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</si>
  <si>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</si>
  <si>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</si>
  <si>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</si>
  <si>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</si>
  <si>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</si>
  <si>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</si>
  <si>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</si>
  <si>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</si>
  <si>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</si>
  <si>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</si>
  <si>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</si>
  <si>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</si>
  <si>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</si>
  <si>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</si>
  <si>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</si>
  <si>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</si>
  <si>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</si>
  <si>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</si>
  <si>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</si>
  <si>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</si>
  <si>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</si>
  <si>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</si>
  <si>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</si>
  <si>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</si>
  <si>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</si>
  <si>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</si>
  <si>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</si>
  <si>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</si>
  <si>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</si>
  <si>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</si>
  <si>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</si>
  <si>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</si>
  <si>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</si>
  <si>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</si>
  <si>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</si>
  <si>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</si>
  <si>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</si>
  <si>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</si>
  <si>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</si>
  <si>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</si>
  <si>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</si>
  <si>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</si>
  <si>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</si>
  <si>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</si>
  <si>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</si>
  <si>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</si>
  <si>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</si>
  <si>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</si>
  <si>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</si>
  <si>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</si>
  <si>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</si>
  <si>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</si>
  <si>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</si>
  <si>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</si>
  <si>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</si>
  <si>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</si>
  <si>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</si>
  <si>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</si>
  <si>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</si>
  <si>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</si>
  <si>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</si>
  <si>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</si>
  <si>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</si>
  <si>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</si>
  <si>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</si>
  <si>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</si>
  <si>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</si>
  <si>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</si>
  <si>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</si>
  <si>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</si>
  <si>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</si>
  <si>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</si>
  <si>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</si>
  <si>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</si>
  <si>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</si>
  <si>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</si>
  <si>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</si>
  <si>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</si>
  <si>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</si>
  <si>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</si>
  <si>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</si>
  <si>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</si>
  <si>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</si>
  <si>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</si>
  <si>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</si>
  <si>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</si>
  <si>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</si>
  <si>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</si>
  <si>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</si>
  <si>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</si>
  <si>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</si>
  <si>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</si>
  <si>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</si>
  <si>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</si>
  <si>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</si>
  <si>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</si>
  <si>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</si>
  <si>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</si>
  <si>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</si>
  <si>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</si>
  <si>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</si>
  <si>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</si>
  <si>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</si>
  <si>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</si>
  <si>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</si>
  <si>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</si>
  <si>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</si>
  <si>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</si>
  <si>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</si>
  <si>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</si>
  <si>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</si>
  <si>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</si>
  <si>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</si>
  <si>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</si>
  <si>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</si>
  <si>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</si>
  <si>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</si>
  <si>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</si>
  <si>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</si>
  <si>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</si>
  <si>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</si>
  <si>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</si>
  <si>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</si>
  <si>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</si>
  <si>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</si>
  <si>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</si>
  <si>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</si>
  <si>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</si>
  <si>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</si>
  <si>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</si>
  <si>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</si>
  <si>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</si>
  <si>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</si>
  <si>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</si>
  <si>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</si>
  <si>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</si>
  <si>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</si>
  <si>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</si>
  <si>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</si>
  <si>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</si>
  <si>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</si>
  <si>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</si>
  <si>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</si>
  <si>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</si>
  <si>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</si>
  <si>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</si>
  <si>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</si>
  <si>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</si>
  <si>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</si>
  <si>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</si>
  <si>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</si>
  <si>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</si>
  <si>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</si>
  <si>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</si>
  <si>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</si>
  <si>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</si>
  <si>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</si>
  <si>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</si>
  <si>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</si>
  <si>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</si>
  <si>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</si>
  <si>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</si>
  <si>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</si>
  <si>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</si>
  <si>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</si>
  <si>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</si>
  <si>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</si>
  <si>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</si>
  <si>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</si>
  <si>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</si>
  <si>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</si>
  <si>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</si>
  <si>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</si>
  <si>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</si>
  <si>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</si>
  <si>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</si>
  <si>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</si>
  <si>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</si>
  <si>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</si>
  <si>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</si>
  <si>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</si>
  <si>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</si>
  <si>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</si>
  <si>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</si>
  <si>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</si>
  <si>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</si>
  <si>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</si>
  <si>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</si>
  <si>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</si>
  <si>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</si>
  <si>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</si>
  <si>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</si>
  <si>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</si>
  <si>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</si>
  <si>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</si>
  <si>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</si>
  <si>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</si>
  <si>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</si>
  <si>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</si>
  <si>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</si>
  <si>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</si>
  <si>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</si>
  <si>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</si>
  <si>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</si>
  <si>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</si>
  <si>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</si>
  <si>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</si>
  <si>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</si>
  <si>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</si>
  <si>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</si>
  <si>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</si>
  <si>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</si>
  <si>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</si>
  <si>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</si>
  <si>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</si>
  <si>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</si>
  <si>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</si>
  <si>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</si>
  <si>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</si>
  <si>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</si>
  <si>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</si>
  <si>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</si>
  <si>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</si>
  <si>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</si>
  <si>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</si>
  <si>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</si>
  <si>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</si>
  <si>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</si>
  <si>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</si>
  <si>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</si>
  <si>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</si>
  <si>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</si>
  <si>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</si>
  <si>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</si>
  <si>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</si>
  <si>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</si>
  <si>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</si>
  <si>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</si>
  <si>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</si>
  <si>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</si>
  <si>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</si>
  <si>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</si>
  <si>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</si>
  <si>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</si>
  <si>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</si>
  <si>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</si>
  <si>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</si>
  <si>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</si>
  <si>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</si>
  <si>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</si>
  <si>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</si>
  <si>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</si>
  <si>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</si>
  <si>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</si>
  <si>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</si>
  <si>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</si>
  <si>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</si>
  <si>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</si>
  <si>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</si>
  <si>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</si>
  <si>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</si>
  <si>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</si>
  <si>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</si>
  <si>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</si>
  <si>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</si>
  <si>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</si>
  <si>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</si>
  <si>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</si>
  <si>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</si>
  <si>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</si>
  <si>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</si>
  <si>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</si>
  <si>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</si>
  <si>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</si>
  <si>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</si>
  <si>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</si>
  <si>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</si>
  <si>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</si>
  <si>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</si>
  <si>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</si>
  <si>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</si>
  <si>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</si>
  <si>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</si>
  <si>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</si>
  <si>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</si>
  <si>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</si>
  <si>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</si>
  <si>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</si>
  <si>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</si>
  <si>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</si>
  <si>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</si>
  <si>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</si>
  <si>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</si>
  <si>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</si>
  <si>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</si>
  <si>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</si>
  <si>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</si>
  <si>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</si>
  <si>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</si>
  <si>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</si>
  <si>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</si>
  <si>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</si>
  <si>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</si>
  <si>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</si>
  <si>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</si>
  <si>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</si>
  <si>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</si>
  <si>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</si>
  <si>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</si>
  <si>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</si>
  <si>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</si>
  <si>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</si>
  <si>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</si>
  <si>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</si>
  <si>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</si>
  <si>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</si>
  <si>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</si>
  <si>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</si>
  <si>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</si>
  <si>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</si>
  <si>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</si>
  <si>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</si>
  <si>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</si>
  <si>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</si>
  <si>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</si>
  <si>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</si>
  <si>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</si>
  <si>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</si>
  <si>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</si>
  <si>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</si>
  <si>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</si>
  <si>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</si>
  <si>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</si>
  <si>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</si>
  <si>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</si>
  <si>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</si>
  <si>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</si>
  <si>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</si>
  <si>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</si>
  <si>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</si>
  <si>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</si>
  <si>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</si>
  <si>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</si>
  <si>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</si>
  <si>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</si>
  <si>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</si>
  <si>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</si>
  <si>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</si>
  <si>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</si>
  <si>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</si>
  <si>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</si>
  <si>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</si>
  <si>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</si>
  <si>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</si>
  <si>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</si>
  <si>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</si>
  <si>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</si>
  <si>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</si>
  <si>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</si>
  <si>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</si>
  <si>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</si>
  <si>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</si>
  <si>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</si>
  <si>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</si>
  <si>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</si>
  <si>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</si>
  <si>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</si>
  <si>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</si>
  <si>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</si>
  <si>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</si>
  <si>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</si>
  <si>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</si>
  <si>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</si>
  <si>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</si>
  <si>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</si>
  <si>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</si>
  <si>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</si>
  <si>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</si>
  <si>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</si>
  <si>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</si>
  <si>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</si>
  <si>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</si>
  <si>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</si>
  <si>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</si>
  <si>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</si>
  <si>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</si>
  <si>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</si>
  <si>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</si>
  <si>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</si>
  <si>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</si>
  <si>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</si>
  <si>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</si>
  <si>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</si>
  <si>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</si>
  <si>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</si>
  <si>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</si>
  <si>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</si>
  <si>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</si>
  <si>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</si>
  <si>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</si>
  <si>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</si>
  <si>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</si>
  <si>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</si>
  <si>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</si>
  <si>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</si>
  <si>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</si>
  <si>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</si>
  <si>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</si>
  <si>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</si>
  <si>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</si>
  <si>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12009</t>
  </si>
  <si>
    <t>DUFFEL</t>
  </si>
  <si>
    <t>Paarden&amp;pony's 200 - 600 kg</t>
  </si>
  <si>
    <t>Paarden&amp;pony's &lt; 200 kg</t>
  </si>
  <si>
    <t>vloeibaar gas (MWh)</t>
  </si>
  <si>
    <t>interne verbrandingsmotor</t>
  </si>
  <si>
    <t>WKK interne verbrandinsgmotor (gas)</t>
  </si>
  <si>
    <t>IMEA</t>
  </si>
  <si>
    <t>IVERLEK</t>
  </si>
  <si>
    <t>biomassa uit land- of bosbouw</t>
  </si>
  <si>
    <t>niet WKK interne verbrandingsmotor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</si>
</sst>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00DC8C3-EBA3-43DC-9C7B-269D1B6E8EF2}"/>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12009</v>
      </c>
      <c r="B6" s="384"/>
      <c r="C6" s="385"/>
    </row>
    <row r="7" spans="1:7" s="382" customFormat="1" ht="15.75" customHeight="1">
      <c r="A7" s="386" t="str">
        <f>txtMunicipality</f>
        <v>DUFFEL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0.20494227878004798</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0.20494227878004798</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6963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640</v>
      </c>
      <c r="C14" s="327"/>
      <c r="D14" s="327"/>
      <c r="E14" s="327"/>
      <c r="F14" s="327"/>
    </row>
    <row r="15" spans="1:6">
      <c r="A15" s="1258" t="s">
        <v>177</v>
      </c>
      <c r="B15" s="1259">
        <v>4</v>
      </c>
      <c r="C15" s="327"/>
      <c r="D15" s="327"/>
      <c r="E15" s="327"/>
      <c r="F15" s="327"/>
    </row>
    <row r="16" spans="1:6">
      <c r="A16" s="1258" t="s">
        <v>6</v>
      </c>
      <c r="B16" s="1259">
        <v>120</v>
      </c>
      <c r="C16" s="327"/>
      <c r="D16" s="327"/>
      <c r="E16" s="327"/>
      <c r="F16" s="327"/>
    </row>
    <row r="17" spans="1:6">
      <c r="A17" s="1258" t="s">
        <v>7</v>
      </c>
      <c r="B17" s="1259">
        <v>94</v>
      </c>
      <c r="C17" s="327"/>
      <c r="D17" s="327"/>
      <c r="E17" s="327"/>
      <c r="F17" s="327"/>
    </row>
    <row r="18" spans="1:6">
      <c r="A18" s="1258" t="s">
        <v>8</v>
      </c>
      <c r="B18" s="1259">
        <v>121</v>
      </c>
      <c r="C18" s="327"/>
      <c r="D18" s="327"/>
      <c r="E18" s="327"/>
      <c r="F18" s="327"/>
    </row>
    <row r="19" spans="1:6">
      <c r="A19" s="1258" t="s">
        <v>9</v>
      </c>
      <c r="B19" s="1259">
        <v>127</v>
      </c>
      <c r="C19" s="327"/>
      <c r="D19" s="327"/>
      <c r="E19" s="327"/>
      <c r="F19" s="327"/>
    </row>
    <row r="20" spans="1:6">
      <c r="A20" s="1258" t="s">
        <v>10</v>
      </c>
      <c r="B20" s="1259">
        <v>150</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176</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96</v>
      </c>
      <c r="C29" s="327"/>
      <c r="D29" s="327"/>
      <c r="E29" s="327"/>
      <c r="F29" s="327"/>
    </row>
    <row r="30" spans="1:6">
      <c r="A30" s="1253" t="s">
        <v>940</v>
      </c>
      <c r="B30" s="1261">
        <v>38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1184402.1553698599</v>
      </c>
    </row>
    <row r="37" spans="1:6">
      <c r="A37" s="1258" t="s">
        <v>24</v>
      </c>
      <c r="B37" s="1258" t="s">
        <v>27</v>
      </c>
      <c r="C37" s="1259">
        <v>0</v>
      </c>
      <c r="D37" s="1259">
        <v>0</v>
      </c>
      <c r="E37" s="1259">
        <v>0</v>
      </c>
      <c r="F37" s="1259">
        <v>0</v>
      </c>
    </row>
    <row r="38" spans="1:6">
      <c r="A38" s="1258" t="s">
        <v>24</v>
      </c>
      <c r="B38" s="1258" t="s">
        <v>28</v>
      </c>
      <c r="C38" s="1259">
        <v>1</v>
      </c>
      <c r="D38" s="1259">
        <v>41425764.363899998</v>
      </c>
      <c r="E38" s="1259">
        <v>3</v>
      </c>
      <c r="F38" s="1259">
        <v>40506.589033207798</v>
      </c>
    </row>
    <row r="39" spans="1:6">
      <c r="A39" s="1258" t="s">
        <v>29</v>
      </c>
      <c r="B39" s="1258" t="s">
        <v>30</v>
      </c>
      <c r="C39" s="1259">
        <v>5252</v>
      </c>
      <c r="D39" s="1259">
        <v>91780456.104908898</v>
      </c>
      <c r="E39" s="1259">
        <v>6852</v>
      </c>
      <c r="F39" s="1259">
        <v>28049831.2853783</v>
      </c>
    </row>
    <row r="40" spans="1:6">
      <c r="A40" s="1258" t="s">
        <v>29</v>
      </c>
      <c r="B40" s="1258" t="s">
        <v>28</v>
      </c>
      <c r="C40" s="1259">
        <v>0</v>
      </c>
      <c r="D40" s="1259">
        <v>0</v>
      </c>
      <c r="E40" s="1259">
        <v>0</v>
      </c>
      <c r="F40" s="1259">
        <v>0</v>
      </c>
    </row>
    <row r="41" spans="1:6">
      <c r="A41" s="1258" t="s">
        <v>31</v>
      </c>
      <c r="B41" s="1258" t="s">
        <v>32</v>
      </c>
      <c r="C41" s="1259">
        <v>38</v>
      </c>
      <c r="D41" s="1259">
        <v>760985.11063513404</v>
      </c>
      <c r="E41" s="1259">
        <v>76</v>
      </c>
      <c r="F41" s="1259">
        <v>828311.89959128096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212286.00025327899</v>
      </c>
      <c r="E44" s="1259">
        <v>12</v>
      </c>
      <c r="F44" s="1259">
        <v>442248.77561766002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6</v>
      </c>
      <c r="F47" s="1259">
        <v>73380888.408020005</v>
      </c>
    </row>
    <row r="48" spans="1:6">
      <c r="A48" s="1258" t="s">
        <v>31</v>
      </c>
      <c r="B48" s="1258" t="s">
        <v>28</v>
      </c>
      <c r="C48" s="1259">
        <v>38</v>
      </c>
      <c r="D48" s="1259">
        <v>382632405.57389802</v>
      </c>
      <c r="E48" s="1259">
        <v>44</v>
      </c>
      <c r="F48" s="1259">
        <v>15172496.049834101</v>
      </c>
    </row>
    <row r="49" spans="1:6">
      <c r="A49" s="1258" t="s">
        <v>31</v>
      </c>
      <c r="B49" s="1258" t="s">
        <v>39</v>
      </c>
      <c r="C49" s="1259">
        <v>0</v>
      </c>
      <c r="D49" s="1259">
        <v>0</v>
      </c>
      <c r="E49" s="1259">
        <v>0</v>
      </c>
      <c r="F49" s="1259">
        <v>0</v>
      </c>
    </row>
    <row r="50" spans="1:6">
      <c r="A50" s="1258" t="s">
        <v>31</v>
      </c>
      <c r="B50" s="1258" t="s">
        <v>40</v>
      </c>
      <c r="C50" s="1259">
        <v>7</v>
      </c>
      <c r="D50" s="1259">
        <v>188566.32651586199</v>
      </c>
      <c r="E50" s="1259">
        <v>8</v>
      </c>
      <c r="F50" s="1259">
        <v>448699.66725517798</v>
      </c>
    </row>
    <row r="51" spans="1:6">
      <c r="A51" s="1258" t="s">
        <v>41</v>
      </c>
      <c r="B51" s="1258" t="s">
        <v>42</v>
      </c>
      <c r="C51" s="1259">
        <v>26</v>
      </c>
      <c r="D51" s="1259">
        <v>286343997.57913399</v>
      </c>
      <c r="E51" s="1259">
        <v>78</v>
      </c>
      <c r="F51" s="1259">
        <v>2026977.6229458901</v>
      </c>
    </row>
    <row r="52" spans="1:6">
      <c r="A52" s="1258" t="s">
        <v>41</v>
      </c>
      <c r="B52" s="1258" t="s">
        <v>28</v>
      </c>
      <c r="C52" s="1259">
        <v>7</v>
      </c>
      <c r="D52" s="1259">
        <v>12955739.921715301</v>
      </c>
      <c r="E52" s="1259">
        <v>10</v>
      </c>
      <c r="F52" s="1259">
        <v>6464631.7568520699</v>
      </c>
    </row>
    <row r="53" spans="1:6">
      <c r="A53" s="1258" t="s">
        <v>43</v>
      </c>
      <c r="B53" s="1258" t="s">
        <v>44</v>
      </c>
      <c r="C53" s="1259">
        <v>82</v>
      </c>
      <c r="D53" s="1259">
        <v>4193442.0659802901</v>
      </c>
      <c r="E53" s="1259">
        <v>149</v>
      </c>
      <c r="F53" s="1259">
        <v>798231.87806323695</v>
      </c>
    </row>
    <row r="54" spans="1:6">
      <c r="A54" s="1258" t="s">
        <v>45</v>
      </c>
      <c r="B54" s="1258" t="s">
        <v>46</v>
      </c>
      <c r="C54" s="1259">
        <v>0</v>
      </c>
      <c r="D54" s="1259">
        <v>0</v>
      </c>
      <c r="E54" s="1259">
        <v>1</v>
      </c>
      <c r="F54" s="1259">
        <v>1270859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53</v>
      </c>
      <c r="D57" s="1259">
        <v>5945794.6364821196</v>
      </c>
      <c r="E57" s="1259">
        <v>118</v>
      </c>
      <c r="F57" s="1259">
        <v>15363185.383367799</v>
      </c>
    </row>
    <row r="58" spans="1:6">
      <c r="A58" s="1258" t="s">
        <v>48</v>
      </c>
      <c r="B58" s="1258" t="s">
        <v>50</v>
      </c>
      <c r="C58" s="1259">
        <v>39</v>
      </c>
      <c r="D58" s="1259">
        <v>20994073.558707502</v>
      </c>
      <c r="E58" s="1259">
        <v>45</v>
      </c>
      <c r="F58" s="1259">
        <v>7597353.0274015097</v>
      </c>
    </row>
    <row r="59" spans="1:6">
      <c r="A59" s="1258" t="s">
        <v>48</v>
      </c>
      <c r="B59" s="1258" t="s">
        <v>51</v>
      </c>
      <c r="C59" s="1259">
        <v>77</v>
      </c>
      <c r="D59" s="1259">
        <v>2333112.4619030398</v>
      </c>
      <c r="E59" s="1259">
        <v>137</v>
      </c>
      <c r="F59" s="1259">
        <v>3164484.33225697</v>
      </c>
    </row>
    <row r="60" spans="1:6">
      <c r="A60" s="1258" t="s">
        <v>48</v>
      </c>
      <c r="B60" s="1258" t="s">
        <v>52</v>
      </c>
      <c r="C60" s="1259">
        <v>40</v>
      </c>
      <c r="D60" s="1259">
        <v>2172255.2746288199</v>
      </c>
      <c r="E60" s="1259">
        <v>50</v>
      </c>
      <c r="F60" s="1259">
        <v>1205773.7897489001</v>
      </c>
    </row>
    <row r="61" spans="1:6">
      <c r="A61" s="1258" t="s">
        <v>48</v>
      </c>
      <c r="B61" s="1258" t="s">
        <v>53</v>
      </c>
      <c r="C61" s="1259">
        <v>101</v>
      </c>
      <c r="D61" s="1259">
        <v>4197958.2782385899</v>
      </c>
      <c r="E61" s="1259">
        <v>202</v>
      </c>
      <c r="F61" s="1259">
        <v>2823994.8941713101</v>
      </c>
    </row>
    <row r="62" spans="1:6">
      <c r="A62" s="1258" t="s">
        <v>48</v>
      </c>
      <c r="B62" s="1258" t="s">
        <v>54</v>
      </c>
      <c r="C62" s="1259">
        <v>0</v>
      </c>
      <c r="D62" s="1259">
        <v>0</v>
      </c>
      <c r="E62" s="1259">
        <v>3</v>
      </c>
      <c r="F62" s="1259">
        <v>96502.6029844882</v>
      </c>
    </row>
    <row r="63" spans="1:6">
      <c r="A63" s="1258" t="s">
        <v>48</v>
      </c>
      <c r="B63" s="1258" t="s">
        <v>28</v>
      </c>
      <c r="C63" s="1259">
        <v>74</v>
      </c>
      <c r="D63" s="1259">
        <v>8727824.3508753795</v>
      </c>
      <c r="E63" s="1259">
        <v>104</v>
      </c>
      <c r="F63" s="1259">
        <v>3621586.5495334398</v>
      </c>
    </row>
    <row r="64" spans="1:6">
      <c r="A64" s="1258" t="s">
        <v>55</v>
      </c>
      <c r="B64" s="1258" t="s">
        <v>56</v>
      </c>
      <c r="C64" s="1259">
        <v>0</v>
      </c>
      <c r="D64" s="1259">
        <v>0</v>
      </c>
      <c r="E64" s="1259">
        <v>0</v>
      </c>
      <c r="F64" s="1259">
        <v>0</v>
      </c>
    </row>
    <row r="65" spans="1:6">
      <c r="A65" s="1258" t="s">
        <v>55</v>
      </c>
      <c r="B65" s="1258" t="s">
        <v>28</v>
      </c>
      <c r="C65" s="1259">
        <v>1</v>
      </c>
      <c r="D65" s="1259">
        <v>30738.614418789799</v>
      </c>
      <c r="E65" s="1259">
        <v>2</v>
      </c>
      <c r="F65" s="1259">
        <v>6921.326169336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58819.452704982301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30025920</v>
      </c>
      <c r="E73" s="445"/>
      <c r="F73" s="327"/>
    </row>
    <row r="74" spans="1:6">
      <c r="A74" s="1258" t="s">
        <v>63</v>
      </c>
      <c r="B74" s="1258" t="s">
        <v>724</v>
      </c>
      <c r="C74" s="1271" t="s">
        <v>718</v>
      </c>
      <c r="D74" s="1259">
        <v>2803321.8291207547</v>
      </c>
      <c r="E74" s="445"/>
      <c r="F74" s="327"/>
    </row>
    <row r="75" spans="1:6">
      <c r="A75" s="1258" t="s">
        <v>64</v>
      </c>
      <c r="B75" s="1258" t="s">
        <v>723</v>
      </c>
      <c r="C75" s="1271" t="s">
        <v>719</v>
      </c>
      <c r="D75" s="1259">
        <v>3287466</v>
      </c>
      <c r="E75" s="445"/>
      <c r="F75" s="327"/>
    </row>
    <row r="76" spans="1:6">
      <c r="A76" s="1258" t="s">
        <v>64</v>
      </c>
      <c r="B76" s="1258" t="s">
        <v>724</v>
      </c>
      <c r="C76" s="1271" t="s">
        <v>720</v>
      </c>
      <c r="D76" s="1259">
        <v>42201.829120754788</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389690.34175849042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1958.8409342790483</v>
      </c>
      <c r="C91" s="327"/>
      <c r="D91" s="327"/>
      <c r="E91" s="327"/>
      <c r="F91" s="327"/>
    </row>
    <row r="92" spans="1:6">
      <c r="A92" s="1253" t="s">
        <v>68</v>
      </c>
      <c r="B92" s="1254">
        <v>4270.7289774008859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3973</v>
      </c>
      <c r="C97" s="327"/>
      <c r="D97" s="327"/>
      <c r="E97" s="327"/>
      <c r="F97" s="327"/>
    </row>
    <row r="98" spans="1:6">
      <c r="A98" s="1258" t="s">
        <v>71</v>
      </c>
      <c r="B98" s="1259">
        <v>11</v>
      </c>
      <c r="C98" s="327"/>
      <c r="D98" s="327"/>
      <c r="E98" s="327"/>
      <c r="F98" s="327"/>
    </row>
    <row r="99" spans="1:6">
      <c r="A99" s="1258" t="s">
        <v>72</v>
      </c>
      <c r="B99" s="1259">
        <v>28</v>
      </c>
      <c r="C99" s="327"/>
      <c r="D99" s="327"/>
      <c r="E99" s="327"/>
      <c r="F99" s="327"/>
    </row>
    <row r="100" spans="1:6">
      <c r="A100" s="1258" t="s">
        <v>73</v>
      </c>
      <c r="B100" s="1259">
        <v>541</v>
      </c>
      <c r="C100" s="327"/>
      <c r="D100" s="327"/>
      <c r="E100" s="327"/>
      <c r="F100" s="327"/>
    </row>
    <row r="101" spans="1:6">
      <c r="A101" s="1258" t="s">
        <v>74</v>
      </c>
      <c r="B101" s="1259">
        <v>56</v>
      </c>
      <c r="C101" s="327"/>
      <c r="D101" s="327"/>
      <c r="E101" s="327"/>
      <c r="F101" s="327"/>
    </row>
    <row r="102" spans="1:6">
      <c r="A102" s="1258" t="s">
        <v>75</v>
      </c>
      <c r="B102" s="1259">
        <v>72</v>
      </c>
      <c r="C102" s="327"/>
      <c r="D102" s="327"/>
      <c r="E102" s="327"/>
      <c r="F102" s="327"/>
    </row>
    <row r="103" spans="1:6">
      <c r="A103" s="1258" t="s">
        <v>76</v>
      </c>
      <c r="B103" s="1259">
        <v>142</v>
      </c>
      <c r="C103" s="327"/>
      <c r="D103" s="327"/>
      <c r="E103" s="327"/>
      <c r="F103" s="327"/>
    </row>
    <row r="104" spans="1:6">
      <c r="A104" s="1258" t="s">
        <v>77</v>
      </c>
      <c r="B104" s="1259">
        <v>1380</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2</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38</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171743.32234832368</v>
      </c>
      <c r="C3" s="44" t="s">
        <v>163</v>
      </c>
      <c r="D3" s="44"/>
      <c r="E3" s="157"/>
      <c r="F3" s="44"/>
      <c r="G3" s="44"/>
      <c r="H3" s="44"/>
      <c r="I3" s="44"/>
      <c r="J3" s="44"/>
      <c r="K3" s="97"/>
    </row>
    <row r="4" spans="1:11">
      <c r="A4" s="352" t="s">
        <v>164</v>
      </c>
      <c r="B4" s="50">
        <f>IF(ISERROR('SEAP template'!B78+'SEAP template'!C78),0,'SEAP template'!B78+'SEAP template'!C78)</f>
        <v>102498.06991167994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19894.267058823531</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0.20494227878004798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28420.381512605043</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119590.71428571428</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1270.8589999999999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1270.8589999999999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0.20494227878004798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260.45273946813296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28049.831285378299</v>
      </c>
      <c r="C5" s="18">
        <f>IF(ISERROR('Eigen informatie GS &amp; warmtenet'!B57),0,'Eigen informatie GS &amp; warmtenet'!B57)</f>
        <v>0</v>
      </c>
      <c r="D5" s="31">
        <f>(SUM(HH_hh_gas_kWh,HH_rest_gas_kWh)/1000)*0.902</f>
        <v>82785.971406627825</v>
      </c>
      <c r="E5" s="18">
        <f>B32*B41</f>
        <v>1019.2296985978879</v>
      </c>
      <c r="F5" s="18">
        <f>B36*B45</f>
        <v>31073.354384883602</v>
      </c>
      <c r="G5" s="19"/>
      <c r="H5" s="18"/>
      <c r="I5" s="18"/>
      <c r="J5" s="18">
        <f>B35*B44+C35*C44</f>
        <v>563.81518793283044</v>
      </c>
      <c r="K5" s="18"/>
      <c r="L5" s="18"/>
      <c r="M5" s="18"/>
      <c r="N5" s="18">
        <f>B34*B43+C34*C43</f>
        <v>9618.086951993615</v>
      </c>
      <c r="O5" s="18">
        <f>B52*B53*B54</f>
        <v>129.75666666666669</v>
      </c>
      <c r="P5" s="18">
        <f>B60*B61*B62/1000-B60*B61*B62/1000/B63</f>
        <v>266.93333333333334</v>
      </c>
    </row>
    <row r="6" spans="1:16">
      <c r="A6" s="17" t="s">
        <v>597</v>
      </c>
      <c r="B6" s="731">
        <f>kWh_PV_kleiner_dan_10kW</f>
        <v>1958.8409342790483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30008.672219657346</v>
      </c>
      <c r="C8" s="22">
        <f>C5</f>
        <v>0</v>
      </c>
      <c r="D8" s="22">
        <f>D5</f>
        <v>82785.971406627825</v>
      </c>
      <c r="E8" s="22">
        <f>E5</f>
        <v>1019.2296985978879</v>
      </c>
      <c r="F8" s="22">
        <f>F5</f>
        <v>31073.354384883602</v>
      </c>
      <c r="G8" s="22"/>
      <c r="H8" s="22"/>
      <c r="I8" s="22"/>
      <c r="J8" s="22">
        <f>J5</f>
        <v>563.81518793283044</v>
      </c>
      <c r="K8" s="22"/>
      <c r="L8" s="22">
        <f>L5</f>
        <v>0</v>
      </c>
      <c r="M8" s="22">
        <f>M5</f>
        <v>0</v>
      </c>
      <c r="N8" s="22">
        <f>N5</f>
        <v>9618.086951993615</v>
      </c>
      <c r="O8" s="22">
        <f>O5</f>
        <v>129.75666666666669</v>
      </c>
      <c r="P8" s="22">
        <f>P5</f>
        <v>266.93333333333334</v>
      </c>
    </row>
    <row r="9" spans="1:16">
      <c r="B9" s="20"/>
      <c r="C9" s="20"/>
      <c r="D9" s="258"/>
      <c r="E9" s="20"/>
      <c r="F9" s="20"/>
      <c r="G9" s="20"/>
      <c r="H9" s="20"/>
      <c r="I9" s="20"/>
      <c r="J9" s="20"/>
      <c r="K9" s="20"/>
      <c r="L9" s="20"/>
      <c r="M9" s="20"/>
      <c r="N9" s="20"/>
      <c r="O9" s="20"/>
      <c r="P9" s="20"/>
    </row>
    <row r="10" spans="1:16">
      <c r="A10" s="25" t="s">
        <v>207</v>
      </c>
      <c r="B10" s="26">
        <f ca="1">'EF ele_warmte'!B12</f>
        <v>0.20494227878004798</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6150.0456678600967</v>
      </c>
      <c r="C12" s="24">
        <f ca="1">C10*C8</f>
        <v>0</v>
      </c>
      <c r="D12" s="24">
        <f>D8*D10</f>
        <v>16722.766224138821</v>
      </c>
      <c r="E12" s="24">
        <f>E10*E8</f>
        <v>231.36514158172056</v>
      </c>
      <c r="F12" s="24">
        <f>F10*F8</f>
        <v>8296.5856207639226</v>
      </c>
      <c r="G12" s="24"/>
      <c r="H12" s="24"/>
      <c r="I12" s="24"/>
      <c r="J12" s="24">
        <f>J10*J8</f>
        <v>199.59057652822196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6963</v>
      </c>
      <c r="C26" s="37"/>
      <c r="D26" s="228"/>
    </row>
    <row r="27" spans="1:5" s="16" customFormat="1">
      <c r="A27" s="230" t="s">
        <v>623</v>
      </c>
      <c r="B27" s="38">
        <f>SUM(HH_hh_gas_aantal,HH_rest_gas_aantal)</f>
        <v>5252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4989.3999999999996</v>
      </c>
      <c r="C31" s="35" t="s">
        <v>104</v>
      </c>
      <c r="D31" s="174"/>
    </row>
    <row r="32" spans="1:5">
      <c r="A32" s="171" t="s">
        <v>72</v>
      </c>
      <c r="B32" s="34">
        <f>IF((B21*($B$26-($B$27-0.05*$B$27)-$B$60))&lt;0,0,B21*($B$26-($B$27-0.05*$B$27)-$B$60))</f>
        <v>48.157817781775414</v>
      </c>
      <c r="C32" s="35" t="s">
        <v>104</v>
      </c>
      <c r="D32" s="174"/>
    </row>
    <row r="33" spans="1:6">
      <c r="A33" s="171" t="s">
        <v>73</v>
      </c>
      <c r="B33" s="34">
        <f>IF((B22*($B$26-($B$27-0.05*$B$27)-$B$60))&lt;0,0,B22*($B$26-($B$27-0.05*$B$27)-$B$60))</f>
        <v>324.15859506257414</v>
      </c>
      <c r="C33" s="35" t="s">
        <v>104</v>
      </c>
      <c r="D33" s="174"/>
    </row>
    <row r="34" spans="1:6">
      <c r="A34" s="171" t="s">
        <v>74</v>
      </c>
      <c r="B34" s="34">
        <f>IF((B24*($B$26-($B$27-0.05*$B$27)-$B$60))&lt;0,0,B24*($B$26-($B$27-0.05*$B$27)-$B$60))</f>
        <v>82.21345235194417</v>
      </c>
      <c r="C34" s="34">
        <f>B26*C24</f>
        <v>1423.9497075597501</v>
      </c>
      <c r="D34" s="233"/>
    </row>
    <row r="35" spans="1:6">
      <c r="A35" s="171" t="s">
        <v>76</v>
      </c>
      <c r="B35" s="34">
        <f>IF((B19*($B$26-($B$27-0.05*$B$27)-$B$60))&lt;0,0,B19*($B$26-($B$27-0.05*$B$27)-$B$60))</f>
        <v>30.564359865820222</v>
      </c>
      <c r="C35" s="34">
        <f>B35/2</f>
        <v>15.282179932910111</v>
      </c>
      <c r="D35" s="233"/>
    </row>
    <row r="36" spans="1:6">
      <c r="A36" s="171" t="s">
        <v>77</v>
      </c>
      <c r="B36" s="34">
        <f>IF((B18*($B$26-($B$27-0.05*$B$27)-$B$60))&lt;0,0,B18*($B$26-($B$27-0.05*$B$27)-$B$60))</f>
        <v>1474.5057749378859</v>
      </c>
      <c r="C36" s="35" t="s">
        <v>104</v>
      </c>
      <c r="D36" s="174"/>
    </row>
    <row r="37" spans="1:6">
      <c r="A37" s="171" t="s">
        <v>78</v>
      </c>
      <c r="B37" s="34">
        <f>B60</f>
        <v>14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33872.880579464414</v>
      </c>
      <c r="C5" s="18">
        <f>IF(ISERROR('Eigen informatie GS &amp; warmtenet'!B58),0,'Eigen informatie GS &amp; warmtenet'!B58)</f>
        <v>0</v>
      </c>
      <c r="D5" s="31">
        <f>SUM(D6:D12)</f>
        <v>40022.65874187358</v>
      </c>
      <c r="E5" s="18">
        <f>SUM(E6:E12)</f>
        <v>246.92034174510354</v>
      </c>
      <c r="F5" s="18">
        <f>SUM(F6:F12)</f>
        <v>8798.2404015691318</v>
      </c>
      <c r="G5" s="19"/>
      <c r="H5" s="18"/>
      <c r="I5" s="18"/>
      <c r="J5" s="18">
        <f>SUM(J6:J12)</f>
        <v>0</v>
      </c>
      <c r="K5" s="18"/>
      <c r="L5" s="18"/>
      <c r="M5" s="18"/>
      <c r="N5" s="18">
        <f>SUM(N6:N12)</f>
        <v>7600.39582269937</v>
      </c>
      <c r="O5" s="18">
        <f>B38*B39*B40</f>
        <v>0</v>
      </c>
      <c r="P5" s="18">
        <f>B46*B47*B48/1000-B46*B47*B48/1000/B49</f>
        <v>0</v>
      </c>
      <c r="R5" s="33"/>
    </row>
    <row r="6" spans="1:18">
      <c r="A6" s="33" t="s">
        <v>53</v>
      </c>
      <c r="B6" s="38">
        <f>B26</f>
        <v>2823.9948941713101</v>
      </c>
      <c r="C6" s="34"/>
      <c r="D6" s="38">
        <f>IF(ISERROR(TER_kantoor_gas_kWh/1000),0,TER_kantoor_gas_kWh/1000)*0.902</f>
        <v>3786.5583669712078</v>
      </c>
      <c r="E6" s="34">
        <f>$C$26*'E Balans VL '!I12/100/3.6*1000000</f>
        <v>4.6130805803935351</v>
      </c>
      <c r="F6" s="34">
        <f>$C$26*('E Balans VL '!L12+'E Balans VL '!N12)/100/3.6*1000000</f>
        <v>331.7686516992801</v>
      </c>
      <c r="G6" s="35"/>
      <c r="H6" s="34"/>
      <c r="I6" s="34"/>
      <c r="J6" s="34">
        <f>$C$26*('E Balans VL '!D12+'E Balans VL '!E12)/100/3.6*1000000</f>
        <v>0</v>
      </c>
      <c r="K6" s="34"/>
      <c r="L6" s="34"/>
      <c r="M6" s="34"/>
      <c r="N6" s="34">
        <f>$C$26*'E Balans VL '!Y12/100/3.6*1000000</f>
        <v>20.562294744700385</v>
      </c>
      <c r="O6" s="34"/>
      <c r="P6" s="34"/>
      <c r="R6" s="33"/>
    </row>
    <row r="7" spans="1:18">
      <c r="A7" s="33" t="s">
        <v>52</v>
      </c>
      <c r="B7" s="38">
        <f t="shared" ref="B7:B12" si="0">B27</f>
        <v>1205.7737897489001</v>
      </c>
      <c r="C7" s="34"/>
      <c r="D7" s="38">
        <f>IF(ISERROR(TER_horeca_gas_kWh/1000),0,TER_horeca_gas_kWh/1000)*0.902</f>
        <v>1959.3742577151954</v>
      </c>
      <c r="E7" s="34">
        <f>$C$27*'E Balans VL '!I9/100/3.6*1000000</f>
        <v>62.38305396244305</v>
      </c>
      <c r="F7" s="34">
        <f>$C$27*('E Balans VL '!L9+'E Balans VL '!N9)/100/3.6*1000000</f>
        <v>274.33224065840056</v>
      </c>
      <c r="G7" s="35"/>
      <c r="H7" s="34"/>
      <c r="I7" s="34"/>
      <c r="J7" s="34">
        <f>$C$27*('E Balans VL '!D9+'E Balans VL '!E9)/100/3.6*1000000</f>
        <v>0</v>
      </c>
      <c r="K7" s="34"/>
      <c r="L7" s="34"/>
      <c r="M7" s="34"/>
      <c r="N7" s="34">
        <f>$C$27*'E Balans VL '!Y9/100/3.6*1000000</f>
        <v>0.12694690538362344</v>
      </c>
      <c r="O7" s="34"/>
      <c r="P7" s="34"/>
      <c r="R7" s="33"/>
    </row>
    <row r="8" spans="1:18">
      <c r="A8" s="6" t="s">
        <v>51</v>
      </c>
      <c r="B8" s="38">
        <f t="shared" si="0"/>
        <v>3164.48433225697</v>
      </c>
      <c r="C8" s="34"/>
      <c r="D8" s="38">
        <f>IF(ISERROR(TER_handel_gas_kWh/1000),0,TER_handel_gas_kWh/1000)*0.902</f>
        <v>2104.4674406365421</v>
      </c>
      <c r="E8" s="34">
        <f>$C$28*'E Balans VL '!I13/100/3.6*1000000</f>
        <v>16.622232449541023</v>
      </c>
      <c r="F8" s="34">
        <f>$C$28*('E Balans VL '!L13+'E Balans VL '!N13)/100/3.6*1000000</f>
        <v>596.61127642092629</v>
      </c>
      <c r="G8" s="35"/>
      <c r="H8" s="34"/>
      <c r="I8" s="34"/>
      <c r="J8" s="34">
        <f>$C$28*('E Balans VL '!D13+'E Balans VL '!E13)/100/3.6*1000000</f>
        <v>0</v>
      </c>
      <c r="K8" s="34"/>
      <c r="L8" s="34"/>
      <c r="M8" s="34"/>
      <c r="N8" s="34">
        <f>$C$28*'E Balans VL '!Y13/100/3.6*1000000</f>
        <v>15.688070572848694</v>
      </c>
      <c r="O8" s="34"/>
      <c r="P8" s="34"/>
      <c r="R8" s="33"/>
    </row>
    <row r="9" spans="1:18">
      <c r="A9" s="33" t="s">
        <v>50</v>
      </c>
      <c r="B9" s="38">
        <f t="shared" si="0"/>
        <v>7597.3530274015093</v>
      </c>
      <c r="C9" s="34"/>
      <c r="D9" s="38">
        <f>IF(ISERROR(TER_gezond_gas_kWh/1000),0,TER_gezond_gas_kWh/1000)*0.902</f>
        <v>18936.654349954169</v>
      </c>
      <c r="E9" s="34">
        <f>$C$29*'E Balans VL '!I10/100/3.6*1000000</f>
        <v>6.7445007009709403</v>
      </c>
      <c r="F9" s="34">
        <f>$C$29*('E Balans VL '!L10+'E Balans VL '!N10)/100/3.6*1000000</f>
        <v>2361.3728426251441</v>
      </c>
      <c r="G9" s="35"/>
      <c r="H9" s="34"/>
      <c r="I9" s="34"/>
      <c r="J9" s="34">
        <f>$C$29*('E Balans VL '!D10+'E Balans VL '!E10)/100/3.6*1000000</f>
        <v>0</v>
      </c>
      <c r="K9" s="34"/>
      <c r="L9" s="34"/>
      <c r="M9" s="34"/>
      <c r="N9" s="34">
        <f>$C$29*'E Balans VL '!Y10/100/3.6*1000000</f>
        <v>58.643906529996983</v>
      </c>
      <c r="O9" s="34"/>
      <c r="P9" s="34"/>
      <c r="R9" s="33"/>
    </row>
    <row r="10" spans="1:18">
      <c r="A10" s="33" t="s">
        <v>49</v>
      </c>
      <c r="B10" s="38">
        <f t="shared" si="0"/>
        <v>15363.1853833678</v>
      </c>
      <c r="C10" s="34"/>
      <c r="D10" s="38">
        <f>IF(ISERROR(TER_ander_gas_kWh/1000),0,TER_ander_gas_kWh/1000)*0.902</f>
        <v>5363.1067621068714</v>
      </c>
      <c r="E10" s="34">
        <f>$C$30*'E Balans VL '!I14/100/3.6*1000000</f>
        <v>125.30882133956483</v>
      </c>
      <c r="F10" s="34">
        <f>$C$30*('E Balans VL '!L14+'E Balans VL '!N14)/100/3.6*1000000</f>
        <v>4478.0833043892253</v>
      </c>
      <c r="G10" s="35"/>
      <c r="H10" s="34"/>
      <c r="I10" s="34"/>
      <c r="J10" s="34">
        <f>$C$30*('E Balans VL '!D14+'E Balans VL '!E14)/100/3.6*1000000</f>
        <v>0</v>
      </c>
      <c r="K10" s="34"/>
      <c r="L10" s="34"/>
      <c r="M10" s="34"/>
      <c r="N10" s="34">
        <f>$C$30*'E Balans VL '!Y14/100/3.6*1000000</f>
        <v>7296.8282212309578</v>
      </c>
      <c r="O10" s="34"/>
      <c r="P10" s="34"/>
      <c r="R10" s="33"/>
    </row>
    <row r="11" spans="1:18">
      <c r="A11" s="33" t="s">
        <v>54</v>
      </c>
      <c r="B11" s="38">
        <f t="shared" si="0"/>
        <v>96.502602984488206</v>
      </c>
      <c r="C11" s="34"/>
      <c r="D11" s="38">
        <f>IF(ISERROR(TER_onderwijs_gas_kWh/1000),0,TER_onderwijs_gas_kWh/1000)*0.902</f>
        <v>0</v>
      </c>
      <c r="E11" s="34">
        <f>$C$31*'E Balans VL '!I11/100/3.6*1000000</f>
        <v>8.0508874280026066E-2</v>
      </c>
      <c r="F11" s="34">
        <f>$C$31*('E Balans VL '!L11+'E Balans VL '!N11)/100/3.6*1000000</f>
        <v>50.499943892662053</v>
      </c>
      <c r="G11" s="35"/>
      <c r="H11" s="34"/>
      <c r="I11" s="34"/>
      <c r="J11" s="34">
        <f>$C$31*('E Balans VL '!D11+'E Balans VL '!E11)/100/3.6*1000000</f>
        <v>0</v>
      </c>
      <c r="K11" s="34"/>
      <c r="L11" s="34"/>
      <c r="M11" s="34"/>
      <c r="N11" s="34">
        <f>$C$31*'E Balans VL '!Y11/100/3.6*1000000</f>
        <v>0.4248800175492346</v>
      </c>
      <c r="O11" s="34"/>
      <c r="P11" s="34"/>
      <c r="R11" s="33"/>
    </row>
    <row r="12" spans="1:18">
      <c r="A12" s="33" t="s">
        <v>249</v>
      </c>
      <c r="B12" s="38">
        <f t="shared" si="0"/>
        <v>3621.5865495334397</v>
      </c>
      <c r="C12" s="34"/>
      <c r="D12" s="38">
        <f>IF(ISERROR(TER_rest_gas_kWh/1000),0,TER_rest_gas_kWh/1000)*0.902</f>
        <v>7872.4975644895931</v>
      </c>
      <c r="E12" s="34">
        <f>$C$32*'E Balans VL '!I8/100/3.6*1000000</f>
        <v>31.168143837910161</v>
      </c>
      <c r="F12" s="34">
        <f>$C$32*('E Balans VL '!L8+'E Balans VL '!N8)/100/3.6*1000000</f>
        <v>705.57214188349212</v>
      </c>
      <c r="G12" s="35"/>
      <c r="H12" s="34"/>
      <c r="I12" s="34"/>
      <c r="J12" s="34">
        <f>$C$32*('E Balans VL '!D8+'E Balans VL '!E8)/100/3.6*1000000</f>
        <v>0</v>
      </c>
      <c r="K12" s="34"/>
      <c r="L12" s="34"/>
      <c r="M12" s="34"/>
      <c r="N12" s="34">
        <f>$C$32*'E Balans VL '!Y8/100/3.6*1000000</f>
        <v>208.12150269793381</v>
      </c>
      <c r="O12" s="34"/>
      <c r="P12" s="34"/>
      <c r="R12" s="33"/>
    </row>
    <row r="13" spans="1:18">
      <c r="A13" s="17" t="s">
        <v>488</v>
      </c>
      <c r="B13" s="246">
        <f ca="1">'lokale energieproductie'!N47+'lokale energieproductie'!N40</f>
        <v>0</v>
      </c>
      <c r="C13" s="246">
        <f ca="1">'lokale energieproductie'!O47+'lokale energieproductie'!O40</f>
        <v>0</v>
      </c>
      <c r="D13" s="305">
        <f ca="1">('lokale energieproductie'!P40+'lokale energieproductie'!P47)*(-1)</f>
        <v>0</v>
      </c>
      <c r="E13" s="247"/>
      <c r="F13" s="305">
        <f ca="1">('lokale energieproductie'!S40+'lokale energieproductie'!S47)*(-1)</f>
        <v>0</v>
      </c>
      <c r="G13" s="248"/>
      <c r="H13" s="247"/>
      <c r="I13" s="247"/>
      <c r="J13" s="247"/>
      <c r="K13" s="247"/>
      <c r="L13" s="305">
        <f ca="1">('lokale energieproductie'!U40+'lokale energieproductie'!T40+'lokale energieproductie'!U47+'lokale energieproductie'!T47)*(-1)</f>
        <v>0</v>
      </c>
      <c r="M13" s="247"/>
      <c r="N13" s="305">
        <f ca="1">('lokale energieproductie'!Q40+'lokale energieproductie'!R40+'lokale energieproductie'!V40+'lokale energieproductie'!Q47+'lokale energieproductie'!R47+'lokale energieproductie'!V47)*(-1)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33872.880579464414</v>
      </c>
      <c r="C16" s="22">
        <f t="shared" ca="1" si="1"/>
        <v>0</v>
      </c>
      <c r="D16" s="22">
        <f t="shared" ca="1" si="1"/>
        <v>40022.65874187358</v>
      </c>
      <c r="E16" s="22">
        <f t="shared" si="1"/>
        <v>246.92034174510354</v>
      </c>
      <c r="F16" s="22">
        <f t="shared" ca="1" si="1"/>
        <v>8798.2404015691318</v>
      </c>
      <c r="G16" s="22">
        <f t="shared" si="1"/>
        <v>0</v>
      </c>
      <c r="H16" s="22">
        <f t="shared" si="1"/>
        <v>0</v>
      </c>
      <c r="I16" s="22">
        <f t="shared" si="1"/>
        <v>0</v>
      </c>
      <c r="J16" s="22">
        <f t="shared" si="1"/>
        <v>0</v>
      </c>
      <c r="K16" s="22">
        <f t="shared" si="1"/>
        <v>0</v>
      </c>
      <c r="L16" s="22">
        <f t="shared" ca="1" si="1"/>
        <v>0</v>
      </c>
      <c r="M16" s="22">
        <f t="shared" si="1"/>
        <v>0</v>
      </c>
      <c r="N16" s="22">
        <f t="shared" ca="1" si="1"/>
        <v>7600.39582269937</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0.20494227878004798</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6941.9853347998687</v>
      </c>
      <c r="C20" s="24">
        <f t="shared" ref="C20:P20" ca="1" si="2">C16*C18</f>
        <v>0</v>
      </c>
      <c r="D20" s="24">
        <f t="shared" ca="1" si="2"/>
        <v>8084.5770658584634</v>
      </c>
      <c r="E20" s="24">
        <f t="shared" si="2"/>
        <v>56.050917576138502</v>
      </c>
      <c r="F20" s="24">
        <f t="shared" ca="1" si="2"/>
        <v>2349.1301872189583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2823.9948941713101</v>
      </c>
      <c r="C26" s="40">
        <f>IF(ISERROR(B26*3.6/1000000/'E Balans VL '!Z12*100),0,B26*3.6/1000000/'E Balans VL '!Z12*100)</f>
        <v>5.9854730920620949E-2</v>
      </c>
      <c r="D26" s="236" t="s">
        <v>660</v>
      </c>
      <c r="F26" s="6"/>
    </row>
    <row r="27" spans="1:18">
      <c r="A27" s="231" t="s">
        <v>52</v>
      </c>
      <c r="B27" s="34">
        <f>IF(ISERROR(TER_horeca_ele_kWh/1000),0,TER_horeca_ele_kWh/1000)</f>
        <v>1205.7737897489001</v>
      </c>
      <c r="C27" s="40">
        <f>IF(ISERROR(B27*3.6/1000000/'E Balans VL '!Z9*100),0,B27*3.6/1000000/'E Balans VL '!Z9*100)</f>
        <v>9.4618811466054761E-2</v>
      </c>
      <c r="D27" s="236" t="s">
        <v>660</v>
      </c>
      <c r="F27" s="6"/>
    </row>
    <row r="28" spans="1:18">
      <c r="A28" s="171" t="s">
        <v>51</v>
      </c>
      <c r="B28" s="34">
        <f>IF(ISERROR(TER_handel_ele_kWh/1000),0,TER_handel_ele_kWh/1000)</f>
        <v>3164.48433225697</v>
      </c>
      <c r="C28" s="40">
        <f>IF(ISERROR(B28*3.6/1000000/'E Balans VL '!Z13*100),0,B28*3.6/1000000/'E Balans VL '!Z13*100)</f>
        <v>8.8372797306771889E-2</v>
      </c>
      <c r="D28" s="236" t="s">
        <v>660</v>
      </c>
      <c r="F28" s="6"/>
    </row>
    <row r="29" spans="1:18">
      <c r="A29" s="231" t="s">
        <v>50</v>
      </c>
      <c r="B29" s="34">
        <f>IF(ISERROR(TER_gezond_ele_kWh/1000),0,TER_gezond_ele_kWh/1000)</f>
        <v>7597.3530274015093</v>
      </c>
      <c r="C29" s="40">
        <f>IF(ISERROR(B29*3.6/1000000/'E Balans VL '!Z10*100),0,B29*3.6/1000000/'E Balans VL '!Z10*100)</f>
        <v>0.87065154806576384</v>
      </c>
      <c r="D29" s="236" t="s">
        <v>660</v>
      </c>
      <c r="F29" s="6"/>
    </row>
    <row r="30" spans="1:18">
      <c r="A30" s="231" t="s">
        <v>49</v>
      </c>
      <c r="B30" s="34">
        <f>IF(ISERROR(TER_ander_ele_kWh/1000),0,TER_ander_ele_kWh/1000)</f>
        <v>15363.1853833678</v>
      </c>
      <c r="C30" s="40">
        <f>IF(ISERROR(B30*3.6/1000000/'E Balans VL '!Z14*100),0,B30*3.6/1000000/'E Balans VL '!Z14*100)</f>
        <v>1.1455872964454792</v>
      </c>
      <c r="D30" s="236" t="s">
        <v>660</v>
      </c>
      <c r="F30" s="6"/>
    </row>
    <row r="31" spans="1:18">
      <c r="A31" s="231" t="s">
        <v>54</v>
      </c>
      <c r="B31" s="34">
        <f>IF(ISERROR(TER_onderwijs_ele_kWh/1000),0,TER_onderwijs_ele_kWh/1000)</f>
        <v>96.502602984488206</v>
      </c>
      <c r="C31" s="40">
        <f>IF(ISERROR(B31*3.6/1000000/'E Balans VL '!Z11*100),0,B31*3.6/1000000/'E Balans VL '!Z11*100)</f>
        <v>2.7580656770479366E-2</v>
      </c>
      <c r="D31" s="236" t="s">
        <v>660</v>
      </c>
    </row>
    <row r="32" spans="1:18">
      <c r="A32" s="231" t="s">
        <v>249</v>
      </c>
      <c r="B32" s="34">
        <f>IF(ISERROR(TER_rest_ele_kWh/1000),0,TER_rest_ele_kWh/1000)</f>
        <v>3621.5865495334397</v>
      </c>
      <c r="C32" s="40">
        <f>IF(ISERROR(B32*3.6/1000000/'E Balans VL '!Z8*100),0,B32*3.6/1000000/'E Balans VL '!Z8*100)</f>
        <v>2.983962071626935E-2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90272.644800318216</v>
      </c>
      <c r="C5" s="18">
        <f>IF(ISERROR('Eigen informatie GS &amp; warmtenet'!B59),0,'Eigen informatie GS &amp; warmtenet'!B59)</f>
        <v>0</v>
      </c>
      <c r="D5" s="31">
        <f>SUM(D6:D15)</f>
        <v>346182.40719619469</v>
      </c>
      <c r="E5" s="18">
        <f>SUM(E6:E15)</f>
        <v>2649.0219530230256</v>
      </c>
      <c r="F5" s="18">
        <f>SUM(F6:F15)</f>
        <v>15875.700795207367</v>
      </c>
      <c r="G5" s="19"/>
      <c r="H5" s="18"/>
      <c r="I5" s="18"/>
      <c r="J5" s="18">
        <f>SUM(J6:J15)</f>
        <v>83.631354508846471</v>
      </c>
      <c r="K5" s="18"/>
      <c r="L5" s="18"/>
      <c r="M5" s="18"/>
      <c r="N5" s="18">
        <f>SUM(N6:N15)</f>
        <v>27538.87585011778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442.24877561766004</v>
      </c>
      <c r="C8" s="34"/>
      <c r="D8" s="38">
        <f>IF( ISERROR(IND_metaal_Gas_kWH/1000),0,IND_metaal_Gas_kWH/1000)*0.902</f>
        <v>191.48197222845764</v>
      </c>
      <c r="E8" s="34">
        <f>C30*'E Balans VL '!I18/100/3.6*1000000</f>
        <v>4.02747990085693</v>
      </c>
      <c r="F8" s="34">
        <f>C30*'E Balans VL '!L18/100/3.6*1000000+C30*'E Balans VL '!N18/100/3.6*1000000</f>
        <v>58.329255009083354</v>
      </c>
      <c r="G8" s="35"/>
      <c r="H8" s="34"/>
      <c r="I8" s="34"/>
      <c r="J8" s="41">
        <f>C30*'E Balans VL '!D18/100/3.6*1000000+C30*'E Balans VL '!E18/100/3.6*1000000</f>
        <v>7.2522377980295518</v>
      </c>
      <c r="K8" s="34"/>
      <c r="L8" s="34"/>
      <c r="M8" s="34"/>
      <c r="N8" s="34">
        <f>C30*'E Balans VL '!Y18/100/3.6*1000000</f>
        <v>1.5198333589224438</v>
      </c>
      <c r="O8" s="34"/>
      <c r="P8" s="34"/>
      <c r="R8" s="33"/>
    </row>
    <row r="9" spans="1:18">
      <c r="A9" s="6" t="s">
        <v>32</v>
      </c>
      <c r="B9" s="38">
        <f t="shared" si="0"/>
        <v>828.31189959128096</v>
      </c>
      <c r="C9" s="34"/>
      <c r="D9" s="38">
        <f>IF( ISERROR(IND_andere_gas_kWh/1000),0,IND_andere_gas_kWh/1000)*0.902</f>
        <v>686.40856979289083</v>
      </c>
      <c r="E9" s="34">
        <f>C31*'E Balans VL '!I19/100/3.6*1000000</f>
        <v>4.7877665606127042</v>
      </c>
      <c r="F9" s="34">
        <f>C31*'E Balans VL '!L19/100/3.6*1000000+C31*'E Balans VL '!N19/100/3.6*1000000</f>
        <v>658.96197291628107</v>
      </c>
      <c r="G9" s="35"/>
      <c r="H9" s="34"/>
      <c r="I9" s="34"/>
      <c r="J9" s="41">
        <f>C31*'E Balans VL '!D19/100/3.6*1000000+C31*'E Balans VL '!E19/100/3.6*1000000</f>
        <v>7.834910507335123E-2</v>
      </c>
      <c r="K9" s="34"/>
      <c r="L9" s="34"/>
      <c r="M9" s="34"/>
      <c r="N9" s="34">
        <f>C31*'E Balans VL '!Y19/100/3.6*1000000</f>
        <v>62.75716149251528</v>
      </c>
      <c r="O9" s="34"/>
      <c r="P9" s="34"/>
      <c r="R9" s="33"/>
    </row>
    <row r="10" spans="1:18">
      <c r="A10" s="6" t="s">
        <v>40</v>
      </c>
      <c r="B10" s="38">
        <f t="shared" si="0"/>
        <v>448.69966725517799</v>
      </c>
      <c r="C10" s="34"/>
      <c r="D10" s="38">
        <f>IF( ISERROR(IND_voed_gas_kWh/1000),0,IND_voed_gas_kWh/1000)*0.902</f>
        <v>170.08682651730751</v>
      </c>
      <c r="E10" s="34">
        <f>C32*'E Balans VL '!I20/100/3.6*1000000</f>
        <v>4.4118915953427997</v>
      </c>
      <c r="F10" s="34">
        <f>C32*'E Balans VL '!L20/100/3.6*1000000+C32*'E Balans VL '!N20/100/3.6*1000000</f>
        <v>49.833954765882837</v>
      </c>
      <c r="G10" s="35"/>
      <c r="H10" s="34"/>
      <c r="I10" s="34"/>
      <c r="J10" s="41">
        <f>C32*'E Balans VL '!D20/100/3.6*1000000+C32*'E Balans VL '!E20/100/3.6*1000000</f>
        <v>1.7685290860446493E-3</v>
      </c>
      <c r="K10" s="34"/>
      <c r="L10" s="34"/>
      <c r="M10" s="34"/>
      <c r="N10" s="34">
        <f>C32*'E Balans VL '!Y20/100/3.6*1000000</f>
        <v>6.6441866191789147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73380.888408020008</v>
      </c>
      <c r="C13" s="34"/>
      <c r="D13" s="38">
        <f>IF( ISERROR(IND_papier_gas_kWh/1000),0,IND_papier_gas_kWh/1000)*0.902</f>
        <v>0</v>
      </c>
      <c r="E13" s="34">
        <f>C35*'E Balans VL '!I23/100/3.6*1000000</f>
        <v>2499.4594545866239</v>
      </c>
      <c r="F13" s="34">
        <f>C35*'E Balans VL '!L23/100/3.6*1000000+C35*'E Balans VL '!N23/100/3.6*1000000</f>
        <v>12120.800552625571</v>
      </c>
      <c r="G13" s="35"/>
      <c r="H13" s="34"/>
      <c r="I13" s="34"/>
      <c r="J13" s="41">
        <f>C35*'E Balans VL '!D23/100/3.6*1000000+C35*'E Balans VL '!E23/100/3.6*1000000</f>
        <v>0</v>
      </c>
      <c r="K13" s="34"/>
      <c r="L13" s="34"/>
      <c r="M13" s="34"/>
      <c r="N13" s="34">
        <f>C35*'E Balans VL '!Y23/100/3.6*1000000</f>
        <v>27002.199011277742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15172.496049834101</v>
      </c>
      <c r="C15" s="34"/>
      <c r="D15" s="38">
        <f>IF( ISERROR(IND_rest_gas_kWh/1000),0,IND_rest_gas_kWh/1000)*0.902</f>
        <v>345134.42982765601</v>
      </c>
      <c r="E15" s="34">
        <f>C37*'E Balans VL '!I15/100/3.6*1000000</f>
        <v>136.3353603795893</v>
      </c>
      <c r="F15" s="34">
        <f>C37*'E Balans VL '!L15/100/3.6*1000000+C37*'E Balans VL '!N15/100/3.6*1000000</f>
        <v>2987.7750598905495</v>
      </c>
      <c r="G15" s="35"/>
      <c r="H15" s="34"/>
      <c r="I15" s="34"/>
      <c r="J15" s="41">
        <f>C37*'E Balans VL '!D15/100/3.6*1000000+C37*'E Balans VL '!E15/100/3.6*1000000</f>
        <v>76.298999076657523</v>
      </c>
      <c r="K15" s="34"/>
      <c r="L15" s="34"/>
      <c r="M15" s="34"/>
      <c r="N15" s="34">
        <f>C37*'E Balans VL '!Y15/100/3.6*1000000</f>
        <v>465.75565736941826</v>
      </c>
      <c r="O15" s="34"/>
      <c r="P15" s="34"/>
      <c r="R15" s="33"/>
    </row>
    <row r="16" spans="1:18">
      <c r="A16" s="17" t="s">
        <v>488</v>
      </c>
      <c r="B16" s="246">
        <f>'lokale energieproductie'!N46+'lokale energieproductie'!N39</f>
        <v>7020</v>
      </c>
      <c r="C16" s="246">
        <f>'lokale energieproductie'!O46+'lokale energieproductie'!O39</f>
        <v>10028.571428571429</v>
      </c>
      <c r="D16" s="305">
        <f>('lokale energieproductie'!P39+'lokale energieproductie'!P46)*(-1)</f>
        <v>-20057.142857142859</v>
      </c>
      <c r="E16" s="247"/>
      <c r="F16" s="305">
        <f>('lokale energieproductie'!S39+'lokale energieproductie'!S46)*(-1)</f>
        <v>0</v>
      </c>
      <c r="G16" s="248"/>
      <c r="H16" s="247"/>
      <c r="I16" s="247"/>
      <c r="J16" s="247"/>
      <c r="K16" s="247"/>
      <c r="L16" s="305">
        <f>('lokale energieproductie'!T39+'lokale energieproductie'!U39+'lokale energieproductie'!T46+'lokale energieproductie'!U46)*(-1)</f>
        <v>0</v>
      </c>
      <c r="M16" s="247"/>
      <c r="N16" s="305">
        <f>('lokale energieproductie'!Q39+'lokale energieproductie'!R39+'lokale energieproductie'!V39+'lokale energieproductie'!Q46+'lokale energieproductie'!R46+'lokale energieproductie'!V46)*(-1)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97292.644800318216</v>
      </c>
      <c r="C18" s="22">
        <f>C5+C16</f>
        <v>10028.571428571429</v>
      </c>
      <c r="D18" s="22">
        <f>MAX((D5+D16),0)</f>
        <v>326125.26433905185</v>
      </c>
      <c r="E18" s="22">
        <f>MAX((E5+E16),0)</f>
        <v>2649.0219530230256</v>
      </c>
      <c r="F18" s="22">
        <f>MAX((F5+F16),0)</f>
        <v>15875.700795207367</v>
      </c>
      <c r="G18" s="22"/>
      <c r="H18" s="22"/>
      <c r="I18" s="22"/>
      <c r="J18" s="22">
        <f>MAX((J5+J16),0)</f>
        <v>83.631354508846471</v>
      </c>
      <c r="K18" s="22"/>
      <c r="L18" s="22">
        <f>MAX((L5+L16),0)</f>
        <v>0</v>
      </c>
      <c r="M18" s="22"/>
      <c r="N18" s="22">
        <f>MAX((N5+N16),0)</f>
        <v>27538.87585011778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0.20494227878004798</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19939.376333915003</v>
      </c>
      <c r="C22" s="24">
        <f ca="1">C18*C20</f>
        <v>2383.2605042016812</v>
      </c>
      <c r="D22" s="24">
        <f>D18*D20</f>
        <v>65877.303396488482</v>
      </c>
      <c r="E22" s="24">
        <f>E18*E20</f>
        <v>601.32798333622679</v>
      </c>
      <c r="F22" s="24">
        <f>F18*F20</f>
        <v>4238.8121123203673</v>
      </c>
      <c r="G22" s="24"/>
      <c r="H22" s="24"/>
      <c r="I22" s="24"/>
      <c r="J22" s="24">
        <f>J18*J20</f>
        <v>29.60549949613165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442.24877561766004</v>
      </c>
      <c r="C30" s="40">
        <f>IF(ISERROR(B30*3.6/1000000/'E Balans VL '!Z18*100),0,B30*3.6/1000000/'E Balans VL '!Z18*100)</f>
        <v>2.460818707093302E-2</v>
      </c>
      <c r="D30" s="236" t="s">
        <v>660</v>
      </c>
    </row>
    <row r="31" spans="1:18">
      <c r="A31" s="6" t="s">
        <v>32</v>
      </c>
      <c r="B31" s="38">
        <f>IF( ISERROR(IND_ander_ele_kWh/1000),0,IND_ander_ele_kWh/1000)</f>
        <v>828.31189959128096</v>
      </c>
      <c r="C31" s="40">
        <f>IF(ISERROR(B31*3.6/1000000/'E Balans VL '!Z19*100),0,B31*3.6/1000000/'E Balans VL '!Z19*100)</f>
        <v>3.8506044814206754E-2</v>
      </c>
      <c r="D31" s="236" t="s">
        <v>660</v>
      </c>
    </row>
    <row r="32" spans="1:18">
      <c r="A32" s="171" t="s">
        <v>40</v>
      </c>
      <c r="B32" s="38">
        <f>IF( ISERROR(IND_voed_ele_kWh/1000),0,IND_voed_ele_kWh/1000)</f>
        <v>448.69966725517799</v>
      </c>
      <c r="C32" s="40">
        <f>IF(ISERROR(B32*3.6/1000000/'E Balans VL '!Z20*100),0,B32*3.6/1000000/'E Balans VL '!Z20*100)</f>
        <v>1.5860627050115091E-2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73380.888408020008</v>
      </c>
      <c r="C35" s="40">
        <f>IF(ISERROR(B35*3.6/1000000/'E Balans VL '!Z22*100),0,B35*3.6/1000000/'E Balans VL '!Z22*100)</f>
        <v>14.74748929886738</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15172.496049834101</v>
      </c>
      <c r="C37" s="40">
        <f>IF(ISERROR(B37*3.6/1000000/'E Balans VL '!Z15*100),0,B37*3.6/1000000/'E Balans VL '!Z15*100)</f>
        <v>0.11457475834211921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8491.6093797979593</v>
      </c>
      <c r="C5" s="18">
        <f>'Eigen informatie GS &amp; warmtenet'!B60</f>
        <v>0</v>
      </c>
      <c r="D5" s="31">
        <f>IF(ISERROR(SUM(LB_lb_gas_kWh,LB_rest_gas_kWh)/1000),0,SUM(LB_lb_gas_kWh,LB_rest_gas_kWh)/1000)*0.902</f>
        <v>269968.36322576605</v>
      </c>
      <c r="E5" s="18">
        <f>B17*'E Balans VL '!I25/3.6*1000000/100</f>
        <v>83.856188169794933</v>
      </c>
      <c r="F5" s="18">
        <f>B17*('E Balans VL '!L25/3.6*1000000+'E Balans VL '!N25/3.6*1000000)/100</f>
        <v>28330.25575360193</v>
      </c>
      <c r="G5" s="19"/>
      <c r="H5" s="18"/>
      <c r="I5" s="18"/>
      <c r="J5" s="18">
        <f>('E Balans VL '!D25+'E Balans VL '!E25)/3.6*1000000*landbouw!B17/100</f>
        <v>847.20487747230061</v>
      </c>
      <c r="K5" s="18"/>
      <c r="L5" s="18">
        <f>L6*(-1)</f>
        <v>0</v>
      </c>
      <c r="M5" s="18"/>
      <c r="N5" s="18">
        <f>N6*(-1)</f>
        <v>31387.5</v>
      </c>
      <c r="O5" s="18"/>
      <c r="P5" s="18"/>
      <c r="R5" s="33"/>
    </row>
    <row r="6" spans="1:18">
      <c r="A6" s="17" t="s">
        <v>488</v>
      </c>
      <c r="B6" s="18" t="s">
        <v>204</v>
      </c>
      <c r="C6" s="18">
        <f>'lokale energieproductie'!O48+'lokale energieproductie'!O41</f>
        <v>109562.14285714284</v>
      </c>
      <c r="D6" s="305">
        <f>('lokale energieproductie'!P41+'lokale energieproductie'!P48)*(-1)</f>
        <v>-219124.28571428574</v>
      </c>
      <c r="E6" s="247"/>
      <c r="F6" s="305">
        <f>('lokale energieproductie'!S41+'lokale energieproductie'!S48)*(-1)</f>
        <v>0</v>
      </c>
      <c r="G6" s="248"/>
      <c r="H6" s="247"/>
      <c r="I6" s="247"/>
      <c r="J6" s="247"/>
      <c r="K6" s="247"/>
      <c r="L6" s="305">
        <f>('lokale energieproductie'!T41+'lokale energieproductie'!U41+'lokale energieproductie'!T48+'lokale energieproductie'!U48)*(-1)</f>
        <v>0</v>
      </c>
      <c r="M6" s="247"/>
      <c r="N6" s="305">
        <f>('lokale energieproductie'!V41+'lokale energieproductie'!R41+'lokale energieproductie'!Q41+'lokale energieproductie'!Q48+'lokale energieproductie'!R48+'lokale energieproductie'!V48)*(-1)</f>
        <v>-31387.5</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8491.6093797979593</v>
      </c>
      <c r="C8" s="22">
        <f>C5+C6</f>
        <v>109562.14285714284</v>
      </c>
      <c r="D8" s="22">
        <f>MAX((D5+D6),0)</f>
        <v>50844.077511480311</v>
      </c>
      <c r="E8" s="22">
        <f>MAX((E5+E6),0)</f>
        <v>83.856188169794933</v>
      </c>
      <c r="F8" s="22">
        <f>MAX((F5+F6),0)</f>
        <v>28330.25575360193</v>
      </c>
      <c r="G8" s="22"/>
      <c r="H8" s="22"/>
      <c r="I8" s="22"/>
      <c r="J8" s="22">
        <f>MAX((J5+J6),0)</f>
        <v>847.20487747230061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0.20494227878004798</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1740.2897768058237</v>
      </c>
      <c r="C12" s="24">
        <f ca="1">C8*C10</f>
        <v>26037.121008403359</v>
      </c>
      <c r="D12" s="24">
        <f>D8*D10</f>
        <v>10270.503657319023</v>
      </c>
      <c r="E12" s="24">
        <f>E8*E10</f>
        <v>19.035354714543452</v>
      </c>
      <c r="F12" s="24">
        <f>F8*F10</f>
        <v>7564.1782862117161</v>
      </c>
      <c r="G12" s="24"/>
      <c r="H12" s="24"/>
      <c r="I12" s="24"/>
      <c r="J12" s="24">
        <f>J8*J10</f>
        <v>299.91052662519439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1.1496282184444031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40.889179483079737</v>
      </c>
      <c r="C26" s="246">
        <f>B26*'GWP N2O_CH4'!B5</f>
        <v>858.67276914467448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5.3206451078410373</v>
      </c>
      <c r="C27" s="246">
        <f>B27*'GWP N2O_CH4'!B5</f>
        <v>111.73354726466178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0.57758881665767892</v>
      </c>
      <c r="C28" s="246">
        <f>B28*'GWP N2O_CH4'!B4</f>
        <v>179.05253316388047</v>
      </c>
      <c r="D28" s="51"/>
    </row>
    <row r="29" spans="1:4">
      <c r="A29" s="42" t="s">
        <v>266</v>
      </c>
      <c r="B29" s="246">
        <f>B34*'ha_N2O bodem landbouw'!B4</f>
        <v>3.5298335066498989</v>
      </c>
      <c r="C29" s="246">
        <f>B29*'GWP N2O_CH4'!B4</f>
        <v>1094.2483870614687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9.5294392669478844E-4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4.8642241565229597E-6</v>
      </c>
      <c r="C5" s="433" t="s">
        <v>204</v>
      </c>
      <c r="D5" s="418">
        <f>SUM(D6:D11)</f>
        <v>5.8004551054747847E-6</v>
      </c>
      <c r="E5" s="418">
        <f>SUM(E6:E11)</f>
        <v>3.722035083059584E-4</v>
      </c>
      <c r="F5" s="431" t="s">
        <v>204</v>
      </c>
      <c r="G5" s="418">
        <f>SUM(G6:G11)</f>
        <v>8.5875696779762437E-2</v>
      </c>
      <c r="H5" s="418">
        <f>SUM(H6:H11)</f>
        <v>1.4856143492437244E-2</v>
      </c>
      <c r="I5" s="433" t="s">
        <v>204</v>
      </c>
      <c r="J5" s="433" t="s">
        <v>204</v>
      </c>
      <c r="K5" s="433" t="s">
        <v>204</v>
      </c>
      <c r="L5" s="433" t="s">
        <v>204</v>
      </c>
      <c r="M5" s="418">
        <f>SUM(M6:M11)</f>
        <v>4.5015880238589981E-3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4.2157382836470648E-6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4.8894894772729777E-6</v>
      </c>
      <c r="E6" s="421">
        <f>vkm_GW_PW*SUMIFS(TableVerdeelsleutelVkm[LPG],TableVerdeelsleutelVkm[Voertuigtype],"Lichte voertuigen")*SUMIFS(TableECFTransport[EnergieConsumptieFactor (PJ per km)],TableECFTransport[Index],CONCATENATE($A6,"_LPG_LPG"))</f>
        <v>3.1647868463955417E-4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4.9899746444819273E-2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1.2617814373482862E-2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2.7982902014089227E-3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1.640916670795384E-7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2.7144195569610927E-2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8.4594797536340497E-7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1.2078335390499891E-3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4.8192393341368029E-7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9.1096562820180717E-7</v>
      </c>
      <c r="E8" s="421">
        <f>vkm_NGW_PW*SUMIFS(TableVerdeelsleutelVkm[LPG],TableVerdeelsleutelVkm[Voertuigtype],"Lichte voertuigen")*SUMIFS(TableECFTransport[EnergieConsumptieFactor (PJ per km)],TableECFTransport[Index],CONCATENATE($A8,"_LPG_LPG"))</f>
        <v>5.5724823666404203E-5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8.3077438708777963E-3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2.2374677994022821E-3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4.7214744798776317E-4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2.4702723826762476E-9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5.2401089445444063E-4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1.5371576734614977E-8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2.3316835412323502E-5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1.3511733768119332</v>
      </c>
      <c r="C14" s="22"/>
      <c r="D14" s="22">
        <f t="shared" ref="D14:M14" si="0">((D5)*10^9/3600)+D12</f>
        <v>1.6112375292985512</v>
      </c>
      <c r="E14" s="22">
        <f t="shared" si="0"/>
        <v>103.38986341832178</v>
      </c>
      <c r="F14" s="22"/>
      <c r="G14" s="22">
        <f t="shared" si="0"/>
        <v>23854.360216600675</v>
      </c>
      <c r="H14" s="22">
        <f t="shared" si="0"/>
        <v>4126.706525677012</v>
      </c>
      <c r="I14" s="22"/>
      <c r="J14" s="22"/>
      <c r="K14" s="22"/>
      <c r="L14" s="22"/>
      <c r="M14" s="22">
        <f t="shared" si="0"/>
        <v>1250.4411177386105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0.20494227878004798</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0.27691255087077005</v>
      </c>
      <c r="C18" s="24"/>
      <c r="D18" s="24">
        <f t="shared" ref="D18:M18" si="1">D14*D16</f>
        <v>0.32546998091830737</v>
      </c>
      <c r="E18" s="24">
        <f t="shared" si="1"/>
        <v>23.469498995959047</v>
      </c>
      <c r="F18" s="24"/>
      <c r="G18" s="24">
        <f t="shared" si="1"/>
        <v>6369.1141778323808</v>
      </c>
      <c r="H18" s="24">
        <f t="shared" si="1"/>
        <v>1027.549924893576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2.5463943524486524E-5</v>
      </c>
      <c r="C50" s="316">
        <f t="shared" ref="C50:P50" si="2">SUM(C51:C52)</f>
        <v>0</v>
      </c>
      <c r="D50" s="316">
        <f t="shared" si="2"/>
        <v>0</v>
      </c>
      <c r="E50" s="316">
        <f t="shared" si="2"/>
        <v>0</v>
      </c>
      <c r="F50" s="316">
        <f t="shared" si="2"/>
        <v>0</v>
      </c>
      <c r="G50" s="316">
        <f t="shared" si="2"/>
        <v>5.0788338804607551E-3</v>
      </c>
      <c r="H50" s="316">
        <f t="shared" si="2"/>
        <v>0</v>
      </c>
      <c r="I50" s="316">
        <f t="shared" si="2"/>
        <v>0</v>
      </c>
      <c r="J50" s="316">
        <f t="shared" si="2"/>
        <v>0</v>
      </c>
      <c r="K50" s="316">
        <f t="shared" si="2"/>
        <v>0</v>
      </c>
      <c r="L50" s="316">
        <f t="shared" si="2"/>
        <v>0</v>
      </c>
      <c r="M50" s="316">
        <f t="shared" si="2"/>
        <v>2.2447904834027113E-4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2.5463943524486524E-5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5.0788338804607551E-3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2.2447904834027113E-4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7.0733176456907012</v>
      </c>
      <c r="C54" s="22">
        <f t="shared" ref="C54:P54" si="3">(C50)*10^9/3600</f>
        <v>0</v>
      </c>
      <c r="D54" s="22">
        <f t="shared" si="3"/>
        <v>0</v>
      </c>
      <c r="E54" s="22">
        <f t="shared" si="3"/>
        <v>0</v>
      </c>
      <c r="F54" s="22">
        <f t="shared" si="3"/>
        <v>0</v>
      </c>
      <c r="G54" s="22">
        <f t="shared" si="3"/>
        <v>1410.7871890168765</v>
      </c>
      <c r="H54" s="22">
        <f t="shared" si="3"/>
        <v>0</v>
      </c>
      <c r="I54" s="22">
        <f t="shared" si="3"/>
        <v>0</v>
      </c>
      <c r="J54" s="22">
        <f t="shared" si="3"/>
        <v>0</v>
      </c>
      <c r="K54" s="22">
        <f t="shared" si="3"/>
        <v>0</v>
      </c>
      <c r="L54" s="22">
        <f t="shared" si="3"/>
        <v>0</v>
      </c>
      <c r="M54" s="22">
        <f t="shared" si="3"/>
        <v>62.35529120563087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0.20494227878004798</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1.4496218368429763</v>
      </c>
      <c r="C58" s="24">
        <f t="shared" ref="C58:P58" ca="1" si="4">C54*C56</f>
        <v>0</v>
      </c>
      <c r="D58" s="24">
        <f t="shared" si="4"/>
        <v>0</v>
      </c>
      <c r="E58" s="24">
        <f t="shared" si="4"/>
        <v>0</v>
      </c>
      <c r="F58" s="24">
        <f t="shared" si="4"/>
        <v>0</v>
      </c>
      <c r="G58" s="24">
        <f t="shared" si="4"/>
        <v>376.68017946750604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60"/>
  <sheetViews>
    <sheetView showGridLines="0" topLeftCell="F1" zoomScale="65" zoomScaleNormal="65" workbookViewId="0">
      <selection activeCell="A28" sqref="A28:XFD38"/>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6229.5699116799342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N38</f>
        <v>83713.5</v>
      </c>
      <c r="C8" s="544">
        <f>B57</f>
        <v>98486.470588235301</v>
      </c>
      <c r="D8" s="931"/>
      <c r="E8" s="931">
        <f>E57</f>
        <v>0</v>
      </c>
      <c r="F8" s="932"/>
      <c r="G8" s="545"/>
      <c r="H8" s="931">
        <f>I57</f>
        <v>0</v>
      </c>
      <c r="I8" s="931">
        <f>G57+F57</f>
        <v>0</v>
      </c>
      <c r="J8" s="931">
        <f>H57+D57+C57</f>
        <v>0</v>
      </c>
      <c r="K8" s="931"/>
      <c r="L8" s="931"/>
      <c r="M8" s="931"/>
      <c r="N8" s="546"/>
      <c r="O8" s="547">
        <f>C8*$C$12+D8*$D$12+E8*$E$12+F8*$F$12+G8*$G$12+H8*$H$12+I8*$I$12+J8*$J$12</f>
        <v>19894.267058823531</v>
      </c>
      <c r="P8" s="1206"/>
      <c r="Q8" s="1207"/>
      <c r="S8" s="968"/>
      <c r="T8" s="1227"/>
      <c r="U8" s="1227"/>
    </row>
    <row r="9" spans="1:21" s="532" customFormat="1" ht="17.45" customHeight="1" thickBot="1">
      <c r="A9" s="548" t="s">
        <v>237</v>
      </c>
      <c r="B9" s="933">
        <f>N45+'Eigen informatie GS &amp; warmtenet'!B12</f>
        <v>12555</v>
      </c>
      <c r="C9" s="549">
        <f>P45+IF(ISERROR(('Eigen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S45+IF(ISERROR('Eigen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W45+IF(ISERROR('Eigen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(T45+U45)+IF(ISERROR('Eigen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V45+Q45+R45+IF(ISERROR('Eigen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31387.5</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102498.06991167994</v>
      </c>
      <c r="C10" s="556">
        <f t="shared" ref="C10:L10" si="0">SUM(C8:C9)</f>
        <v>98486.470588235301</v>
      </c>
      <c r="D10" s="556">
        <f t="shared" si="0"/>
        <v>0</v>
      </c>
      <c r="E10" s="556">
        <f t="shared" si="0"/>
        <v>0</v>
      </c>
      <c r="F10" s="556">
        <f t="shared" si="0"/>
        <v>0</v>
      </c>
      <c r="G10" s="556">
        <f t="shared" si="0"/>
        <v>0</v>
      </c>
      <c r="H10" s="556">
        <f t="shared" si="0"/>
        <v>0</v>
      </c>
      <c r="I10" s="556">
        <f t="shared" si="0"/>
        <v>0</v>
      </c>
      <c r="J10" s="556">
        <f t="shared" si="0"/>
        <v>31387.5</v>
      </c>
      <c r="K10" s="556">
        <f t="shared" si="0"/>
        <v>0</v>
      </c>
      <c r="L10" s="556">
        <f t="shared" si="0"/>
        <v>0</v>
      </c>
      <c r="M10" s="935"/>
      <c r="N10" s="935"/>
      <c r="O10" s="557">
        <f>SUM(O4:O9)</f>
        <v>19894.267058823531</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O38</f>
        <v>119590.71428571428</v>
      </c>
      <c r="C17" s="568">
        <f>B58</f>
        <v>140694.95798319328</v>
      </c>
      <c r="D17" s="569"/>
      <c r="E17" s="569">
        <f>E58</f>
        <v>0</v>
      </c>
      <c r="F17" s="570"/>
      <c r="G17" s="571"/>
      <c r="H17" s="568">
        <f>I58</f>
        <v>0</v>
      </c>
      <c r="I17" s="569">
        <f>G58+F58</f>
        <v>0</v>
      </c>
      <c r="J17" s="569">
        <f>H58+D58+C58</f>
        <v>0</v>
      </c>
      <c r="K17" s="569"/>
      <c r="L17" s="569"/>
      <c r="M17" s="569"/>
      <c r="N17" s="938"/>
      <c r="O17" s="572">
        <f>C17*$C$22+E17*$E$22+H17*$H$22+I17*$I$22+J17*$J$22+D17*$D$22+F17*$F$22+G17*$G$22+K17*$K$22+L17*$L$22</f>
        <v>28420.381512605043</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119590.71428571428</v>
      </c>
      <c r="C20" s="555">
        <f>SUM(C17:C19)</f>
        <v>140694.95798319328</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28420.381512605043</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12009</v>
      </c>
      <c r="C28" s="740">
        <v>2570</v>
      </c>
      <c r="D28" s="628"/>
      <c r="E28" s="627"/>
      <c r="F28" s="627"/>
      <c r="G28" s="627" t="s">
        <v>942</v>
      </c>
      <c r="H28" s="627" t="s">
        <v>943</v>
      </c>
      <c r="I28" s="627"/>
      <c r="J28" s="739"/>
      <c r="K28" s="739"/>
      <c r="L28" s="627" t="s">
        <v>944</v>
      </c>
      <c r="M28" s="627">
        <v>2000</v>
      </c>
      <c r="N28" s="627">
        <v>9000</v>
      </c>
      <c r="O28" s="627">
        <v>12857.142857142857</v>
      </c>
      <c r="P28" s="627">
        <v>25714.285714285717</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12009</v>
      </c>
      <c r="C29" s="740">
        <v>2570</v>
      </c>
      <c r="D29" s="628"/>
      <c r="E29" s="627"/>
      <c r="F29" s="627"/>
      <c r="G29" s="627" t="s">
        <v>942</v>
      </c>
      <c r="H29" s="627" t="s">
        <v>943</v>
      </c>
      <c r="I29" s="627"/>
      <c r="J29" s="739"/>
      <c r="K29" s="739"/>
      <c r="L29" s="627" t="s">
        <v>944</v>
      </c>
      <c r="M29" s="627">
        <v>1147</v>
      </c>
      <c r="N29" s="627">
        <v>5161.5</v>
      </c>
      <c r="O29" s="627">
        <v>7373.5714285714284</v>
      </c>
      <c r="P29" s="627">
        <v>14747.142857142859</v>
      </c>
      <c r="Q29" s="627">
        <v>0</v>
      </c>
      <c r="R29" s="627">
        <v>0</v>
      </c>
      <c r="S29" s="627">
        <v>0</v>
      </c>
      <c r="T29" s="627">
        <v>0</v>
      </c>
      <c r="U29" s="627">
        <v>0</v>
      </c>
      <c r="V29" s="627">
        <v>0</v>
      </c>
      <c r="W29" s="627"/>
      <c r="X29" s="627"/>
      <c r="Y29" s="627">
        <v>10</v>
      </c>
      <c r="Z29" s="627" t="s">
        <v>105</v>
      </c>
      <c r="AA29" s="629" t="s">
        <v>105</v>
      </c>
    </row>
    <row r="30" spans="1:27" s="581" customFormat="1" ht="25.5" hidden="1">
      <c r="A30" s="580"/>
      <c r="B30" s="740">
        <v>12009</v>
      </c>
      <c r="C30" s="740">
        <v>2570</v>
      </c>
      <c r="D30" s="628"/>
      <c r="E30" s="627"/>
      <c r="F30" s="627"/>
      <c r="G30" s="627" t="s">
        <v>942</v>
      </c>
      <c r="H30" s="627" t="s">
        <v>943</v>
      </c>
      <c r="I30" s="627"/>
      <c r="J30" s="739"/>
      <c r="K30" s="739"/>
      <c r="L30" s="627" t="s">
        <v>944</v>
      </c>
      <c r="M30" s="627">
        <v>1147</v>
      </c>
      <c r="N30" s="627">
        <v>5161.5</v>
      </c>
      <c r="O30" s="627">
        <v>7373.5714285714284</v>
      </c>
      <c r="P30" s="627">
        <v>14747.142857142859</v>
      </c>
      <c r="Q30" s="627">
        <v>0</v>
      </c>
      <c r="R30" s="627">
        <v>0</v>
      </c>
      <c r="S30" s="627">
        <v>0</v>
      </c>
      <c r="T30" s="627">
        <v>0</v>
      </c>
      <c r="U30" s="627">
        <v>0</v>
      </c>
      <c r="V30" s="627">
        <v>0</v>
      </c>
      <c r="W30" s="627"/>
      <c r="X30" s="627"/>
      <c r="Y30" s="627">
        <v>10</v>
      </c>
      <c r="Z30" s="627" t="s">
        <v>105</v>
      </c>
      <c r="AA30" s="629" t="s">
        <v>105</v>
      </c>
    </row>
    <row r="31" spans="1:27" s="581" customFormat="1" ht="25.5" hidden="1">
      <c r="A31" s="580"/>
      <c r="B31" s="740">
        <v>12009</v>
      </c>
      <c r="C31" s="740">
        <v>2570</v>
      </c>
      <c r="D31" s="628"/>
      <c r="E31" s="627"/>
      <c r="F31" s="627"/>
      <c r="G31" s="627" t="s">
        <v>942</v>
      </c>
      <c r="H31" s="627" t="s">
        <v>943</v>
      </c>
      <c r="I31" s="627"/>
      <c r="J31" s="739"/>
      <c r="K31" s="739"/>
      <c r="L31" s="627" t="s">
        <v>944</v>
      </c>
      <c r="M31" s="627">
        <v>2789</v>
      </c>
      <c r="N31" s="627">
        <v>12550.5</v>
      </c>
      <c r="O31" s="627">
        <v>17929.285714285714</v>
      </c>
      <c r="P31" s="627">
        <v>35858.571428571428</v>
      </c>
      <c r="Q31" s="627">
        <v>0</v>
      </c>
      <c r="R31" s="627">
        <v>0</v>
      </c>
      <c r="S31" s="627">
        <v>0</v>
      </c>
      <c r="T31" s="627">
        <v>0</v>
      </c>
      <c r="U31" s="627">
        <v>0</v>
      </c>
      <c r="V31" s="627">
        <v>0</v>
      </c>
      <c r="W31" s="627"/>
      <c r="X31" s="627"/>
      <c r="Y31" s="627">
        <v>10</v>
      </c>
      <c r="Z31" s="627" t="s">
        <v>105</v>
      </c>
      <c r="AA31" s="629" t="s">
        <v>105</v>
      </c>
    </row>
    <row r="32" spans="1:27" s="581" customFormat="1" ht="25.5" hidden="1">
      <c r="A32" s="580"/>
      <c r="B32" s="740">
        <v>12009</v>
      </c>
      <c r="C32" s="740">
        <v>2570</v>
      </c>
      <c r="D32" s="628"/>
      <c r="E32" s="627"/>
      <c r="F32" s="627"/>
      <c r="G32" s="627" t="s">
        <v>942</v>
      </c>
      <c r="H32" s="627" t="s">
        <v>943</v>
      </c>
      <c r="I32" s="627"/>
      <c r="J32" s="739"/>
      <c r="K32" s="739"/>
      <c r="L32" s="627" t="s">
        <v>944</v>
      </c>
      <c r="M32" s="627">
        <v>2000</v>
      </c>
      <c r="N32" s="627">
        <v>9000</v>
      </c>
      <c r="O32" s="627">
        <v>12857.142857142857</v>
      </c>
      <c r="P32" s="627">
        <v>25714.285714285717</v>
      </c>
      <c r="Q32" s="627">
        <v>0</v>
      </c>
      <c r="R32" s="627">
        <v>0</v>
      </c>
      <c r="S32" s="627">
        <v>0</v>
      </c>
      <c r="T32" s="627">
        <v>0</v>
      </c>
      <c r="U32" s="627">
        <v>0</v>
      </c>
      <c r="V32" s="627">
        <v>0</v>
      </c>
      <c r="W32" s="627"/>
      <c r="X32" s="627"/>
      <c r="Y32" s="627">
        <v>10</v>
      </c>
      <c r="Z32" s="627" t="s">
        <v>105</v>
      </c>
      <c r="AA32" s="629" t="s">
        <v>105</v>
      </c>
    </row>
    <row r="33" spans="1:27" s="581" customFormat="1" ht="25.5" hidden="1">
      <c r="A33" s="580"/>
      <c r="B33" s="740">
        <v>12009</v>
      </c>
      <c r="C33" s="740">
        <v>2570</v>
      </c>
      <c r="D33" s="628"/>
      <c r="E33" s="627"/>
      <c r="F33" s="627"/>
      <c r="G33" s="627" t="s">
        <v>942</v>
      </c>
      <c r="H33" s="627" t="s">
        <v>943</v>
      </c>
      <c r="I33" s="627"/>
      <c r="J33" s="739"/>
      <c r="K33" s="739"/>
      <c r="L33" s="627" t="s">
        <v>944</v>
      </c>
      <c r="M33" s="627">
        <v>2014</v>
      </c>
      <c r="N33" s="627">
        <v>9062.9999999999982</v>
      </c>
      <c r="O33" s="627">
        <v>12947.142857142855</v>
      </c>
      <c r="P33" s="627">
        <v>25894.28571428571</v>
      </c>
      <c r="Q33" s="627">
        <v>0</v>
      </c>
      <c r="R33" s="627">
        <v>0</v>
      </c>
      <c r="S33" s="627">
        <v>0</v>
      </c>
      <c r="T33" s="627">
        <v>0</v>
      </c>
      <c r="U33" s="627">
        <v>0</v>
      </c>
      <c r="V33" s="627">
        <v>0</v>
      </c>
      <c r="W33" s="627"/>
      <c r="X33" s="627"/>
      <c r="Y33" s="627">
        <v>10</v>
      </c>
      <c r="Z33" s="627" t="s">
        <v>105</v>
      </c>
      <c r="AA33" s="629" t="s">
        <v>105</v>
      </c>
    </row>
    <row r="34" spans="1:27" s="581" customFormat="1" ht="25.5" hidden="1">
      <c r="A34" s="580"/>
      <c r="B34" s="740">
        <v>12009</v>
      </c>
      <c r="C34" s="740">
        <v>2861</v>
      </c>
      <c r="D34" s="628"/>
      <c r="E34" s="627"/>
      <c r="F34" s="627"/>
      <c r="G34" s="627" t="s">
        <v>942</v>
      </c>
      <c r="H34" s="627" t="s">
        <v>943</v>
      </c>
      <c r="I34" s="627"/>
      <c r="J34" s="739"/>
      <c r="K34" s="739"/>
      <c r="L34" s="627" t="s">
        <v>945</v>
      </c>
      <c r="M34" s="627">
        <v>1400</v>
      </c>
      <c r="N34" s="627">
        <v>6300</v>
      </c>
      <c r="O34" s="627">
        <v>9000</v>
      </c>
      <c r="P34" s="627">
        <v>18000</v>
      </c>
      <c r="Q34" s="627">
        <v>0</v>
      </c>
      <c r="R34" s="627">
        <v>0</v>
      </c>
      <c r="S34" s="627">
        <v>0</v>
      </c>
      <c r="T34" s="627">
        <v>0</v>
      </c>
      <c r="U34" s="627">
        <v>0</v>
      </c>
      <c r="V34" s="627">
        <v>0</v>
      </c>
      <c r="W34" s="627"/>
      <c r="X34" s="627"/>
      <c r="Y34" s="627">
        <v>10</v>
      </c>
      <c r="Z34" s="627" t="s">
        <v>105</v>
      </c>
      <c r="AA34" s="629" t="s">
        <v>105</v>
      </c>
    </row>
    <row r="35" spans="1:27" s="581" customFormat="1" ht="25.5" hidden="1">
      <c r="A35" s="580"/>
      <c r="B35" s="740">
        <v>12009</v>
      </c>
      <c r="C35" s="740">
        <v>2570</v>
      </c>
      <c r="D35" s="628"/>
      <c r="E35" s="627"/>
      <c r="F35" s="627"/>
      <c r="G35" s="627" t="s">
        <v>942</v>
      </c>
      <c r="H35" s="627" t="s">
        <v>943</v>
      </c>
      <c r="I35" s="627"/>
      <c r="J35" s="739"/>
      <c r="K35" s="739"/>
      <c r="L35" s="627" t="s">
        <v>944</v>
      </c>
      <c r="M35" s="627">
        <v>1008</v>
      </c>
      <c r="N35" s="627">
        <v>4536</v>
      </c>
      <c r="O35" s="627">
        <v>6480</v>
      </c>
      <c r="P35" s="627">
        <v>12960</v>
      </c>
      <c r="Q35" s="627">
        <v>0</v>
      </c>
      <c r="R35" s="627">
        <v>0</v>
      </c>
      <c r="S35" s="627">
        <v>0</v>
      </c>
      <c r="T35" s="627">
        <v>0</v>
      </c>
      <c r="U35" s="627">
        <v>0</v>
      </c>
      <c r="V35" s="627">
        <v>0</v>
      </c>
      <c r="W35" s="627"/>
      <c r="X35" s="627"/>
      <c r="Y35" s="627">
        <v>10</v>
      </c>
      <c r="Z35" s="627" t="s">
        <v>105</v>
      </c>
      <c r="AA35" s="629" t="s">
        <v>105</v>
      </c>
    </row>
    <row r="36" spans="1:27" s="581" customFormat="1" ht="25.5" hidden="1">
      <c r="A36" s="580"/>
      <c r="B36" s="740">
        <v>12009</v>
      </c>
      <c r="C36" s="740">
        <v>2570</v>
      </c>
      <c r="D36" s="628"/>
      <c r="E36" s="627"/>
      <c r="F36" s="627"/>
      <c r="G36" s="627" t="s">
        <v>942</v>
      </c>
      <c r="H36" s="627" t="s">
        <v>943</v>
      </c>
      <c r="I36" s="627"/>
      <c r="J36" s="739"/>
      <c r="K36" s="739"/>
      <c r="L36" s="627" t="s">
        <v>944</v>
      </c>
      <c r="M36" s="627">
        <v>1560</v>
      </c>
      <c r="N36" s="627">
        <v>7020</v>
      </c>
      <c r="O36" s="627">
        <v>10028.571428571429</v>
      </c>
      <c r="P36" s="627">
        <v>20057.142857142859</v>
      </c>
      <c r="Q36" s="627">
        <v>0</v>
      </c>
      <c r="R36" s="627">
        <v>0</v>
      </c>
      <c r="S36" s="627">
        <v>0</v>
      </c>
      <c r="T36" s="627">
        <v>0</v>
      </c>
      <c r="U36" s="627">
        <v>0</v>
      </c>
      <c r="V36" s="627">
        <v>0</v>
      </c>
      <c r="W36" s="627"/>
      <c r="X36" s="627"/>
      <c r="Y36" s="627">
        <v>16000</v>
      </c>
      <c r="Z36" s="627" t="s">
        <v>32</v>
      </c>
      <c r="AA36" s="629" t="s">
        <v>378</v>
      </c>
    </row>
    <row r="37" spans="1:27" s="581" customFormat="1" ht="25.5" hidden="1">
      <c r="A37" s="580"/>
      <c r="B37" s="740">
        <v>12009</v>
      </c>
      <c r="C37" s="740">
        <v>2570</v>
      </c>
      <c r="D37" s="628"/>
      <c r="E37" s="627"/>
      <c r="F37" s="627"/>
      <c r="G37" s="627" t="s">
        <v>942</v>
      </c>
      <c r="H37" s="627" t="s">
        <v>943</v>
      </c>
      <c r="I37" s="627"/>
      <c r="J37" s="739"/>
      <c r="K37" s="739"/>
      <c r="L37" s="627" t="s">
        <v>944</v>
      </c>
      <c r="M37" s="627">
        <v>3538</v>
      </c>
      <c r="N37" s="627">
        <v>15921</v>
      </c>
      <c r="O37" s="627">
        <v>22744.285714285714</v>
      </c>
      <c r="P37" s="627">
        <v>45488.571428571435</v>
      </c>
      <c r="Q37" s="627">
        <v>0</v>
      </c>
      <c r="R37" s="627">
        <v>0</v>
      </c>
      <c r="S37" s="627">
        <v>0</v>
      </c>
      <c r="T37" s="627">
        <v>0</v>
      </c>
      <c r="U37" s="627">
        <v>0</v>
      </c>
      <c r="V37" s="627">
        <v>0</v>
      </c>
      <c r="W37" s="627"/>
      <c r="X37" s="627"/>
      <c r="Y37" s="627">
        <v>10</v>
      </c>
      <c r="Z37" s="627" t="s">
        <v>105</v>
      </c>
      <c r="AA37" s="629" t="s">
        <v>105</v>
      </c>
    </row>
    <row r="38" spans="1:27" s="563" customFormat="1" hidden="1">
      <c r="A38" s="583" t="s">
        <v>269</v>
      </c>
      <c r="B38" s="584"/>
      <c r="C38" s="584"/>
      <c r="D38" s="584"/>
      <c r="E38" s="584"/>
      <c r="F38" s="584"/>
      <c r="G38" s="584"/>
      <c r="H38" s="584"/>
      <c r="I38" s="584"/>
      <c r="J38" s="584"/>
      <c r="K38" s="584"/>
      <c r="L38" s="585"/>
      <c r="M38" s="585">
        <f>SUM(M28:M37)</f>
        <v>18603</v>
      </c>
      <c r="N38" s="585">
        <f>SUM(N28:N37)</f>
        <v>83713.5</v>
      </c>
      <c r="O38" s="585">
        <f>SUM(O28:O37)</f>
        <v>119590.71428571428</v>
      </c>
      <c r="P38" s="585">
        <f>SUM(P28:P37)</f>
        <v>239181.42857142858</v>
      </c>
      <c r="Q38" s="585">
        <f>SUM(Q28:Q37)</f>
        <v>0</v>
      </c>
      <c r="R38" s="585">
        <f>SUM(R28:R37)</f>
        <v>0</v>
      </c>
      <c r="S38" s="585">
        <f>SUM(S28:S37)</f>
        <v>0</v>
      </c>
      <c r="T38" s="585">
        <f>SUM(T28:T37)</f>
        <v>0</v>
      </c>
      <c r="U38" s="585">
        <f>SUM(U28:U37)</f>
        <v>0</v>
      </c>
      <c r="V38" s="585">
        <f>SUM(V28:V37)</f>
        <v>0</v>
      </c>
      <c r="W38" s="585">
        <f>SUM(W28:W37)</f>
        <v>0</v>
      </c>
      <c r="X38" s="585"/>
      <c r="Y38" s="586"/>
      <c r="Z38" s="586"/>
      <c r="AA38" s="587"/>
    </row>
    <row r="39" spans="1:27" s="563" customFormat="1">
      <c r="A39" s="583" t="s">
        <v>276</v>
      </c>
      <c r="B39" s="584"/>
      <c r="C39" s="584"/>
      <c r="D39" s="584"/>
      <c r="E39" s="584"/>
      <c r="F39" s="584"/>
      <c r="G39" s="584"/>
      <c r="H39" s="584"/>
      <c r="I39" s="584"/>
      <c r="J39" s="584"/>
      <c r="K39" s="584"/>
      <c r="L39" s="585"/>
      <c r="M39" s="585">
        <f>SUMIF($AA$28:$AA$37,"industrie",M28:M37)</f>
        <v>1560</v>
      </c>
      <c r="N39" s="585">
        <f>SUMIF($AA$28:$AA$37,"industrie",N28:N37)</f>
        <v>7020</v>
      </c>
      <c r="O39" s="585">
        <f>SUMIF($AA$28:$AA$37,"industrie",O28:O37)</f>
        <v>10028.571428571429</v>
      </c>
      <c r="P39" s="585">
        <f>SUMIF($AA$28:$AA$37,"industrie",P28:P37)</f>
        <v>20057.142857142859</v>
      </c>
      <c r="Q39" s="585">
        <f>SUMIF($AA$28:$AA$37,"industrie",Q28:Q37)</f>
        <v>0</v>
      </c>
      <c r="R39" s="585">
        <f>SUMIF($AA$28:$AA$37,"industrie",R28:R37)</f>
        <v>0</v>
      </c>
      <c r="S39" s="585">
        <f>SUMIF($AA$28:$AA$37,"industrie",S28:S37)</f>
        <v>0</v>
      </c>
      <c r="T39" s="585">
        <f>SUMIF($AA$28:$AA$37,"industrie",T28:T37)</f>
        <v>0</v>
      </c>
      <c r="U39" s="585">
        <f>SUMIF($AA$28:$AA$37,"industrie",U28:U37)</f>
        <v>0</v>
      </c>
      <c r="V39" s="585">
        <f>SUMIF($AA$28:$AA$37,"industrie",V28:V37)</f>
        <v>0</v>
      </c>
      <c r="W39" s="585">
        <f>SUMIF($AA$28:$AA$37,"industrie",W28:W37)</f>
        <v>0</v>
      </c>
      <c r="X39" s="585"/>
      <c r="Y39" s="586"/>
      <c r="Z39" s="586"/>
      <c r="AA39" s="587"/>
    </row>
    <row r="40" spans="1:27" s="563" customFormat="1">
      <c r="A40" s="583" t="s">
        <v>277</v>
      </c>
      <c r="B40" s="584"/>
      <c r="C40" s="584"/>
      <c r="D40" s="584"/>
      <c r="E40" s="584"/>
      <c r="F40" s="584"/>
      <c r="G40" s="584"/>
      <c r="H40" s="584"/>
      <c r="I40" s="584"/>
      <c r="J40" s="584"/>
      <c r="K40" s="584"/>
      <c r="L40" s="585"/>
      <c r="M40" s="585">
        <f ca="1">SUMIF($AA$28:AD37,"tertiair",M28:M37)</f>
        <v>0</v>
      </c>
      <c r="N40" s="585">
        <f ca="1">SUMIF($AA$28:AE37,"tertiair",N28:N37)</f>
        <v>0</v>
      </c>
      <c r="O40" s="585">
        <f ca="1">SUMIF($AA$28:AF37,"tertiair",O28:O37)</f>
        <v>0</v>
      </c>
      <c r="P40" s="585">
        <f ca="1">SUMIF($AA$28:AG37,"tertiair",P28:P37)</f>
        <v>0</v>
      </c>
      <c r="Q40" s="585">
        <f ca="1">SUMIF($AA$28:AH37,"tertiair",Q28:Q37)</f>
        <v>0</v>
      </c>
      <c r="R40" s="585">
        <f ca="1">SUMIF($AA$28:AI37,"tertiair",R28:R37)</f>
        <v>0</v>
      </c>
      <c r="S40" s="585">
        <f ca="1">SUMIF($AA$28:AJ37,"tertiair",S28:S37)</f>
        <v>0</v>
      </c>
      <c r="T40" s="585">
        <f ca="1">SUMIF($AA$28:AK37,"tertiair",T28:T37)</f>
        <v>0</v>
      </c>
      <c r="U40" s="585">
        <f ca="1">SUMIF($AA$28:AL37,"tertiair",U28:U37)</f>
        <v>0</v>
      </c>
      <c r="V40" s="585">
        <f ca="1">SUMIF($AA$28:AM37,"tertiair",V28:V37)</f>
        <v>0</v>
      </c>
      <c r="W40" s="585">
        <f ca="1">SUMIF($AA$28:AN37,"tertiair",W28:W37)</f>
        <v>0</v>
      </c>
      <c r="X40" s="585"/>
      <c r="Y40" s="586"/>
      <c r="Z40" s="586"/>
      <c r="AA40" s="587"/>
    </row>
    <row r="41" spans="1:27" s="563" customFormat="1" ht="15.75" thickBot="1">
      <c r="A41" s="588" t="s">
        <v>278</v>
      </c>
      <c r="B41" s="589"/>
      <c r="C41" s="589"/>
      <c r="D41" s="589"/>
      <c r="E41" s="589"/>
      <c r="F41" s="589"/>
      <c r="G41" s="589"/>
      <c r="H41" s="589"/>
      <c r="I41" s="589"/>
      <c r="J41" s="589"/>
      <c r="K41" s="589"/>
      <c r="L41" s="590"/>
      <c r="M41" s="590">
        <f>SUMIF($AA$28:$AA$37,"landbouw",M28:M37)</f>
        <v>17043</v>
      </c>
      <c r="N41" s="590">
        <f>SUMIF($AA$28:$AA$37,"landbouw",N28:N37)</f>
        <v>76693.5</v>
      </c>
      <c r="O41" s="590">
        <f>SUMIF($AA$28:$AA$37,"landbouw",O28:O37)</f>
        <v>109562.14285714284</v>
      </c>
      <c r="P41" s="590">
        <f>SUMIF($AA$28:$AA$37,"landbouw",P28:P37)</f>
        <v>219124.28571428574</v>
      </c>
      <c r="Q41" s="590">
        <f>SUMIF($AA$28:$AA$37,"landbouw",Q28:Q37)</f>
        <v>0</v>
      </c>
      <c r="R41" s="590">
        <f>SUMIF($AA$28:$AA$37,"landbouw",R28:R37)</f>
        <v>0</v>
      </c>
      <c r="S41" s="590">
        <f>SUMIF($AA$28:$AA$37,"landbouw",S28:S37)</f>
        <v>0</v>
      </c>
      <c r="T41" s="590">
        <f>SUMIF($AA$28:$AA$37,"landbouw",T28:T37)</f>
        <v>0</v>
      </c>
      <c r="U41" s="590">
        <f>SUMIF($AA$28:$AA$37,"landbouw",U28:U37)</f>
        <v>0</v>
      </c>
      <c r="V41" s="590">
        <f>SUMIF($AA$28:$AA$37,"landbouw",V28:V37)</f>
        <v>0</v>
      </c>
      <c r="W41" s="590">
        <f>SUMIF($AA$28:$AA$37,"landbouw",W28:W37)</f>
        <v>0</v>
      </c>
      <c r="X41" s="590"/>
      <c r="Y41" s="591"/>
      <c r="Z41" s="591"/>
      <c r="AA41" s="592"/>
    </row>
    <row r="42" spans="1:27" s="532" customFormat="1" ht="15.75" thickBot="1">
      <c r="A42" s="593"/>
      <c r="B42" s="594"/>
      <c r="C42" s="594"/>
      <c r="D42" s="594"/>
      <c r="E42" s="594"/>
      <c r="F42" s="594"/>
      <c r="G42" s="594"/>
      <c r="H42" s="594"/>
      <c r="I42" s="594"/>
      <c r="J42" s="594"/>
      <c r="K42" s="594"/>
      <c r="L42" s="577"/>
      <c r="M42" s="577"/>
      <c r="N42" s="577"/>
      <c r="O42" s="578"/>
      <c r="P42" s="578"/>
    </row>
    <row r="43" spans="1:27" s="532" customFormat="1" ht="45">
      <c r="A43" s="595" t="s">
        <v>270</v>
      </c>
      <c r="B43" s="624" t="s">
        <v>89</v>
      </c>
      <c r="C43" s="624" t="s">
        <v>90</v>
      </c>
      <c r="D43" s="624"/>
      <c r="E43" s="624"/>
      <c r="F43" s="624"/>
      <c r="G43" s="624" t="s">
        <v>91</v>
      </c>
      <c r="H43" s="624" t="s">
        <v>92</v>
      </c>
      <c r="I43" s="624"/>
      <c r="J43" s="624"/>
      <c r="K43" s="624"/>
      <c r="L43" s="624" t="s">
        <v>93</v>
      </c>
      <c r="M43" s="625" t="s">
        <v>287</v>
      </c>
      <c r="N43" s="625" t="s">
        <v>94</v>
      </c>
      <c r="O43" s="625" t="s">
        <v>95</v>
      </c>
      <c r="P43" s="625" t="s">
        <v>533</v>
      </c>
      <c r="Q43" s="625" t="s">
        <v>96</v>
      </c>
      <c r="R43" s="625" t="s">
        <v>97</v>
      </c>
      <c r="S43" s="625" t="s">
        <v>98</v>
      </c>
      <c r="T43" s="625" t="s">
        <v>99</v>
      </c>
      <c r="U43" s="625" t="s">
        <v>100</v>
      </c>
      <c r="V43" s="625" t="s">
        <v>101</v>
      </c>
      <c r="W43" s="624" t="s">
        <v>102</v>
      </c>
      <c r="X43" s="624" t="s">
        <v>941</v>
      </c>
      <c r="Y43" s="624" t="s">
        <v>288</v>
      </c>
      <c r="Z43" s="624" t="s">
        <v>103</v>
      </c>
      <c r="AA43" s="626" t="s">
        <v>289</v>
      </c>
    </row>
    <row r="44" spans="1:27" s="596" customFormat="1" ht="38.25" hidden="1">
      <c r="A44" s="582"/>
      <c r="B44" s="740">
        <v>12009</v>
      </c>
      <c r="C44" s="740">
        <v>2570</v>
      </c>
      <c r="D44" s="630"/>
      <c r="E44" s="630"/>
      <c r="F44" s="630"/>
      <c r="G44" s="630" t="s">
        <v>946</v>
      </c>
      <c r="H44" s="630" t="s">
        <v>947</v>
      </c>
      <c r="I44" s="630"/>
      <c r="J44" s="739"/>
      <c r="K44" s="739"/>
      <c r="L44" s="630" t="s">
        <v>944</v>
      </c>
      <c r="M44" s="630">
        <v>2790</v>
      </c>
      <c r="N44" s="630">
        <v>12555</v>
      </c>
      <c r="O44" s="630">
        <v>0</v>
      </c>
      <c r="P44" s="630">
        <v>0</v>
      </c>
      <c r="Q44" s="630">
        <v>0</v>
      </c>
      <c r="R44" s="630">
        <v>0</v>
      </c>
      <c r="S44" s="630">
        <v>0</v>
      </c>
      <c r="T44" s="630">
        <v>0</v>
      </c>
      <c r="U44" s="630">
        <v>0</v>
      </c>
      <c r="V44" s="630">
        <v>31387.5</v>
      </c>
      <c r="W44" s="630"/>
      <c r="X44" s="630"/>
      <c r="Y44" s="630">
        <v>10</v>
      </c>
      <c r="Z44" s="630" t="s">
        <v>105</v>
      </c>
      <c r="AA44" s="631" t="s">
        <v>105</v>
      </c>
    </row>
    <row r="45" spans="1:27" s="563" customFormat="1" hidden="1">
      <c r="A45" s="583" t="s">
        <v>269</v>
      </c>
      <c r="B45" s="584"/>
      <c r="C45" s="584"/>
      <c r="D45" s="584"/>
      <c r="E45" s="584"/>
      <c r="F45" s="584"/>
      <c r="G45" s="584"/>
      <c r="H45" s="584"/>
      <c r="I45" s="584"/>
      <c r="J45" s="584"/>
      <c r="K45" s="584"/>
      <c r="L45" s="585"/>
      <c r="M45" s="585">
        <f>SUM(M44:M44)</f>
        <v>2790</v>
      </c>
      <c r="N45" s="585">
        <f>SUM(N44:N44)</f>
        <v>12555</v>
      </c>
      <c r="O45" s="585">
        <f>SUM(O44:O44)</f>
        <v>0</v>
      </c>
      <c r="P45" s="585">
        <f>SUM(P44:P44)</f>
        <v>0</v>
      </c>
      <c r="Q45" s="585">
        <f>SUM(Q44:Q44)</f>
        <v>0</v>
      </c>
      <c r="R45" s="585">
        <f>SUM(R44:R44)</f>
        <v>0</v>
      </c>
      <c r="S45" s="585">
        <f>SUM(S44:S44)</f>
        <v>0</v>
      </c>
      <c r="T45" s="585">
        <f>SUM(T44:T44)</f>
        <v>0</v>
      </c>
      <c r="U45" s="585">
        <f>SUM(U44:U44)</f>
        <v>0</v>
      </c>
      <c r="V45" s="585">
        <f>SUM(V44:V44)</f>
        <v>31387.5</v>
      </c>
      <c r="W45" s="585">
        <f>SUM(W44:W44)</f>
        <v>0</v>
      </c>
      <c r="X45" s="585"/>
      <c r="Y45" s="586"/>
      <c r="Z45" s="586"/>
      <c r="AA45" s="587"/>
    </row>
    <row r="46" spans="1:27" s="563" customFormat="1">
      <c r="A46" s="583" t="s">
        <v>276</v>
      </c>
      <c r="B46" s="584"/>
      <c r="C46" s="584"/>
      <c r="D46" s="584"/>
      <c r="E46" s="584"/>
      <c r="F46" s="584"/>
      <c r="G46" s="584"/>
      <c r="H46" s="584"/>
      <c r="I46" s="584"/>
      <c r="J46" s="584"/>
      <c r="K46" s="584"/>
      <c r="L46" s="585"/>
      <c r="M46" s="585">
        <f>SUMIF($AA$44:$AA$44,"industrie",M44:M44)</f>
        <v>0</v>
      </c>
      <c r="N46" s="585">
        <f>SUMIF($AA$44:$AA$44,"industrie",N44:N44)</f>
        <v>0</v>
      </c>
      <c r="O46" s="585">
        <f>SUMIF($AA$44:$AA$44,"industrie",O44:O44)</f>
        <v>0</v>
      </c>
      <c r="P46" s="585">
        <f>SUMIF($AA$44:$AA$44,"industrie",P44:P44)</f>
        <v>0</v>
      </c>
      <c r="Q46" s="585">
        <f>SUMIF($AA$44:$AA$44,"industrie",Q44:Q44)</f>
        <v>0</v>
      </c>
      <c r="R46" s="585">
        <f>SUMIF($AA$44:$AA$44,"industrie",R44:R44)</f>
        <v>0</v>
      </c>
      <c r="S46" s="585">
        <f>SUMIF($AA$44:$AA$44,"industrie",S44:S44)</f>
        <v>0</v>
      </c>
      <c r="T46" s="585">
        <f>SUMIF($AA$44:$AA$44,"industrie",T44:T44)</f>
        <v>0</v>
      </c>
      <c r="U46" s="585">
        <f>SUMIF($AA$44:$AA$44,"industrie",U44:U44)</f>
        <v>0</v>
      </c>
      <c r="V46" s="585">
        <f>SUMIF($AA$44:$AA$44,"industrie",V44:V44)</f>
        <v>0</v>
      </c>
      <c r="W46" s="585">
        <f>SUMIF($AA$44:$AA$44,"industrie",W44:W44)</f>
        <v>0</v>
      </c>
      <c r="X46" s="585"/>
      <c r="Y46" s="586"/>
      <c r="Z46" s="586"/>
      <c r="AA46" s="587"/>
    </row>
    <row r="47" spans="1:27" s="563" customFormat="1">
      <c r="A47" s="583" t="s">
        <v>277</v>
      </c>
      <c r="B47" s="584"/>
      <c r="C47" s="584"/>
      <c r="D47" s="584"/>
      <c r="E47" s="584"/>
      <c r="F47" s="584"/>
      <c r="G47" s="584"/>
      <c r="H47" s="584"/>
      <c r="I47" s="584"/>
      <c r="J47" s="584"/>
      <c r="K47" s="584"/>
      <c r="L47" s="585"/>
      <c r="M47" s="585">
        <f>SUMIF($AA$44:$AA$45,"tertiair",M44:M45)</f>
        <v>0</v>
      </c>
      <c r="N47" s="585">
        <f>SUMIF($AA$44:$AA$45,"tertiair",N44:N45)</f>
        <v>0</v>
      </c>
      <c r="O47" s="585">
        <f>SUMIF($AA$44:$AA$45,"tertiair",O44:O45)</f>
        <v>0</v>
      </c>
      <c r="P47" s="585">
        <f>SUMIF($AA$44:$AA$45,"tertiair",P44:P45)</f>
        <v>0</v>
      </c>
      <c r="Q47" s="585">
        <f>SUMIF($AA$44:$AA$45,"tertiair",Q44:Q45)</f>
        <v>0</v>
      </c>
      <c r="R47" s="585">
        <f>SUMIF($AA$44:$AA$45,"tertiair",R44:R45)</f>
        <v>0</v>
      </c>
      <c r="S47" s="585">
        <f>SUMIF($AA$44:$AA$45,"tertiair",S44:S45)</f>
        <v>0</v>
      </c>
      <c r="T47" s="585">
        <f>SUMIF($AA$44:$AA$45,"tertiair",T44:T45)</f>
        <v>0</v>
      </c>
      <c r="U47" s="585">
        <f>SUMIF($AA$44:$AA$45,"tertiair",U44:U45)</f>
        <v>0</v>
      </c>
      <c r="V47" s="585">
        <f>SUMIF($AA$44:$AA$45,"tertiair",V44:V45)</f>
        <v>0</v>
      </c>
      <c r="W47" s="585">
        <f>SUMIF($AA$44:$AA$45,"tertiair",W44:W45)</f>
        <v>0</v>
      </c>
      <c r="X47" s="585"/>
      <c r="Y47" s="586"/>
      <c r="Z47" s="586"/>
      <c r="AA47" s="587"/>
    </row>
    <row r="48" spans="1:27" s="563" customFormat="1" ht="15.75" thickBot="1">
      <c r="A48" s="588" t="s">
        <v>278</v>
      </c>
      <c r="B48" s="589"/>
      <c r="C48" s="589"/>
      <c r="D48" s="589"/>
      <c r="E48" s="589"/>
      <c r="F48" s="589"/>
      <c r="G48" s="589"/>
      <c r="H48" s="589"/>
      <c r="I48" s="589"/>
      <c r="J48" s="589"/>
      <c r="K48" s="589"/>
      <c r="L48" s="590"/>
      <c r="M48" s="590">
        <f>SUMIF($AA$44:$AA$46,"landbouw",M44:M46)</f>
        <v>2790</v>
      </c>
      <c r="N48" s="590">
        <f>SUMIF($AA$44:$AA$46,"landbouw",N44:N46)</f>
        <v>12555</v>
      </c>
      <c r="O48" s="590">
        <f>SUMIF($AA$44:$AA$46,"landbouw",O44:O46)</f>
        <v>0</v>
      </c>
      <c r="P48" s="590">
        <f>SUMIF($AA$44:$AA$46,"landbouw",P44:P46)</f>
        <v>0</v>
      </c>
      <c r="Q48" s="590">
        <f>SUMIF($AA$44:$AA$46,"landbouw",Q44:Q46)</f>
        <v>0</v>
      </c>
      <c r="R48" s="590">
        <f>SUMIF($AA$44:$AA$46,"landbouw",R44:R46)</f>
        <v>0</v>
      </c>
      <c r="S48" s="590">
        <f>SUMIF($AA$44:$AA$46,"landbouw",S44:S46)</f>
        <v>0</v>
      </c>
      <c r="T48" s="590">
        <f>SUMIF($AA$44:$AA$46,"landbouw",T44:T46)</f>
        <v>0</v>
      </c>
      <c r="U48" s="590">
        <f>SUMIF($AA$44:$AA$46,"landbouw",U44:U46)</f>
        <v>0</v>
      </c>
      <c r="V48" s="590">
        <f>SUMIF($AA$44:$AA$46,"landbouw",V44:V46)</f>
        <v>31387.5</v>
      </c>
      <c r="W48" s="590">
        <f>SUMIF($AA$44:$AA$46,"landbouw",W44:W46)</f>
        <v>0</v>
      </c>
      <c r="X48" s="590"/>
      <c r="Y48" s="591"/>
      <c r="Z48" s="591"/>
      <c r="AA48" s="592"/>
    </row>
    <row r="49" spans="1:28" s="597" customFormat="1">
      <c r="A49" s="593"/>
      <c r="B49" s="577"/>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row>
    <row r="50" spans="1:28" s="597" customFormat="1" ht="15.75" thickBot="1">
      <c r="A50" s="593"/>
      <c r="B50" s="577"/>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row>
    <row r="51" spans="1:28">
      <c r="A51" s="598" t="s">
        <v>271</v>
      </c>
      <c r="B51" s="599"/>
      <c r="C51" s="599"/>
      <c r="D51" s="599"/>
      <c r="E51" s="599"/>
      <c r="F51" s="599"/>
      <c r="G51" s="599"/>
      <c r="H51" s="599"/>
      <c r="I51" s="600"/>
      <c r="J51" s="601"/>
      <c r="K51" s="601"/>
      <c r="L51" s="602"/>
      <c r="M51" s="602"/>
      <c r="N51" s="602"/>
      <c r="O51" s="602"/>
      <c r="P51" s="602"/>
    </row>
    <row r="52" spans="1:28">
      <c r="A52" s="604"/>
      <c r="B52" s="594"/>
      <c r="C52" s="594"/>
      <c r="D52" s="594"/>
      <c r="E52" s="594"/>
      <c r="F52" s="594"/>
      <c r="G52" s="594"/>
      <c r="H52" s="594"/>
      <c r="I52" s="605"/>
      <c r="J52" s="594"/>
      <c r="K52" s="594"/>
      <c r="L52" s="602"/>
      <c r="M52" s="602"/>
      <c r="N52" s="602"/>
      <c r="O52" s="602"/>
      <c r="P52" s="602"/>
    </row>
    <row r="53" spans="1:28">
      <c r="A53" s="606"/>
      <c r="B53" s="607" t="s">
        <v>272</v>
      </c>
      <c r="C53" s="607" t="s">
        <v>273</v>
      </c>
      <c r="D53" s="607"/>
      <c r="E53" s="607"/>
      <c r="F53" s="607"/>
      <c r="G53" s="607"/>
      <c r="H53" s="607"/>
      <c r="I53" s="608"/>
      <c r="J53" s="607"/>
      <c r="K53" s="607"/>
      <c r="L53" s="607"/>
      <c r="M53" s="607"/>
      <c r="N53" s="607"/>
      <c r="O53" s="607"/>
      <c r="P53" s="602"/>
    </row>
    <row r="54" spans="1:28">
      <c r="A54" s="604" t="s">
        <v>269</v>
      </c>
      <c r="B54" s="609">
        <f>IF(ISERROR(O38/(O38+N38)),0,O38/(O38+N38))</f>
        <v>0.58823529411764708</v>
      </c>
      <c r="C54" s="610">
        <f>IF(ISERROR(N38/(O38+N38)),0,N38/(N38+O38))</f>
        <v>0.41176470588235298</v>
      </c>
      <c r="D54" s="577"/>
      <c r="E54" s="577"/>
      <c r="F54" s="577"/>
      <c r="G54" s="577"/>
      <c r="H54" s="577"/>
      <c r="I54" s="611"/>
      <c r="J54" s="577"/>
      <c r="K54" s="577"/>
      <c r="L54" s="612"/>
      <c r="M54" s="612"/>
      <c r="N54" s="612"/>
      <c r="O54" s="612"/>
      <c r="P54" s="602"/>
    </row>
    <row r="55" spans="1:28">
      <c r="A55" s="604"/>
      <c r="B55" s="613"/>
      <c r="C55" s="613"/>
      <c r="D55" s="613"/>
      <c r="E55" s="613"/>
      <c r="F55" s="613"/>
      <c r="G55" s="613"/>
      <c r="H55" s="613"/>
      <c r="I55" s="614"/>
      <c r="J55" s="613"/>
      <c r="K55" s="613"/>
      <c r="L55" s="615"/>
      <c r="M55" s="615"/>
      <c r="N55" s="615"/>
      <c r="O55" s="615"/>
      <c r="P55" s="602"/>
    </row>
    <row r="56" spans="1:28" ht="30">
      <c r="A56" s="616"/>
      <c r="B56" s="617" t="s">
        <v>533</v>
      </c>
      <c r="C56" s="617" t="s">
        <v>96</v>
      </c>
      <c r="D56" s="617" t="s">
        <v>97</v>
      </c>
      <c r="E56" s="617" t="s">
        <v>98</v>
      </c>
      <c r="F56" s="617" t="s">
        <v>99</v>
      </c>
      <c r="G56" s="617" t="s">
        <v>100</v>
      </c>
      <c r="H56" s="617" t="s">
        <v>101</v>
      </c>
      <c r="I56" s="618" t="s">
        <v>102</v>
      </c>
      <c r="J56" s="607"/>
      <c r="K56" s="607"/>
      <c r="L56" s="615"/>
      <c r="M56" s="615"/>
      <c r="N56" s="615"/>
      <c r="O56" s="602"/>
      <c r="P56" s="602"/>
    </row>
    <row r="57" spans="1:28">
      <c r="A57" s="606" t="s">
        <v>274</v>
      </c>
      <c r="B57" s="619">
        <f t="shared" ref="B57:I57" si="2">$C$54*P38</f>
        <v>98486.470588235301</v>
      </c>
      <c r="C57" s="619">
        <f t="shared" si="2"/>
        <v>0</v>
      </c>
      <c r="D57" s="619">
        <f t="shared" si="2"/>
        <v>0</v>
      </c>
      <c r="E57" s="619">
        <f t="shared" si="2"/>
        <v>0</v>
      </c>
      <c r="F57" s="619">
        <f t="shared" si="2"/>
        <v>0</v>
      </c>
      <c r="G57" s="619">
        <f t="shared" si="2"/>
        <v>0</v>
      </c>
      <c r="H57" s="619">
        <f t="shared" si="2"/>
        <v>0</v>
      </c>
      <c r="I57" s="620">
        <f t="shared" si="2"/>
        <v>0</v>
      </c>
      <c r="J57" s="577"/>
      <c r="K57" s="577"/>
      <c r="L57" s="615"/>
      <c r="M57" s="615"/>
      <c r="N57" s="615"/>
      <c r="O57" s="602"/>
      <c r="P57" s="602"/>
    </row>
    <row r="58" spans="1:28" ht="15.75" thickBot="1">
      <c r="A58" s="621" t="s">
        <v>275</v>
      </c>
      <c r="B58" s="622">
        <f t="shared" ref="B58:I58" si="3">$B$54*P38</f>
        <v>140694.95798319328</v>
      </c>
      <c r="C58" s="622">
        <f t="shared" si="3"/>
        <v>0</v>
      </c>
      <c r="D58" s="622">
        <f t="shared" si="3"/>
        <v>0</v>
      </c>
      <c r="E58" s="622">
        <f t="shared" si="3"/>
        <v>0</v>
      </c>
      <c r="F58" s="622">
        <f t="shared" si="3"/>
        <v>0</v>
      </c>
      <c r="G58" s="622">
        <f t="shared" si="3"/>
        <v>0</v>
      </c>
      <c r="H58" s="622">
        <f t="shared" si="3"/>
        <v>0</v>
      </c>
      <c r="I58" s="623">
        <f t="shared" si="3"/>
        <v>0</v>
      </c>
      <c r="J58" s="577"/>
      <c r="K58" s="577"/>
      <c r="L58" s="615"/>
      <c r="M58" s="615"/>
      <c r="N58" s="615"/>
      <c r="O58" s="602"/>
      <c r="P58" s="602"/>
    </row>
    <row r="59" spans="1:28">
      <c r="J59" s="561"/>
      <c r="K59" s="561"/>
      <c r="L59" s="561"/>
      <c r="M59" s="561"/>
      <c r="N59" s="561"/>
    </row>
    <row r="60" spans="1:28">
      <c r="J60" s="561"/>
      <c r="K60" s="561"/>
      <c r="L60" s="561"/>
      <c r="M60" s="561"/>
      <c r="N60"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35143.739579464411</v>
      </c>
      <c r="D10" s="639">
        <f ca="1">tertiair!C16</f>
        <v>0</v>
      </c>
      <c r="E10" s="639">
        <f ca="1">tertiair!D16</f>
        <v>40022.65874187358</v>
      </c>
      <c r="F10" s="639">
        <f>tertiair!E16</f>
        <v>246.92034174510354</v>
      </c>
      <c r="G10" s="639">
        <f ca="1">tertiair!F16</f>
        <v>8798.2404015691318</v>
      </c>
      <c r="H10" s="639">
        <f>tertiair!G16</f>
        <v>0</v>
      </c>
      <c r="I10" s="639">
        <f>tertiair!H16</f>
        <v>0</v>
      </c>
      <c r="J10" s="639">
        <f>tertiair!I16</f>
        <v>0</v>
      </c>
      <c r="K10" s="639">
        <f>tertiair!J16</f>
        <v>0</v>
      </c>
      <c r="L10" s="639">
        <f>tertiair!K16</f>
        <v>0</v>
      </c>
      <c r="M10" s="639">
        <f ca="1">tertiair!L16</f>
        <v>0</v>
      </c>
      <c r="N10" s="639">
        <f>tertiair!M16</f>
        <v>0</v>
      </c>
      <c r="O10" s="639">
        <f ca="1">tertiair!N16</f>
        <v>7600.39582269937</v>
      </c>
      <c r="P10" s="639">
        <f>tertiair!O16</f>
        <v>0</v>
      </c>
      <c r="Q10" s="640">
        <f>tertiair!P16</f>
        <v>0</v>
      </c>
      <c r="R10" s="642">
        <f ca="1">SUM(C10:Q10)</f>
        <v>91811.954887351603</v>
      </c>
      <c r="S10" s="68"/>
    </row>
    <row r="11" spans="1:19" s="443" customFormat="1">
      <c r="A11" s="753" t="s">
        <v>214</v>
      </c>
      <c r="B11" s="758"/>
      <c r="C11" s="639">
        <f>huishoudens!B8</f>
        <v>30008.672219657346</v>
      </c>
      <c r="D11" s="639">
        <f>huishoudens!C8</f>
        <v>0</v>
      </c>
      <c r="E11" s="639">
        <f>huishoudens!D8</f>
        <v>82785.971406627825</v>
      </c>
      <c r="F11" s="639">
        <f>huishoudens!E8</f>
        <v>1019.2296985978879</v>
      </c>
      <c r="G11" s="639">
        <f>huishoudens!F8</f>
        <v>31073.354384883602</v>
      </c>
      <c r="H11" s="639">
        <f>huishoudens!G8</f>
        <v>0</v>
      </c>
      <c r="I11" s="639">
        <f>huishoudens!H8</f>
        <v>0</v>
      </c>
      <c r="J11" s="639">
        <f>huishoudens!I8</f>
        <v>0</v>
      </c>
      <c r="K11" s="639">
        <f>huishoudens!J8</f>
        <v>563.81518793283044</v>
      </c>
      <c r="L11" s="639">
        <f>huishoudens!K8</f>
        <v>0</v>
      </c>
      <c r="M11" s="639">
        <f>huishoudens!L8</f>
        <v>0</v>
      </c>
      <c r="N11" s="639">
        <f>huishoudens!M8</f>
        <v>0</v>
      </c>
      <c r="O11" s="639">
        <f>huishoudens!N8</f>
        <v>9618.086951993615</v>
      </c>
      <c r="P11" s="639">
        <f>huishoudens!O8</f>
        <v>129.75666666666669</v>
      </c>
      <c r="Q11" s="640">
        <f>huishoudens!P8</f>
        <v>266.93333333333334</v>
      </c>
      <c r="R11" s="642">
        <f>SUM(C11:Q11)</f>
        <v>155465.81984969307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97292.644800318216</v>
      </c>
      <c r="D13" s="639">
        <f>industrie!C18</f>
        <v>10028.571428571429</v>
      </c>
      <c r="E13" s="639">
        <f>industrie!D18</f>
        <v>326125.26433905185</v>
      </c>
      <c r="F13" s="639">
        <f>industrie!E18</f>
        <v>2649.0219530230256</v>
      </c>
      <c r="G13" s="639">
        <f>industrie!F18</f>
        <v>15875.700795207367</v>
      </c>
      <c r="H13" s="639">
        <f>industrie!G18</f>
        <v>0</v>
      </c>
      <c r="I13" s="639">
        <f>industrie!H18</f>
        <v>0</v>
      </c>
      <c r="J13" s="639">
        <f>industrie!I18</f>
        <v>0</v>
      </c>
      <c r="K13" s="639">
        <f>industrie!J18</f>
        <v>83.631354508846471</v>
      </c>
      <c r="L13" s="639">
        <f>industrie!K18</f>
        <v>0</v>
      </c>
      <c r="M13" s="639">
        <f>industrie!L18</f>
        <v>0</v>
      </c>
      <c r="N13" s="639">
        <f>industrie!M18</f>
        <v>0</v>
      </c>
      <c r="O13" s="639">
        <f>industrie!N18</f>
        <v>27538.87585011778</v>
      </c>
      <c r="P13" s="639">
        <f>industrie!O18</f>
        <v>0</v>
      </c>
      <c r="Q13" s="640">
        <f>industrie!P18</f>
        <v>0</v>
      </c>
      <c r="R13" s="642">
        <f>SUM(C13:Q13)</f>
        <v>479593.71052079852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162445.05659943997</v>
      </c>
      <c r="D16" s="672">
        <f t="shared" ref="D16:R16" ca="1" si="0">SUM(D9:D15)</f>
        <v>10028.571428571429</v>
      </c>
      <c r="E16" s="672">
        <f t="shared" ca="1" si="0"/>
        <v>448933.89448755328</v>
      </c>
      <c r="F16" s="672">
        <f t="shared" si="0"/>
        <v>3915.171993366017</v>
      </c>
      <c r="G16" s="672">
        <f t="shared" ca="1" si="0"/>
        <v>55747.295581660102</v>
      </c>
      <c r="H16" s="672">
        <f t="shared" si="0"/>
        <v>0</v>
      </c>
      <c r="I16" s="672">
        <f t="shared" si="0"/>
        <v>0</v>
      </c>
      <c r="J16" s="672">
        <f t="shared" si="0"/>
        <v>0</v>
      </c>
      <c r="K16" s="672">
        <f t="shared" si="0"/>
        <v>647.44654244167691</v>
      </c>
      <c r="L16" s="672">
        <f t="shared" si="0"/>
        <v>0</v>
      </c>
      <c r="M16" s="672">
        <f t="shared" ca="1" si="0"/>
        <v>0</v>
      </c>
      <c r="N16" s="672">
        <f t="shared" si="0"/>
        <v>0</v>
      </c>
      <c r="O16" s="672">
        <f t="shared" ca="1" si="0"/>
        <v>44757.35862481076</v>
      </c>
      <c r="P16" s="672">
        <f t="shared" si="0"/>
        <v>129.75666666666669</v>
      </c>
      <c r="Q16" s="672">
        <f t="shared" si="0"/>
        <v>266.93333333333334</v>
      </c>
      <c r="R16" s="672">
        <f t="shared" ca="1" si="0"/>
        <v>726871.48525784316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7.0733176456907012</v>
      </c>
      <c r="D19" s="639">
        <f>transport!C54</f>
        <v>0</v>
      </c>
      <c r="E19" s="639">
        <f>transport!D54</f>
        <v>0</v>
      </c>
      <c r="F19" s="639">
        <f>transport!E54</f>
        <v>0</v>
      </c>
      <c r="G19" s="639">
        <f>transport!F54</f>
        <v>0</v>
      </c>
      <c r="H19" s="639">
        <f>transport!G54</f>
        <v>1410.7871890168765</v>
      </c>
      <c r="I19" s="639">
        <f>transport!H54</f>
        <v>0</v>
      </c>
      <c r="J19" s="639">
        <f>transport!I54</f>
        <v>0</v>
      </c>
      <c r="K19" s="639">
        <f>transport!J54</f>
        <v>0</v>
      </c>
      <c r="L19" s="639">
        <f>transport!K54</f>
        <v>0</v>
      </c>
      <c r="M19" s="639">
        <f>transport!L54</f>
        <v>0</v>
      </c>
      <c r="N19" s="639">
        <f>transport!M54</f>
        <v>62.35529120563087</v>
      </c>
      <c r="O19" s="639">
        <f>transport!N54</f>
        <v>0</v>
      </c>
      <c r="P19" s="639">
        <f>transport!O54</f>
        <v>0</v>
      </c>
      <c r="Q19" s="640">
        <f>transport!P54</f>
        <v>0</v>
      </c>
      <c r="R19" s="642">
        <f>SUM(C19:Q19)</f>
        <v>1480.215797868198</v>
      </c>
      <c r="S19" s="68"/>
    </row>
    <row r="20" spans="1:19" s="443" customFormat="1">
      <c r="A20" s="753" t="s">
        <v>296</v>
      </c>
      <c r="B20" s="758"/>
      <c r="C20" s="639">
        <f>transport!B14</f>
        <v>1.3511733768119332</v>
      </c>
      <c r="D20" s="639">
        <f>transport!C14</f>
        <v>0</v>
      </c>
      <c r="E20" s="639">
        <f>transport!D14</f>
        <v>1.6112375292985512</v>
      </c>
      <c r="F20" s="639">
        <f>transport!E14</f>
        <v>103.38986341832178</v>
      </c>
      <c r="G20" s="639">
        <f>transport!F14</f>
        <v>0</v>
      </c>
      <c r="H20" s="639">
        <f>transport!G14</f>
        <v>23854.360216600675</v>
      </c>
      <c r="I20" s="639">
        <f>transport!H14</f>
        <v>4126.706525677012</v>
      </c>
      <c r="J20" s="639">
        <f>transport!I14</f>
        <v>0</v>
      </c>
      <c r="K20" s="639">
        <f>transport!J14</f>
        <v>0</v>
      </c>
      <c r="L20" s="639">
        <f>transport!K14</f>
        <v>0</v>
      </c>
      <c r="M20" s="639">
        <f>transport!L14</f>
        <v>0</v>
      </c>
      <c r="N20" s="639">
        <f>transport!M14</f>
        <v>1250.4411177386105</v>
      </c>
      <c r="O20" s="639">
        <f>transport!N14</f>
        <v>0</v>
      </c>
      <c r="P20" s="639">
        <f>transport!O14</f>
        <v>0</v>
      </c>
      <c r="Q20" s="640">
        <f>transport!P14</f>
        <v>0</v>
      </c>
      <c r="R20" s="642">
        <f>SUM(C20:Q20)</f>
        <v>29337.860134340728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8.4244910225026342</v>
      </c>
      <c r="D22" s="756">
        <f t="shared" ref="D22:R22" si="1">SUM(D18:D21)</f>
        <v>0</v>
      </c>
      <c r="E22" s="756">
        <f t="shared" si="1"/>
        <v>1.6112375292985512</v>
      </c>
      <c r="F22" s="756">
        <f t="shared" si="1"/>
        <v>103.38986341832178</v>
      </c>
      <c r="G22" s="756">
        <f t="shared" si="1"/>
        <v>0</v>
      </c>
      <c r="H22" s="756">
        <f t="shared" si="1"/>
        <v>25265.14740561755</v>
      </c>
      <c r="I22" s="756">
        <f t="shared" si="1"/>
        <v>4126.706525677012</v>
      </c>
      <c r="J22" s="756">
        <f t="shared" si="1"/>
        <v>0</v>
      </c>
      <c r="K22" s="756">
        <f t="shared" si="1"/>
        <v>0</v>
      </c>
      <c r="L22" s="756">
        <f t="shared" si="1"/>
        <v>0</v>
      </c>
      <c r="M22" s="756">
        <f t="shared" si="1"/>
        <v>0</v>
      </c>
      <c r="N22" s="756">
        <f t="shared" si="1"/>
        <v>1312.7964089442414</v>
      </c>
      <c r="O22" s="756">
        <f t="shared" si="1"/>
        <v>0</v>
      </c>
      <c r="P22" s="756">
        <f t="shared" si="1"/>
        <v>0</v>
      </c>
      <c r="Q22" s="756">
        <f t="shared" si="1"/>
        <v>0</v>
      </c>
      <c r="R22" s="756">
        <f t="shared" si="1"/>
        <v>30818.075932208925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8491.6093797979593</v>
      </c>
      <c r="D24" s="639">
        <f>+landbouw!C8</f>
        <v>109562.14285714284</v>
      </c>
      <c r="E24" s="639">
        <f>+landbouw!D8</f>
        <v>50844.077511480311</v>
      </c>
      <c r="F24" s="639">
        <f>+landbouw!E8</f>
        <v>83.856188169794933</v>
      </c>
      <c r="G24" s="639">
        <f>+landbouw!F8</f>
        <v>28330.25575360193</v>
      </c>
      <c r="H24" s="639">
        <f>+landbouw!G8</f>
        <v>0</v>
      </c>
      <c r="I24" s="639">
        <f>+landbouw!H8</f>
        <v>0</v>
      </c>
      <c r="J24" s="639">
        <f>+landbouw!I8</f>
        <v>0</v>
      </c>
      <c r="K24" s="639">
        <f>+landbouw!J8</f>
        <v>847.20487747230061</v>
      </c>
      <c r="L24" s="639">
        <f>+landbouw!K8</f>
        <v>0</v>
      </c>
      <c r="M24" s="639">
        <f>+landbouw!L8</f>
        <v>0</v>
      </c>
      <c r="N24" s="639">
        <f>+landbouw!M8</f>
        <v>0</v>
      </c>
      <c r="O24" s="639">
        <f>+landbouw!N8</f>
        <v>0</v>
      </c>
      <c r="P24" s="639">
        <f>+landbouw!O8</f>
        <v>0</v>
      </c>
      <c r="Q24" s="640">
        <f>+landbouw!P8</f>
        <v>0</v>
      </c>
      <c r="R24" s="642">
        <f>SUM(C24:Q24)</f>
        <v>198159.14656766513</v>
      </c>
      <c r="S24" s="68"/>
    </row>
    <row r="25" spans="1:19" s="443" customFormat="1" ht="15" thickBot="1">
      <c r="A25" s="775" t="s">
        <v>847</v>
      </c>
      <c r="B25" s="941"/>
      <c r="C25" s="942">
        <f>IF(Onbekend_ele_kWh="---",0,Onbekend_ele_kWh)/1000+IF(REST_rest_ele_kWh="---",0,REST_rest_ele_kWh)/1000</f>
        <v>798.23187806323699</v>
      </c>
      <c r="D25" s="942"/>
      <c r="E25" s="942">
        <f>IF(onbekend_gas_kWh="---",0,onbekend_gas_kWh)/1000+IF(REST_rest_gas_kWh="---",0,REST_rest_gas_kWh)/1000</f>
        <v>4193.44206598029</v>
      </c>
      <c r="F25" s="942"/>
      <c r="G25" s="942"/>
      <c r="H25" s="942"/>
      <c r="I25" s="942"/>
      <c r="J25" s="942"/>
      <c r="K25" s="942"/>
      <c r="L25" s="942"/>
      <c r="M25" s="942"/>
      <c r="N25" s="942"/>
      <c r="O25" s="942"/>
      <c r="P25" s="942"/>
      <c r="Q25" s="943"/>
      <c r="R25" s="642">
        <f>SUM(C25:Q25)</f>
        <v>4991.6739440435267</v>
      </c>
      <c r="S25" s="68"/>
    </row>
    <row r="26" spans="1:19" s="443" customFormat="1" ht="15.75" thickBot="1">
      <c r="A26" s="645" t="s">
        <v>848</v>
      </c>
      <c r="B26" s="761"/>
      <c r="C26" s="756">
        <f>SUM(C24:C25)</f>
        <v>9289.8412578611969</v>
      </c>
      <c r="D26" s="756">
        <f t="shared" ref="D26:R26" si="2">SUM(D24:D25)</f>
        <v>109562.14285714284</v>
      </c>
      <c r="E26" s="756">
        <f t="shared" si="2"/>
        <v>55037.519577460604</v>
      </c>
      <c r="F26" s="756">
        <f t="shared" si="2"/>
        <v>83.856188169794933</v>
      </c>
      <c r="G26" s="756">
        <f t="shared" si="2"/>
        <v>28330.25575360193</v>
      </c>
      <c r="H26" s="756">
        <f t="shared" si="2"/>
        <v>0</v>
      </c>
      <c r="I26" s="756">
        <f t="shared" si="2"/>
        <v>0</v>
      </c>
      <c r="J26" s="756">
        <f t="shared" si="2"/>
        <v>0</v>
      </c>
      <c r="K26" s="756">
        <f t="shared" si="2"/>
        <v>847.20487747230061</v>
      </c>
      <c r="L26" s="756">
        <f t="shared" si="2"/>
        <v>0</v>
      </c>
      <c r="M26" s="756">
        <f t="shared" si="2"/>
        <v>0</v>
      </c>
      <c r="N26" s="756">
        <f t="shared" si="2"/>
        <v>0</v>
      </c>
      <c r="O26" s="756">
        <f t="shared" si="2"/>
        <v>0</v>
      </c>
      <c r="P26" s="756">
        <f t="shared" si="2"/>
        <v>0</v>
      </c>
      <c r="Q26" s="756">
        <f t="shared" si="2"/>
        <v>0</v>
      </c>
      <c r="R26" s="756">
        <f t="shared" si="2"/>
        <v>203150.82051170865</v>
      </c>
      <c r="S26" s="68"/>
    </row>
    <row r="27" spans="1:19" s="443" customFormat="1" ht="17.25" thickTop="1" thickBot="1">
      <c r="A27" s="646" t="s">
        <v>109</v>
      </c>
      <c r="B27" s="748"/>
      <c r="C27" s="647">
        <f ca="1">C22+C16+C26</f>
        <v>171743.32234832368</v>
      </c>
      <c r="D27" s="647">
        <f t="shared" ref="D27:R27" ca="1" si="3">D22+D16+D26</f>
        <v>119590.71428571428</v>
      </c>
      <c r="E27" s="647">
        <f t="shared" ca="1" si="3"/>
        <v>503973.02530254319</v>
      </c>
      <c r="F27" s="647">
        <f t="shared" si="3"/>
        <v>4102.4180449541336</v>
      </c>
      <c r="G27" s="647">
        <f t="shared" ca="1" si="3"/>
        <v>84077.551335262033</v>
      </c>
      <c r="H27" s="647">
        <f t="shared" si="3"/>
        <v>25265.14740561755</v>
      </c>
      <c r="I27" s="647">
        <f t="shared" si="3"/>
        <v>4126.706525677012</v>
      </c>
      <c r="J27" s="647">
        <f t="shared" si="3"/>
        <v>0</v>
      </c>
      <c r="K27" s="647">
        <f t="shared" si="3"/>
        <v>1494.6514199139774</v>
      </c>
      <c r="L27" s="647">
        <f t="shared" si="3"/>
        <v>0</v>
      </c>
      <c r="M27" s="647">
        <f t="shared" ca="1" si="3"/>
        <v>0</v>
      </c>
      <c r="N27" s="647">
        <f t="shared" si="3"/>
        <v>1312.7964089442414</v>
      </c>
      <c r="O27" s="647">
        <f t="shared" ca="1" si="3"/>
        <v>44757.35862481076</v>
      </c>
      <c r="P27" s="647">
        <f t="shared" si="3"/>
        <v>129.75666666666669</v>
      </c>
      <c r="Q27" s="647">
        <f t="shared" si="3"/>
        <v>266.93333333333334</v>
      </c>
      <c r="R27" s="647">
        <f t="shared" ca="1" si="3"/>
        <v>960840.38170176069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7202.4380742680014</v>
      </c>
      <c r="D40" s="639">
        <f ca="1">tertiair!C20</f>
        <v>0</v>
      </c>
      <c r="E40" s="639">
        <f ca="1">tertiair!D20</f>
        <v>8084.5770658584634</v>
      </c>
      <c r="F40" s="639">
        <f>tertiair!E20</f>
        <v>56.050917576138502</v>
      </c>
      <c r="G40" s="639">
        <f ca="1">tertiair!F20</f>
        <v>2349.1301872189583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17692.196244921561</v>
      </c>
    </row>
    <row r="41" spans="1:18">
      <c r="A41" s="766" t="s">
        <v>214</v>
      </c>
      <c r="B41" s="773"/>
      <c r="C41" s="639">
        <f ca="1">huishoudens!B12</f>
        <v>6150.0456678600967</v>
      </c>
      <c r="D41" s="639">
        <f ca="1">huishoudens!C12</f>
        <v>0</v>
      </c>
      <c r="E41" s="639">
        <f>huishoudens!D12</f>
        <v>16722.766224138821</v>
      </c>
      <c r="F41" s="639">
        <f>huishoudens!E12</f>
        <v>231.36514158172056</v>
      </c>
      <c r="G41" s="639">
        <f>huishoudens!F12</f>
        <v>8296.5856207639226</v>
      </c>
      <c r="H41" s="639">
        <f>huishoudens!G12</f>
        <v>0</v>
      </c>
      <c r="I41" s="639">
        <f>huishoudens!H12</f>
        <v>0</v>
      </c>
      <c r="J41" s="639">
        <f>huishoudens!I12</f>
        <v>0</v>
      </c>
      <c r="K41" s="639">
        <f>huishoudens!J12</f>
        <v>199.59057652822196</v>
      </c>
      <c r="L41" s="639">
        <f>huishoudens!K12</f>
        <v>0</v>
      </c>
      <c r="M41" s="639">
        <f>huishoudens!L12</f>
        <v>0</v>
      </c>
      <c r="N41" s="639">
        <f>huishoudens!M12</f>
        <v>0</v>
      </c>
      <c r="O41" s="639">
        <f>huishoudens!N12</f>
        <v>0</v>
      </c>
      <c r="P41" s="639">
        <f>huishoudens!O12</f>
        <v>0</v>
      </c>
      <c r="Q41" s="714">
        <f>huishoudens!P12</f>
        <v>0</v>
      </c>
      <c r="R41" s="794">
        <f t="shared" ca="1" si="4"/>
        <v>31600.353230872784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19939.376333915003</v>
      </c>
      <c r="D43" s="639">
        <f ca="1">industrie!C22</f>
        <v>2383.2605042016812</v>
      </c>
      <c r="E43" s="639">
        <f>industrie!D22</f>
        <v>65877.303396488482</v>
      </c>
      <c r="F43" s="639">
        <f>industrie!E22</f>
        <v>601.32798333622679</v>
      </c>
      <c r="G43" s="639">
        <f>industrie!F22</f>
        <v>4238.8121123203673</v>
      </c>
      <c r="H43" s="639">
        <f>industrie!G22</f>
        <v>0</v>
      </c>
      <c r="I43" s="639">
        <f>industrie!H22</f>
        <v>0</v>
      </c>
      <c r="J43" s="639">
        <f>industrie!I22</f>
        <v>0</v>
      </c>
      <c r="K43" s="639">
        <f>industrie!J22</f>
        <v>29.60549949613165</v>
      </c>
      <c r="L43" s="639">
        <f>industrie!K22</f>
        <v>0</v>
      </c>
      <c r="M43" s="639">
        <f>industrie!L22</f>
        <v>0</v>
      </c>
      <c r="N43" s="639">
        <f>industrie!M22</f>
        <v>0</v>
      </c>
      <c r="O43" s="639">
        <f>industrie!N22</f>
        <v>0</v>
      </c>
      <c r="P43" s="639">
        <f>industrie!O22</f>
        <v>0</v>
      </c>
      <c r="Q43" s="714">
        <f>industrie!P22</f>
        <v>0</v>
      </c>
      <c r="R43" s="793">
        <f t="shared" ca="1" si="4"/>
        <v>93069.685829757887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33291.8600760431</v>
      </c>
      <c r="D46" s="672">
        <f t="shared" ref="D46:Q46" ca="1" si="5">SUM(D39:D45)</f>
        <v>2383.2605042016812</v>
      </c>
      <c r="E46" s="672">
        <f t="shared" ca="1" si="5"/>
        <v>90684.646686485765</v>
      </c>
      <c r="F46" s="672">
        <f t="shared" si="5"/>
        <v>888.74404249408587</v>
      </c>
      <c r="G46" s="672">
        <f t="shared" ca="1" si="5"/>
        <v>14884.527920303248</v>
      </c>
      <c r="H46" s="672">
        <f t="shared" si="5"/>
        <v>0</v>
      </c>
      <c r="I46" s="672">
        <f t="shared" si="5"/>
        <v>0</v>
      </c>
      <c r="J46" s="672">
        <f t="shared" si="5"/>
        <v>0</v>
      </c>
      <c r="K46" s="672">
        <f t="shared" si="5"/>
        <v>229.1960760243536</v>
      </c>
      <c r="L46" s="672">
        <f t="shared" si="5"/>
        <v>0</v>
      </c>
      <c r="M46" s="672">
        <f t="shared" ca="1" si="5"/>
        <v>0</v>
      </c>
      <c r="N46" s="672">
        <f t="shared" si="5"/>
        <v>0</v>
      </c>
      <c r="O46" s="672">
        <f t="shared" ca="1" si="5"/>
        <v>0</v>
      </c>
      <c r="P46" s="672">
        <f t="shared" si="5"/>
        <v>0</v>
      </c>
      <c r="Q46" s="672">
        <f t="shared" si="5"/>
        <v>0</v>
      </c>
      <c r="R46" s="672">
        <f ca="1">SUM(R39:R45)</f>
        <v>142362.23530555223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1.4496218368429763</v>
      </c>
      <c r="D49" s="639">
        <f ca="1">transport!C58</f>
        <v>0</v>
      </c>
      <c r="E49" s="639">
        <f>transport!D58</f>
        <v>0</v>
      </c>
      <c r="F49" s="639">
        <f>transport!E58</f>
        <v>0</v>
      </c>
      <c r="G49" s="639">
        <f>transport!F58</f>
        <v>0</v>
      </c>
      <c r="H49" s="639">
        <f>transport!G58</f>
        <v>376.68017946750604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378.12980130434903</v>
      </c>
    </row>
    <row r="50" spans="1:18">
      <c r="A50" s="769" t="s">
        <v>296</v>
      </c>
      <c r="B50" s="779"/>
      <c r="C50" s="948">
        <f ca="1">transport!B18</f>
        <v>0.27691255087077005</v>
      </c>
      <c r="D50" s="948">
        <f>transport!C18</f>
        <v>0</v>
      </c>
      <c r="E50" s="948">
        <f>transport!D18</f>
        <v>0.32546998091830737</v>
      </c>
      <c r="F50" s="948">
        <f>transport!E18</f>
        <v>23.469498995959047</v>
      </c>
      <c r="G50" s="948">
        <f>transport!F18</f>
        <v>0</v>
      </c>
      <c r="H50" s="948">
        <f>transport!G18</f>
        <v>6369.1141778323808</v>
      </c>
      <c r="I50" s="948">
        <f>transport!H18</f>
        <v>1027.549924893576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7420.7359842537044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1.7265343877137465</v>
      </c>
      <c r="D52" s="672">
        <f t="shared" ref="D52:Q52" ca="1" si="6">SUM(D48:D51)</f>
        <v>0</v>
      </c>
      <c r="E52" s="672">
        <f t="shared" si="6"/>
        <v>0.32546998091830737</v>
      </c>
      <c r="F52" s="672">
        <f t="shared" si="6"/>
        <v>23.469498995959047</v>
      </c>
      <c r="G52" s="672">
        <f t="shared" si="6"/>
        <v>0</v>
      </c>
      <c r="H52" s="672">
        <f t="shared" si="6"/>
        <v>6745.7943572998865</v>
      </c>
      <c r="I52" s="672">
        <f t="shared" si="6"/>
        <v>1027.549924893576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7798.8657855580532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1740.2897768058237</v>
      </c>
      <c r="D54" s="948">
        <f ca="1">+landbouw!C12</f>
        <v>26037.121008403359</v>
      </c>
      <c r="E54" s="948">
        <f>+landbouw!D12</f>
        <v>10270.503657319023</v>
      </c>
      <c r="F54" s="948">
        <f>+landbouw!E12</f>
        <v>19.035354714543452</v>
      </c>
      <c r="G54" s="948">
        <f>+landbouw!F12</f>
        <v>7564.1782862117161</v>
      </c>
      <c r="H54" s="948">
        <f>+landbouw!G12</f>
        <v>0</v>
      </c>
      <c r="I54" s="948">
        <f>+landbouw!H12</f>
        <v>0</v>
      </c>
      <c r="J54" s="948">
        <f>+landbouw!I12</f>
        <v>0</v>
      </c>
      <c r="K54" s="948">
        <f>+landbouw!J12</f>
        <v>299.91052662519439</v>
      </c>
      <c r="L54" s="948">
        <f>+landbouw!K12</f>
        <v>0</v>
      </c>
      <c r="M54" s="948">
        <f>+landbouw!L12</f>
        <v>0</v>
      </c>
      <c r="N54" s="948">
        <f>+landbouw!M12</f>
        <v>0</v>
      </c>
      <c r="O54" s="948">
        <f>+landbouw!N12</f>
        <v>0</v>
      </c>
      <c r="P54" s="948">
        <f>+landbouw!O12</f>
        <v>0</v>
      </c>
      <c r="Q54" s="949">
        <f>+landbouw!P12</f>
        <v>0</v>
      </c>
      <c r="R54" s="671">
        <f ca="1">SUM(C54:Q54)</f>
        <v>45931.03861007966</v>
      </c>
    </row>
    <row r="55" spans="1:18" ht="15" thickBot="1">
      <c r="A55" s="769" t="s">
        <v>847</v>
      </c>
      <c r="B55" s="779"/>
      <c r="C55" s="948">
        <f ca="1">C25*'EF ele_warmte'!B12</f>
        <v>163.59146008515717</v>
      </c>
      <c r="D55" s="948"/>
      <c r="E55" s="948">
        <f>E25*EF_CO2_aardgas</f>
        <v>847.07529732801868</v>
      </c>
      <c r="F55" s="948"/>
      <c r="G55" s="948"/>
      <c r="H55" s="948"/>
      <c r="I55" s="948"/>
      <c r="J55" s="948"/>
      <c r="K55" s="948"/>
      <c r="L55" s="948"/>
      <c r="M55" s="948"/>
      <c r="N55" s="948"/>
      <c r="O55" s="948"/>
      <c r="P55" s="948"/>
      <c r="Q55" s="949"/>
      <c r="R55" s="671">
        <f ca="1">SUM(C55:Q55)</f>
        <v>1010.6667574131759</v>
      </c>
    </row>
    <row r="56" spans="1:18" ht="15.75" thickBot="1">
      <c r="A56" s="767" t="s">
        <v>848</v>
      </c>
      <c r="B56" s="780"/>
      <c r="C56" s="672">
        <f ca="1">SUM(C54:C55)</f>
        <v>1903.881236890981</v>
      </c>
      <c r="D56" s="672">
        <f t="shared" ref="D56:Q56" ca="1" si="7">SUM(D54:D55)</f>
        <v>26037.121008403359</v>
      </c>
      <c r="E56" s="672">
        <f t="shared" si="7"/>
        <v>11117.578954647041</v>
      </c>
      <c r="F56" s="672">
        <f t="shared" si="7"/>
        <v>19.035354714543452</v>
      </c>
      <c r="G56" s="672">
        <f t="shared" si="7"/>
        <v>7564.1782862117161</v>
      </c>
      <c r="H56" s="672">
        <f t="shared" si="7"/>
        <v>0</v>
      </c>
      <c r="I56" s="672">
        <f t="shared" si="7"/>
        <v>0</v>
      </c>
      <c r="J56" s="672">
        <f t="shared" si="7"/>
        <v>0</v>
      </c>
      <c r="K56" s="672">
        <f t="shared" si="7"/>
        <v>299.91052662519439</v>
      </c>
      <c r="L56" s="672">
        <f t="shared" si="7"/>
        <v>0</v>
      </c>
      <c r="M56" s="672">
        <f t="shared" si="7"/>
        <v>0</v>
      </c>
      <c r="N56" s="672">
        <f t="shared" si="7"/>
        <v>0</v>
      </c>
      <c r="O56" s="672">
        <f t="shared" si="7"/>
        <v>0</v>
      </c>
      <c r="P56" s="672">
        <f t="shared" si="7"/>
        <v>0</v>
      </c>
      <c r="Q56" s="673">
        <f t="shared" si="7"/>
        <v>0</v>
      </c>
      <c r="R56" s="674">
        <f ca="1">SUM(R54:R55)</f>
        <v>46941.705367492839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35197.467847321794</v>
      </c>
      <c r="D61" s="680">
        <f t="shared" ref="D61:Q61" ca="1" si="8">D46+D52+D56</f>
        <v>28420.381512605039</v>
      </c>
      <c r="E61" s="680">
        <f t="shared" ca="1" si="8"/>
        <v>101802.55111111372</v>
      </c>
      <c r="F61" s="680">
        <f t="shared" si="8"/>
        <v>931.24889620458839</v>
      </c>
      <c r="G61" s="680">
        <f t="shared" ca="1" si="8"/>
        <v>22448.706206514966</v>
      </c>
      <c r="H61" s="680">
        <f t="shared" si="8"/>
        <v>6745.7943572998865</v>
      </c>
      <c r="I61" s="680">
        <f t="shared" si="8"/>
        <v>1027.549924893576</v>
      </c>
      <c r="J61" s="680">
        <f t="shared" si="8"/>
        <v>0</v>
      </c>
      <c r="K61" s="680">
        <f t="shared" si="8"/>
        <v>529.10660264954799</v>
      </c>
      <c r="L61" s="680">
        <f t="shared" si="8"/>
        <v>0</v>
      </c>
      <c r="M61" s="680">
        <f t="shared" ca="1" si="8"/>
        <v>0</v>
      </c>
      <c r="N61" s="680">
        <f t="shared" si="8"/>
        <v>0</v>
      </c>
      <c r="O61" s="680">
        <f t="shared" ca="1" si="8"/>
        <v>0</v>
      </c>
      <c r="P61" s="680">
        <f t="shared" si="8"/>
        <v>0</v>
      </c>
      <c r="Q61" s="680">
        <f t="shared" si="8"/>
        <v>0</v>
      </c>
      <c r="R61" s="680">
        <f ca="1">R46+R52+R56</f>
        <v>197102.8064586031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0.20494227878004798</v>
      </c>
      <c r="D63" s="724">
        <f t="shared" ca="1" si="9"/>
        <v>0.23764705882352941</v>
      </c>
      <c r="E63" s="950">
        <f t="shared" ca="1" si="9"/>
        <v>0.20199999999999999</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6229.5699116799342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83713.5</v>
      </c>
      <c r="D76" s="960">
        <f>'lokale energieproductie'!C8</f>
        <v>98486.470588235301</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19894.267058823531</v>
      </c>
      <c r="R76" s="796">
        <v>0</v>
      </c>
    </row>
    <row r="77" spans="1:18" ht="30.75" thickBot="1">
      <c r="A77" s="693" t="s">
        <v>340</v>
      </c>
      <c r="B77" s="690">
        <f>'lokale energieproductie'!B9*IFERROR(SUM(I77:O77)/SUM(D77:O77),0)</f>
        <v>12555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31387.5</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18784.569911679933</v>
      </c>
      <c r="C78" s="695">
        <f>SUM(C72:C77)</f>
        <v>83713.5</v>
      </c>
      <c r="D78" s="696">
        <f t="shared" ref="D78:H78" si="10">SUM(D76:D77)</f>
        <v>98486.470588235301</v>
      </c>
      <c r="E78" s="696">
        <f t="shared" si="10"/>
        <v>0</v>
      </c>
      <c r="F78" s="696">
        <f t="shared" si="10"/>
        <v>0</v>
      </c>
      <c r="G78" s="696">
        <f t="shared" si="10"/>
        <v>0</v>
      </c>
      <c r="H78" s="696">
        <f t="shared" si="10"/>
        <v>0</v>
      </c>
      <c r="I78" s="696">
        <f>SUM(I76:I77)</f>
        <v>0</v>
      </c>
      <c r="J78" s="696">
        <f>SUM(J76:J77)</f>
        <v>31387.5</v>
      </c>
      <c r="K78" s="696">
        <f t="shared" ref="K78:L78" si="11">SUM(K76:K77)</f>
        <v>0</v>
      </c>
      <c r="L78" s="696">
        <f t="shared" si="11"/>
        <v>0</v>
      </c>
      <c r="M78" s="696">
        <f>SUM(M76:M77)</f>
        <v>0</v>
      </c>
      <c r="N78" s="696">
        <f>SUM(N76:N77)</f>
        <v>0</v>
      </c>
      <c r="O78" s="804">
        <f>SUM(O76:O77)</f>
        <v>0</v>
      </c>
      <c r="P78" s="697">
        <v>0</v>
      </c>
      <c r="Q78" s="697">
        <f>SUM(Q76:Q77)</f>
        <v>19894.267058823531</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119590.71428571428</v>
      </c>
      <c r="D87" s="717">
        <f>'lokale energieproductie'!C17</f>
        <v>140694.95798319328</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28420.381512605043</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119590.71428571428</v>
      </c>
      <c r="D90" s="695">
        <f t="shared" ref="D90:H90" si="12">SUM(D87:D89)</f>
        <v>140694.95798319328</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28420.381512605043</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30008.672219657346</v>
      </c>
      <c r="C4" s="447">
        <f>huishoudens!C8</f>
        <v>0</v>
      </c>
      <c r="D4" s="447">
        <f>huishoudens!D8</f>
        <v>82785.971406627825</v>
      </c>
      <c r="E4" s="447">
        <f>huishoudens!E8</f>
        <v>1019.2296985978879</v>
      </c>
      <c r="F4" s="447">
        <f>huishoudens!F8</f>
        <v>31073.354384883602</v>
      </c>
      <c r="G4" s="447">
        <f>huishoudens!G8</f>
        <v>0</v>
      </c>
      <c r="H4" s="447">
        <f>huishoudens!H8</f>
        <v>0</v>
      </c>
      <c r="I4" s="447">
        <f>huishoudens!I8</f>
        <v>0</v>
      </c>
      <c r="J4" s="447">
        <f>huishoudens!J8</f>
        <v>563.81518793283044</v>
      </c>
      <c r="K4" s="447">
        <f>huishoudens!K8</f>
        <v>0</v>
      </c>
      <c r="L4" s="447">
        <f>huishoudens!L8</f>
        <v>0</v>
      </c>
      <c r="M4" s="447">
        <f>huishoudens!M8</f>
        <v>0</v>
      </c>
      <c r="N4" s="447">
        <f>huishoudens!N8</f>
        <v>9618.086951993615</v>
      </c>
      <c r="O4" s="447">
        <f>huishoudens!O8</f>
        <v>129.75666666666669</v>
      </c>
      <c r="P4" s="448">
        <f>huishoudens!P8</f>
        <v>266.93333333333334</v>
      </c>
      <c r="Q4" s="449">
        <f>SUM(B4:P4)</f>
        <v>155465.81984969307</v>
      </c>
    </row>
    <row r="5" spans="1:17">
      <c r="A5" s="446" t="s">
        <v>149</v>
      </c>
      <c r="B5" s="447">
        <f ca="1">tertiair!B16</f>
        <v>33872.880579464414</v>
      </c>
      <c r="C5" s="447">
        <f ca="1">tertiair!C16</f>
        <v>0</v>
      </c>
      <c r="D5" s="447">
        <f ca="1">tertiair!D16</f>
        <v>40022.65874187358</v>
      </c>
      <c r="E5" s="447">
        <f>tertiair!E16</f>
        <v>246.92034174510354</v>
      </c>
      <c r="F5" s="447">
        <f ca="1">tertiair!F16</f>
        <v>8798.2404015691318</v>
      </c>
      <c r="G5" s="447">
        <f>tertiair!G16</f>
        <v>0</v>
      </c>
      <c r="H5" s="447">
        <f>tertiair!H16</f>
        <v>0</v>
      </c>
      <c r="I5" s="447">
        <f>tertiair!I16</f>
        <v>0</v>
      </c>
      <c r="J5" s="447">
        <f>tertiair!J16</f>
        <v>0</v>
      </c>
      <c r="K5" s="447">
        <f>tertiair!K16</f>
        <v>0</v>
      </c>
      <c r="L5" s="447">
        <f ca="1">tertiair!L16</f>
        <v>0</v>
      </c>
      <c r="M5" s="447">
        <f>tertiair!M16</f>
        <v>0</v>
      </c>
      <c r="N5" s="447">
        <f ca="1">tertiair!N16</f>
        <v>7600.39582269937</v>
      </c>
      <c r="O5" s="447">
        <f>tertiair!O16</f>
        <v>0</v>
      </c>
      <c r="P5" s="448">
        <f>tertiair!P16</f>
        <v>0</v>
      </c>
      <c r="Q5" s="446">
        <f t="shared" ref="Q5:Q14" ca="1" si="0">SUM(B5:P5)</f>
        <v>90541.095887351607</v>
      </c>
    </row>
    <row r="6" spans="1:17">
      <c r="A6" s="446" t="s">
        <v>187</v>
      </c>
      <c r="B6" s="447">
        <f>'openbare verlichting'!B8</f>
        <v>1270.8589999999999</v>
      </c>
      <c r="C6" s="447"/>
      <c r="D6" s="447"/>
      <c r="E6" s="447"/>
      <c r="F6" s="447"/>
      <c r="G6" s="447"/>
      <c r="H6" s="447"/>
      <c r="I6" s="447"/>
      <c r="J6" s="447"/>
      <c r="K6" s="447"/>
      <c r="L6" s="447"/>
      <c r="M6" s="447"/>
      <c r="N6" s="447"/>
      <c r="O6" s="447"/>
      <c r="P6" s="448"/>
      <c r="Q6" s="446">
        <f t="shared" si="0"/>
        <v>1270.8589999999999</v>
      </c>
    </row>
    <row r="7" spans="1:17">
      <c r="A7" s="446" t="s">
        <v>105</v>
      </c>
      <c r="B7" s="447">
        <f>landbouw!B8</f>
        <v>8491.6093797979593</v>
      </c>
      <c r="C7" s="447">
        <f>landbouw!C8</f>
        <v>109562.14285714284</v>
      </c>
      <c r="D7" s="447">
        <f>landbouw!D8</f>
        <v>50844.077511480311</v>
      </c>
      <c r="E7" s="447">
        <f>landbouw!E8</f>
        <v>83.856188169794933</v>
      </c>
      <c r="F7" s="447">
        <f>landbouw!F8</f>
        <v>28330.25575360193</v>
      </c>
      <c r="G7" s="447">
        <f>landbouw!G8</f>
        <v>0</v>
      </c>
      <c r="H7" s="447">
        <f>landbouw!H8</f>
        <v>0</v>
      </c>
      <c r="I7" s="447">
        <f>landbouw!I8</f>
        <v>0</v>
      </c>
      <c r="J7" s="447">
        <f>landbouw!J8</f>
        <v>847.20487747230061</v>
      </c>
      <c r="K7" s="447">
        <f>landbouw!K8</f>
        <v>0</v>
      </c>
      <c r="L7" s="447">
        <f>landbouw!L8</f>
        <v>0</v>
      </c>
      <c r="M7" s="447">
        <f>landbouw!M8</f>
        <v>0</v>
      </c>
      <c r="N7" s="447">
        <f>landbouw!N8</f>
        <v>0</v>
      </c>
      <c r="O7" s="447">
        <f>landbouw!O8</f>
        <v>0</v>
      </c>
      <c r="P7" s="448">
        <f>landbouw!P8</f>
        <v>0</v>
      </c>
      <c r="Q7" s="446">
        <f t="shared" si="0"/>
        <v>198159.14656766513</v>
      </c>
    </row>
    <row r="8" spans="1:17">
      <c r="A8" s="446" t="s">
        <v>640</v>
      </c>
      <c r="B8" s="447">
        <f>industrie!B18</f>
        <v>97292.644800318216</v>
      </c>
      <c r="C8" s="447">
        <f>industrie!C18</f>
        <v>10028.571428571429</v>
      </c>
      <c r="D8" s="447">
        <f>industrie!D18</f>
        <v>326125.26433905185</v>
      </c>
      <c r="E8" s="447">
        <f>industrie!E18</f>
        <v>2649.0219530230256</v>
      </c>
      <c r="F8" s="447">
        <f>industrie!F18</f>
        <v>15875.700795207367</v>
      </c>
      <c r="G8" s="447">
        <f>industrie!G18</f>
        <v>0</v>
      </c>
      <c r="H8" s="447">
        <f>industrie!H18</f>
        <v>0</v>
      </c>
      <c r="I8" s="447">
        <f>industrie!I18</f>
        <v>0</v>
      </c>
      <c r="J8" s="447">
        <f>industrie!J18</f>
        <v>83.631354508846471</v>
      </c>
      <c r="K8" s="447">
        <f>industrie!K18</f>
        <v>0</v>
      </c>
      <c r="L8" s="447">
        <f>industrie!L18</f>
        <v>0</v>
      </c>
      <c r="M8" s="447">
        <f>industrie!M18</f>
        <v>0</v>
      </c>
      <c r="N8" s="447">
        <f>industrie!N18</f>
        <v>27538.87585011778</v>
      </c>
      <c r="O8" s="447">
        <f>industrie!O18</f>
        <v>0</v>
      </c>
      <c r="P8" s="448">
        <f>industrie!P18</f>
        <v>0</v>
      </c>
      <c r="Q8" s="446">
        <f t="shared" si="0"/>
        <v>479593.71052079852</v>
      </c>
    </row>
    <row r="9" spans="1:17" s="452" customFormat="1">
      <c r="A9" s="450" t="s">
        <v>560</v>
      </c>
      <c r="B9" s="451">
        <f>transport!B14</f>
        <v>1.3511733768119332</v>
      </c>
      <c r="C9" s="451">
        <f>transport!C14</f>
        <v>0</v>
      </c>
      <c r="D9" s="451">
        <f>transport!D14</f>
        <v>1.6112375292985512</v>
      </c>
      <c r="E9" s="451">
        <f>transport!E14</f>
        <v>103.38986341832178</v>
      </c>
      <c r="F9" s="451">
        <f>transport!F14</f>
        <v>0</v>
      </c>
      <c r="G9" s="451">
        <f>transport!G14</f>
        <v>23854.360216600675</v>
      </c>
      <c r="H9" s="451">
        <f>transport!H14</f>
        <v>4126.706525677012</v>
      </c>
      <c r="I9" s="451">
        <f>transport!I14</f>
        <v>0</v>
      </c>
      <c r="J9" s="451">
        <f>transport!J14</f>
        <v>0</v>
      </c>
      <c r="K9" s="451">
        <f>transport!K14</f>
        <v>0</v>
      </c>
      <c r="L9" s="451">
        <f>transport!L14</f>
        <v>0</v>
      </c>
      <c r="M9" s="451">
        <f>transport!M14</f>
        <v>1250.4411177386105</v>
      </c>
      <c r="N9" s="451">
        <f>transport!N14</f>
        <v>0</v>
      </c>
      <c r="O9" s="451">
        <f>transport!O14</f>
        <v>0</v>
      </c>
      <c r="P9" s="451">
        <f>transport!P14</f>
        <v>0</v>
      </c>
      <c r="Q9" s="450">
        <f>SUM(B9:P9)</f>
        <v>29337.860134340728</v>
      </c>
    </row>
    <row r="10" spans="1:17">
      <c r="A10" s="446" t="s">
        <v>550</v>
      </c>
      <c r="B10" s="447">
        <f>transport!B54</f>
        <v>7.0733176456907012</v>
      </c>
      <c r="C10" s="447">
        <f>transport!C54</f>
        <v>0</v>
      </c>
      <c r="D10" s="447">
        <f>transport!D54</f>
        <v>0</v>
      </c>
      <c r="E10" s="447">
        <f>transport!E54</f>
        <v>0</v>
      </c>
      <c r="F10" s="447">
        <f>transport!F54</f>
        <v>0</v>
      </c>
      <c r="G10" s="447">
        <f>transport!G54</f>
        <v>1410.7871890168765</v>
      </c>
      <c r="H10" s="447">
        <f>transport!H54</f>
        <v>0</v>
      </c>
      <c r="I10" s="447">
        <f>transport!I54</f>
        <v>0</v>
      </c>
      <c r="J10" s="447">
        <f>transport!J54</f>
        <v>0</v>
      </c>
      <c r="K10" s="447">
        <f>transport!K54</f>
        <v>0</v>
      </c>
      <c r="L10" s="447">
        <f>transport!L54</f>
        <v>0</v>
      </c>
      <c r="M10" s="447">
        <f>transport!M54</f>
        <v>62.35529120563087</v>
      </c>
      <c r="N10" s="447">
        <f>transport!N54</f>
        <v>0</v>
      </c>
      <c r="O10" s="447">
        <f>transport!O54</f>
        <v>0</v>
      </c>
      <c r="P10" s="448">
        <f>transport!P54</f>
        <v>0</v>
      </c>
      <c r="Q10" s="446">
        <f t="shared" si="0"/>
        <v>1480.215797868198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798.23187806323699</v>
      </c>
      <c r="C14" s="454"/>
      <c r="D14" s="454">
        <f>'SEAP template'!E25</f>
        <v>4193.44206598029</v>
      </c>
      <c r="E14" s="454"/>
      <c r="F14" s="454"/>
      <c r="G14" s="454"/>
      <c r="H14" s="454"/>
      <c r="I14" s="454"/>
      <c r="J14" s="454"/>
      <c r="K14" s="454"/>
      <c r="L14" s="454"/>
      <c r="M14" s="454"/>
      <c r="N14" s="454"/>
      <c r="O14" s="454"/>
      <c r="P14" s="455"/>
      <c r="Q14" s="446">
        <f t="shared" si="0"/>
        <v>4991.6739440435267</v>
      </c>
    </row>
    <row r="15" spans="1:17" s="459" customFormat="1">
      <c r="A15" s="456" t="s">
        <v>554</v>
      </c>
      <c r="B15" s="457">
        <f ca="1">SUM(B4:B14)</f>
        <v>171743.32234832368</v>
      </c>
      <c r="C15" s="457">
        <f t="shared" ref="C15:Q15" ca="1" si="1">SUM(C4:C14)</f>
        <v>119590.71428571428</v>
      </c>
      <c r="D15" s="457">
        <f t="shared" ca="1" si="1"/>
        <v>503973.02530254319</v>
      </c>
      <c r="E15" s="457">
        <f t="shared" si="1"/>
        <v>4102.4180449541336</v>
      </c>
      <c r="F15" s="457">
        <f t="shared" ca="1" si="1"/>
        <v>84077.551335262033</v>
      </c>
      <c r="G15" s="457">
        <f t="shared" si="1"/>
        <v>25265.14740561755</v>
      </c>
      <c r="H15" s="457">
        <f t="shared" si="1"/>
        <v>4126.706525677012</v>
      </c>
      <c r="I15" s="457">
        <f t="shared" si="1"/>
        <v>0</v>
      </c>
      <c r="J15" s="457">
        <f t="shared" si="1"/>
        <v>1494.6514199139774</v>
      </c>
      <c r="K15" s="457">
        <f t="shared" si="1"/>
        <v>0</v>
      </c>
      <c r="L15" s="457">
        <f t="shared" ca="1" si="1"/>
        <v>0</v>
      </c>
      <c r="M15" s="457">
        <f t="shared" si="1"/>
        <v>1312.7964089442414</v>
      </c>
      <c r="N15" s="457">
        <f t="shared" ca="1" si="1"/>
        <v>44757.35862481076</v>
      </c>
      <c r="O15" s="457">
        <f t="shared" si="1"/>
        <v>129.75666666666669</v>
      </c>
      <c r="P15" s="457">
        <f t="shared" si="1"/>
        <v>266.93333333333334</v>
      </c>
      <c r="Q15" s="457">
        <f t="shared" ca="1" si="1"/>
        <v>960840.38170176081</v>
      </c>
    </row>
    <row r="17" spans="1:17">
      <c r="A17" s="460" t="s">
        <v>555</v>
      </c>
      <c r="B17" s="729">
        <f ca="1">huishoudens!B10</f>
        <v>0.20494227878004798</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6150.0456678600967</v>
      </c>
      <c r="C22" s="447">
        <f t="shared" ref="C22:C32" ca="1" si="3">C4*$C$17</f>
        <v>0</v>
      </c>
      <c r="D22" s="447">
        <f t="shared" ref="D22:D32" si="4">D4*$D$17</f>
        <v>16722.766224138821</v>
      </c>
      <c r="E22" s="447">
        <f t="shared" ref="E22:E32" si="5">E4*$E$17</f>
        <v>231.36514158172056</v>
      </c>
      <c r="F22" s="447">
        <f t="shared" ref="F22:F32" si="6">F4*$F$17</f>
        <v>8296.5856207639226</v>
      </c>
      <c r="G22" s="447">
        <f t="shared" ref="G22:G32" si="7">G4*$G$17</f>
        <v>0</v>
      </c>
      <c r="H22" s="447">
        <f t="shared" ref="H22:H32" si="8">H4*$H$17</f>
        <v>0</v>
      </c>
      <c r="I22" s="447">
        <f t="shared" ref="I22:I32" si="9">I4*$I$17</f>
        <v>0</v>
      </c>
      <c r="J22" s="447">
        <f t="shared" ref="J22:J32" si="10">J4*$J$17</f>
        <v>199.59057652822196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31600.353230872784</v>
      </c>
    </row>
    <row r="23" spans="1:17">
      <c r="A23" s="446" t="s">
        <v>149</v>
      </c>
      <c r="B23" s="447">
        <f t="shared" ca="1" si="2"/>
        <v>6941.9853347998687</v>
      </c>
      <c r="C23" s="447">
        <f t="shared" ca="1" si="3"/>
        <v>0</v>
      </c>
      <c r="D23" s="447">
        <f t="shared" ca="1" si="4"/>
        <v>8084.5770658584634</v>
      </c>
      <c r="E23" s="447">
        <f t="shared" si="5"/>
        <v>56.050917576138502</v>
      </c>
      <c r="F23" s="447">
        <f t="shared" ca="1" si="6"/>
        <v>2349.1301872189583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17431.743505453429</v>
      </c>
    </row>
    <row r="24" spans="1:17">
      <c r="A24" s="446" t="s">
        <v>187</v>
      </c>
      <c r="B24" s="447">
        <f t="shared" ca="1" si="2"/>
        <v>260.45273946813296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260.45273946813296</v>
      </c>
    </row>
    <row r="25" spans="1:17">
      <c r="A25" s="446" t="s">
        <v>105</v>
      </c>
      <c r="B25" s="447">
        <f t="shared" ca="1" si="2"/>
        <v>1740.2897768058237</v>
      </c>
      <c r="C25" s="447">
        <f t="shared" ca="1" si="3"/>
        <v>26037.121008403359</v>
      </c>
      <c r="D25" s="447">
        <f t="shared" si="4"/>
        <v>10270.503657319023</v>
      </c>
      <c r="E25" s="447">
        <f t="shared" si="5"/>
        <v>19.035354714543452</v>
      </c>
      <c r="F25" s="447">
        <f t="shared" si="6"/>
        <v>7564.1782862117161</v>
      </c>
      <c r="G25" s="447">
        <f t="shared" si="7"/>
        <v>0</v>
      </c>
      <c r="H25" s="447">
        <f t="shared" si="8"/>
        <v>0</v>
      </c>
      <c r="I25" s="447">
        <f t="shared" si="9"/>
        <v>0</v>
      </c>
      <c r="J25" s="447">
        <f t="shared" si="10"/>
        <v>299.91052662519439</v>
      </c>
      <c r="K25" s="447">
        <f t="shared" si="11"/>
        <v>0</v>
      </c>
      <c r="L25" s="447">
        <f t="shared" si="12"/>
        <v>0</v>
      </c>
      <c r="M25" s="447">
        <f t="shared" si="13"/>
        <v>0</v>
      </c>
      <c r="N25" s="447">
        <f t="shared" si="14"/>
        <v>0</v>
      </c>
      <c r="O25" s="447">
        <f t="shared" si="15"/>
        <v>0</v>
      </c>
      <c r="P25" s="448">
        <f t="shared" si="16"/>
        <v>0</v>
      </c>
      <c r="Q25" s="446">
        <f t="shared" ca="1" si="17"/>
        <v>45931.03861007966</v>
      </c>
    </row>
    <row r="26" spans="1:17">
      <c r="A26" s="446" t="s">
        <v>640</v>
      </c>
      <c r="B26" s="447">
        <f t="shared" ca="1" si="2"/>
        <v>19939.376333915003</v>
      </c>
      <c r="C26" s="447">
        <f t="shared" ca="1" si="3"/>
        <v>2383.2605042016812</v>
      </c>
      <c r="D26" s="447">
        <f t="shared" si="4"/>
        <v>65877.303396488482</v>
      </c>
      <c r="E26" s="447">
        <f t="shared" si="5"/>
        <v>601.32798333622679</v>
      </c>
      <c r="F26" s="447">
        <f t="shared" si="6"/>
        <v>4238.8121123203673</v>
      </c>
      <c r="G26" s="447">
        <f t="shared" si="7"/>
        <v>0</v>
      </c>
      <c r="H26" s="447">
        <f t="shared" si="8"/>
        <v>0</v>
      </c>
      <c r="I26" s="447">
        <f t="shared" si="9"/>
        <v>0</v>
      </c>
      <c r="J26" s="447">
        <f t="shared" si="10"/>
        <v>29.60549949613165</v>
      </c>
      <c r="K26" s="447">
        <f t="shared" si="11"/>
        <v>0</v>
      </c>
      <c r="L26" s="447">
        <f t="shared" si="12"/>
        <v>0</v>
      </c>
      <c r="M26" s="447">
        <f t="shared" si="13"/>
        <v>0</v>
      </c>
      <c r="N26" s="447">
        <f t="shared" si="14"/>
        <v>0</v>
      </c>
      <c r="O26" s="447">
        <f t="shared" si="15"/>
        <v>0</v>
      </c>
      <c r="P26" s="448">
        <f t="shared" si="16"/>
        <v>0</v>
      </c>
      <c r="Q26" s="446">
        <f t="shared" ca="1" si="17"/>
        <v>93069.685829757887</v>
      </c>
    </row>
    <row r="27" spans="1:17" s="452" customFormat="1">
      <c r="A27" s="450" t="s">
        <v>560</v>
      </c>
      <c r="B27" s="723">
        <f t="shared" ca="1" si="2"/>
        <v>0.27691255087077005</v>
      </c>
      <c r="C27" s="451">
        <f t="shared" ca="1" si="3"/>
        <v>0</v>
      </c>
      <c r="D27" s="451">
        <f t="shared" si="4"/>
        <v>0.32546998091830737</v>
      </c>
      <c r="E27" s="451">
        <f t="shared" si="5"/>
        <v>23.469498995959047</v>
      </c>
      <c r="F27" s="451">
        <f t="shared" si="6"/>
        <v>0</v>
      </c>
      <c r="G27" s="451">
        <f t="shared" si="7"/>
        <v>6369.1141778323808</v>
      </c>
      <c r="H27" s="451">
        <f t="shared" si="8"/>
        <v>1027.549924893576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7420.7359842537044</v>
      </c>
    </row>
    <row r="28" spans="1:17">
      <c r="A28" s="446" t="s">
        <v>550</v>
      </c>
      <c r="B28" s="447">
        <f t="shared" ca="1" si="2"/>
        <v>1.4496218368429763</v>
      </c>
      <c r="C28" s="447">
        <f t="shared" ca="1" si="3"/>
        <v>0</v>
      </c>
      <c r="D28" s="447">
        <f t="shared" si="4"/>
        <v>0</v>
      </c>
      <c r="E28" s="447">
        <f t="shared" si="5"/>
        <v>0</v>
      </c>
      <c r="F28" s="447">
        <f t="shared" si="6"/>
        <v>0</v>
      </c>
      <c r="G28" s="447">
        <f t="shared" si="7"/>
        <v>376.68017946750604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378.12980130434903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163.59146008515717</v>
      </c>
      <c r="C32" s="447">
        <f t="shared" ca="1" si="3"/>
        <v>0</v>
      </c>
      <c r="D32" s="447">
        <f t="shared" si="4"/>
        <v>847.07529732801868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1010.6667574131759</v>
      </c>
    </row>
    <row r="33" spans="1:17" s="459" customFormat="1">
      <c r="A33" s="456" t="s">
        <v>554</v>
      </c>
      <c r="B33" s="457">
        <f ca="1">SUM(B22:B32)</f>
        <v>35197.467847321794</v>
      </c>
      <c r="C33" s="457">
        <f t="shared" ref="C33:Q33" ca="1" si="18">SUM(C22:C32)</f>
        <v>28420.381512605039</v>
      </c>
      <c r="D33" s="457">
        <f t="shared" ca="1" si="18"/>
        <v>101802.55111111373</v>
      </c>
      <c r="E33" s="457">
        <f t="shared" si="18"/>
        <v>931.24889620458839</v>
      </c>
      <c r="F33" s="457">
        <f t="shared" ca="1" si="18"/>
        <v>22448.706206514966</v>
      </c>
      <c r="G33" s="457">
        <f t="shared" si="18"/>
        <v>6745.7943572998865</v>
      </c>
      <c r="H33" s="457">
        <f t="shared" si="18"/>
        <v>1027.549924893576</v>
      </c>
      <c r="I33" s="457">
        <f t="shared" si="18"/>
        <v>0</v>
      </c>
      <c r="J33" s="457">
        <f t="shared" si="18"/>
        <v>529.10660264954799</v>
      </c>
      <c r="K33" s="457">
        <f t="shared" si="18"/>
        <v>0</v>
      </c>
      <c r="L33" s="457">
        <f t="shared" ca="1" si="18"/>
        <v>0</v>
      </c>
      <c r="M33" s="457">
        <f t="shared" si="18"/>
        <v>0</v>
      </c>
      <c r="N33" s="457">
        <f t="shared" ca="1" si="18"/>
        <v>0</v>
      </c>
      <c r="O33" s="457">
        <f t="shared" si="18"/>
        <v>0</v>
      </c>
      <c r="P33" s="457">
        <f t="shared" si="18"/>
        <v>0</v>
      </c>
      <c r="Q33" s="457">
        <f t="shared" ca="1" si="18"/>
        <v>197102.80645860313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6229.5699116799342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83713.5</v>
      </c>
      <c r="D8" s="977">
        <f>'SEAP template'!D76</f>
        <v>98486.470588235301</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19894.267058823531</v>
      </c>
    </row>
    <row r="9" spans="1:16">
      <c r="A9" s="980" t="s">
        <v>859</v>
      </c>
      <c r="B9" s="977">
        <f>'SEAP template'!B77</f>
        <v>12555</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31387.5</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18784.569911679933</v>
      </c>
      <c r="C10" s="981">
        <f>SUM(C4:C9)</f>
        <v>83713.5</v>
      </c>
      <c r="D10" s="981">
        <f t="shared" ref="D10:H10" si="0">SUM(D8:D9)</f>
        <v>98486.470588235301</v>
      </c>
      <c r="E10" s="981">
        <f t="shared" si="0"/>
        <v>0</v>
      </c>
      <c r="F10" s="981">
        <f t="shared" si="0"/>
        <v>0</v>
      </c>
      <c r="G10" s="981">
        <f t="shared" si="0"/>
        <v>0</v>
      </c>
      <c r="H10" s="981">
        <f t="shared" si="0"/>
        <v>0</v>
      </c>
      <c r="I10" s="981">
        <f>SUM(I8:I9)</f>
        <v>0</v>
      </c>
      <c r="J10" s="981">
        <f>SUM(J8:J9)</f>
        <v>31387.5</v>
      </c>
      <c r="K10" s="981">
        <f t="shared" ref="K10:L10" si="1">SUM(K8:K9)</f>
        <v>0</v>
      </c>
      <c r="L10" s="981">
        <f t="shared" si="1"/>
        <v>0</v>
      </c>
      <c r="M10" s="981">
        <f>SUM(M8:M9)</f>
        <v>0</v>
      </c>
      <c r="N10" s="981">
        <f>SUM(N8:N9)</f>
        <v>0</v>
      </c>
      <c r="O10" s="981">
        <f>SUM(O8:O9)</f>
        <v>0</v>
      </c>
      <c r="P10" s="981">
        <f>SUM(P8:P9)</f>
        <v>19894.267058823531</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0.20494227878004798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119590.71428571428</v>
      </c>
      <c r="D17" s="978">
        <f>'SEAP template'!D87</f>
        <v>140694.95798319328</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28420.381512605043</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119590.71428571428</v>
      </c>
      <c r="D20" s="981">
        <f t="shared" ref="D20:H20" si="2">SUM(D17:D19)</f>
        <v>140694.95798319328</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28420.381512605043</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0.20494227878004798</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2</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3.1266666666666669</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2022-07-26T12:18:48Z</dcterms:modified>
</cp:coreProperties>
</file>